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4.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drawings/drawing5.xml" ContentType="application/vnd.openxmlformats-officedocument.drawing+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77.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5.xml" ContentType="application/vnd.openxmlformats-officedocument.spreadsheetml.comments+xml"/>
  <Override PartName="/xl/threadedComments/threadedComment2.xml" ContentType="application/vnd.ms-excel.threadedcomments+xml"/>
  <Override PartName="/xl/comments6.xml" ContentType="application/vnd.openxmlformats-officedocument.spreadsheetml.comments+xml"/>
  <Override PartName="/xl/comments8.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DOCTORADO 2\PLANMICC\Entregables\Producto 7\"/>
    </mc:Choice>
  </mc:AlternateContent>
  <xr:revisionPtr revIDLastSave="0" documentId="13_ncr:1_{708E8C7E-3C37-4C2F-91C1-0F0A571C1364}" xr6:coauthVersionLast="47" xr6:coauthVersionMax="47" xr10:uidLastSave="{00000000-0000-0000-0000-000000000000}"/>
  <bookViews>
    <workbookView xWindow="1550" yWindow="320" windowWidth="15610" windowHeight="13680" firstSheet="6" activeTab="7" xr2:uid="{00000000-000D-0000-FFFF-FFFF00000000}"/>
  </bookViews>
  <sheets>
    <sheet name="Detalles" sheetId="1" r:id="rId1"/>
    <sheet name="Bitácora" sheetId="21" r:id="rId2"/>
    <sheet name="Mejoras pendientes al modelo" sheetId="23" r:id="rId3"/>
    <sheet name="Combustibles" sheetId="2" r:id="rId4"/>
    <sheet name="Electricidad" sheetId="3" r:id="rId5"/>
    <sheet name="Hidrógeno" sheetId="22" r:id="rId6"/>
    <sheet name="Calculos electricidad" sheetId="4" r:id="rId7"/>
    <sheet name="Demanda_energia" sheetId="5" r:id="rId8"/>
    <sheet name="Emisiones Energía V2" sheetId="20" r:id="rId9"/>
    <sheet name="Emisiones Energía" sheetId="9" r:id="rId10"/>
    <sheet name="Costos Energía" sheetId="6" r:id="rId11"/>
    <sheet name="Costos Energía (2)" sheetId="7" r:id="rId12"/>
    <sheet name="Costos Residencial" sheetId="8" r:id="rId13"/>
    <sheet name="Gráficos Combustibles" sheetId="10" r:id="rId14"/>
    <sheet name="Gráficos Electricidad" sheetId="11" r:id="rId15"/>
    <sheet name="Graficos Demanda Energia" sheetId="12" r:id="rId16"/>
    <sheet name="Gráfico Emisiones Energía" sheetId="13" r:id="rId17"/>
    <sheet name="Driver PIB" sheetId="14" r:id="rId18"/>
    <sheet name="Demandas Cálculos Driver PIB" sheetId="15" r:id="rId19"/>
    <sheet name="Copia de Combustibles" sheetId="16" r:id="rId20"/>
    <sheet name="Copia de Electricidad" sheetId="17" r:id="rId21"/>
    <sheet name="Copia de Demandas de energía " sheetId="18" r:id="rId22"/>
    <sheet name="Copia de Emisiones Energía" sheetId="19" r:id="rId23"/>
  </sheets>
  <definedNames>
    <definedName name="_xlnm._FilterDatabase" localSheetId="18" hidden="1">'Demandas Cálculos Driver PIB'!$A$1:$AK$324</definedName>
    <definedName name="empty">#REF!</definedName>
    <definedName name="Google_Sheet_Link_1376587179" hidden="1">'Copia de Electricidad'!$C$379</definedName>
    <definedName name="Google_Sheet_Link_1571033540" hidden="1">'Copia de Electricidad'!$C$396:$H$424</definedName>
    <definedName name="Google_Sheet_Link_1724249844" hidden="1">Combustibles!$N$3</definedName>
    <definedName name="Google_Sheet_Link_633389037" hidden="1">Combustibles!$D$295</definedName>
    <definedName name="Google_Sheet_Link_784270939" hidden="1">Electricidad!$D$612</definedName>
    <definedName name="gwp.ch4">#REF!</definedName>
    <definedName name="gwp.n2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20" l="1"/>
  <c r="E616" i="3"/>
  <c r="K13" i="22"/>
  <c r="K14" i="22"/>
  <c r="F216" i="2"/>
  <c r="G216" i="2"/>
  <c r="H216" i="2"/>
  <c r="F217" i="2"/>
  <c r="G217" i="2"/>
  <c r="H217" i="2"/>
  <c r="F218" i="2"/>
  <c r="G218" i="2"/>
  <c r="H218" i="2"/>
  <c r="F219" i="2"/>
  <c r="G219" i="2"/>
  <c r="H219" i="2"/>
  <c r="F220" i="2"/>
  <c r="G220" i="2"/>
  <c r="H220" i="2"/>
  <c r="F221" i="2"/>
  <c r="G221" i="2"/>
  <c r="H221" i="2"/>
  <c r="F222" i="2"/>
  <c r="G222" i="2"/>
  <c r="H222" i="2"/>
  <c r="F223" i="2"/>
  <c r="G223" i="2"/>
  <c r="H223" i="2"/>
  <c r="F224" i="2"/>
  <c r="G224" i="2"/>
  <c r="H224" i="2"/>
  <c r="F225" i="2"/>
  <c r="G225" i="2"/>
  <c r="H225" i="2"/>
  <c r="F226" i="2"/>
  <c r="G226" i="2"/>
  <c r="H226" i="2"/>
  <c r="F227" i="2"/>
  <c r="G227" i="2"/>
  <c r="H227" i="2"/>
  <c r="E217" i="2"/>
  <c r="E218" i="2"/>
  <c r="E219" i="2"/>
  <c r="E220" i="2"/>
  <c r="E221" i="2"/>
  <c r="E222" i="2"/>
  <c r="E223" i="2"/>
  <c r="E224" i="2"/>
  <c r="E225" i="2"/>
  <c r="E226" i="2"/>
  <c r="E227" i="2"/>
  <c r="E216" i="2"/>
  <c r="E117" i="2"/>
  <c r="E30" i="2"/>
  <c r="D42" i="20"/>
  <c r="E45" i="20"/>
  <c r="F45" i="20"/>
  <c r="D46" i="20"/>
  <c r="D49" i="20"/>
  <c r="E49" i="20"/>
  <c r="G49" i="20" s="1"/>
  <c r="F49" i="20"/>
  <c r="E41" i="20"/>
  <c r="D33" i="20"/>
  <c r="G33" i="20" s="1"/>
  <c r="E33" i="20"/>
  <c r="F33" i="20"/>
  <c r="D34" i="20"/>
  <c r="D37" i="20"/>
  <c r="G37" i="20" s="1"/>
  <c r="E37" i="20"/>
  <c r="F37" i="20"/>
  <c r="E32" i="20"/>
  <c r="F26" i="20"/>
  <c r="D27" i="20"/>
  <c r="G27" i="20" s="1"/>
  <c r="E27" i="20"/>
  <c r="F27" i="20"/>
  <c r="D140" i="20"/>
  <c r="E42" i="20" s="1"/>
  <c r="D134" i="20"/>
  <c r="N138" i="20" s="1"/>
  <c r="D137" i="20" s="1"/>
  <c r="D13" i="20" s="1"/>
  <c r="N132" i="20"/>
  <c r="D131" i="20"/>
  <c r="G126" i="20"/>
  <c r="F126" i="20"/>
  <c r="E126" i="20"/>
  <c r="D126" i="20"/>
  <c r="G124" i="20"/>
  <c r="F124" i="20"/>
  <c r="E124" i="20"/>
  <c r="D124" i="20"/>
  <c r="H124" i="20" s="1"/>
  <c r="D123" i="20"/>
  <c r="G119" i="20"/>
  <c r="F119" i="20"/>
  <c r="E119" i="20"/>
  <c r="D119" i="20"/>
  <c r="G111" i="20"/>
  <c r="F111" i="20"/>
  <c r="E111" i="20"/>
  <c r="D111" i="20"/>
  <c r="G110" i="20"/>
  <c r="F110" i="20"/>
  <c r="E110" i="20"/>
  <c r="D110" i="20"/>
  <c r="G109" i="20"/>
  <c r="F109" i="20"/>
  <c r="E109" i="20"/>
  <c r="D109" i="20"/>
  <c r="G108" i="20"/>
  <c r="F108" i="20"/>
  <c r="E108" i="20"/>
  <c r="D108" i="20"/>
  <c r="G107" i="20"/>
  <c r="F107" i="20"/>
  <c r="E107" i="20"/>
  <c r="D107" i="20"/>
  <c r="G106" i="20"/>
  <c r="F106" i="20"/>
  <c r="E106" i="20"/>
  <c r="D106" i="20"/>
  <c r="G105" i="20"/>
  <c r="G112" i="20" s="1"/>
  <c r="F105" i="20"/>
  <c r="E105" i="20"/>
  <c r="D105" i="20"/>
  <c r="G101" i="20"/>
  <c r="F101" i="20"/>
  <c r="E101" i="20"/>
  <c r="D101" i="20"/>
  <c r="G100" i="20"/>
  <c r="G102" i="20" s="1"/>
  <c r="F100" i="20"/>
  <c r="F102" i="20" s="1"/>
  <c r="E100" i="20"/>
  <c r="E102" i="20" s="1"/>
  <c r="D100" i="20"/>
  <c r="D102" i="20" s="1"/>
  <c r="G93" i="20"/>
  <c r="F93" i="20"/>
  <c r="E93" i="20"/>
  <c r="D93" i="20"/>
  <c r="G92" i="20"/>
  <c r="G91" i="20"/>
  <c r="F91" i="20"/>
  <c r="E91" i="20"/>
  <c r="D91" i="20"/>
  <c r="G90" i="20"/>
  <c r="F90" i="20"/>
  <c r="E90" i="20"/>
  <c r="D90" i="20"/>
  <c r="G89" i="20"/>
  <c r="F89" i="20"/>
  <c r="E89" i="20"/>
  <c r="D89" i="20"/>
  <c r="G88" i="20"/>
  <c r="F88" i="20"/>
  <c r="E88" i="20"/>
  <c r="D88" i="20"/>
  <c r="G87" i="20"/>
  <c r="F87" i="20"/>
  <c r="E87" i="20"/>
  <c r="D87" i="20"/>
  <c r="G86" i="20"/>
  <c r="F86" i="20"/>
  <c r="E86" i="20"/>
  <c r="D86" i="20"/>
  <c r="G85" i="20"/>
  <c r="F85" i="20"/>
  <c r="E85" i="20"/>
  <c r="D85" i="20"/>
  <c r="G84" i="20"/>
  <c r="F84" i="20"/>
  <c r="F95" i="20" s="1"/>
  <c r="E84" i="20"/>
  <c r="E95" i="20" s="1"/>
  <c r="D84" i="20"/>
  <c r="D95" i="20" s="1"/>
  <c r="G77" i="20"/>
  <c r="F77" i="20"/>
  <c r="E77" i="20"/>
  <c r="D77" i="20"/>
  <c r="G76" i="20"/>
  <c r="F76" i="20"/>
  <c r="E76" i="20"/>
  <c r="D76" i="20"/>
  <c r="G75" i="20"/>
  <c r="F75" i="20"/>
  <c r="E75" i="20"/>
  <c r="D75" i="20"/>
  <c r="G74" i="20"/>
  <c r="F74" i="20"/>
  <c r="E74" i="20"/>
  <c r="D74" i="20"/>
  <c r="G73" i="20"/>
  <c r="F73" i="20"/>
  <c r="E73" i="20"/>
  <c r="D73" i="20"/>
  <c r="G72" i="20"/>
  <c r="F72" i="20"/>
  <c r="E72" i="20"/>
  <c r="D72" i="20"/>
  <c r="G71" i="20"/>
  <c r="F71" i="20"/>
  <c r="E71" i="20"/>
  <c r="D71" i="20"/>
  <c r="E67" i="20"/>
  <c r="D67" i="20"/>
  <c r="G66" i="20"/>
  <c r="F66" i="20"/>
  <c r="E66" i="20"/>
  <c r="D66" i="20"/>
  <c r="G65" i="20"/>
  <c r="F65" i="20"/>
  <c r="E65" i="20"/>
  <c r="G64" i="20"/>
  <c r="G63" i="20"/>
  <c r="F63" i="20"/>
  <c r="E63" i="20"/>
  <c r="D63" i="20"/>
  <c r="G62" i="20"/>
  <c r="G54" i="20"/>
  <c r="F54" i="20"/>
  <c r="E54" i="20"/>
  <c r="D54" i="20"/>
  <c r="G53" i="20"/>
  <c r="F53" i="20"/>
  <c r="E53" i="20"/>
  <c r="D53" i="20"/>
  <c r="G52" i="20"/>
  <c r="F52" i="20"/>
  <c r="E52" i="20"/>
  <c r="D52" i="20"/>
  <c r="H125" i="9"/>
  <c r="D127" i="9"/>
  <c r="M13" i="22" l="1"/>
  <c r="G42" i="20"/>
  <c r="G34" i="20"/>
  <c r="G95" i="20"/>
  <c r="D45" i="20"/>
  <c r="G45" i="20" s="1"/>
  <c r="D56" i="20"/>
  <c r="E26" i="20"/>
  <c r="F36" i="20"/>
  <c r="F48" i="20"/>
  <c r="F44" i="20"/>
  <c r="D68" i="20"/>
  <c r="D26" i="20"/>
  <c r="G26" i="20" s="1"/>
  <c r="E36" i="20"/>
  <c r="E48" i="20"/>
  <c r="E44" i="20"/>
  <c r="D25" i="20"/>
  <c r="D36" i="20"/>
  <c r="G36" i="20" s="1"/>
  <c r="D48" i="20"/>
  <c r="G48" i="20" s="1"/>
  <c r="D44" i="20"/>
  <c r="G44" i="20" s="1"/>
  <c r="E68" i="20"/>
  <c r="F68" i="20"/>
  <c r="F25" i="20"/>
  <c r="F35" i="20"/>
  <c r="F47" i="20"/>
  <c r="F43" i="20"/>
  <c r="E25" i="20"/>
  <c r="E35" i="20"/>
  <c r="E47" i="20"/>
  <c r="E43" i="20"/>
  <c r="D112" i="20"/>
  <c r="F28" i="20"/>
  <c r="D35" i="20"/>
  <c r="G35" i="20" s="1"/>
  <c r="D47" i="20"/>
  <c r="G47" i="20" s="1"/>
  <c r="D43" i="20"/>
  <c r="G43" i="20" s="1"/>
  <c r="F56" i="20"/>
  <c r="E112" i="20"/>
  <c r="E115" i="20" s="1"/>
  <c r="E28" i="20"/>
  <c r="D32" i="20"/>
  <c r="F34" i="20"/>
  <c r="D41" i="20"/>
  <c r="G41" i="20" s="1"/>
  <c r="F46" i="20"/>
  <c r="F42" i="20"/>
  <c r="G68" i="20"/>
  <c r="E56" i="20"/>
  <c r="G56" i="20"/>
  <c r="F112" i="20"/>
  <c r="F115" i="20" s="1"/>
  <c r="D28" i="20"/>
  <c r="G28" i="20" s="1"/>
  <c r="F32" i="20"/>
  <c r="E34" i="20"/>
  <c r="F41" i="20"/>
  <c r="E46" i="20"/>
  <c r="G46" i="20" s="1"/>
  <c r="D14" i="20"/>
  <c r="E14" i="20"/>
  <c r="D15" i="20"/>
  <c r="E15" i="20"/>
  <c r="D16" i="20"/>
  <c r="E16" i="20"/>
  <c r="D17" i="20"/>
  <c r="E17" i="20"/>
  <c r="D18" i="20"/>
  <c r="E18" i="20"/>
  <c r="E13" i="20"/>
  <c r="F13" i="20"/>
  <c r="G13" i="20"/>
  <c r="D8" i="20"/>
  <c r="E8" i="20"/>
  <c r="F8" i="20"/>
  <c r="D9" i="20"/>
  <c r="E9" i="20"/>
  <c r="D10" i="20"/>
  <c r="E10" i="20"/>
  <c r="D11" i="20"/>
  <c r="E11" i="20"/>
  <c r="E7" i="20"/>
  <c r="D7" i="20"/>
  <c r="G7" i="20" s="1"/>
  <c r="D121" i="20"/>
  <c r="D78" i="20"/>
  <c r="E121" i="20"/>
  <c r="E78" i="20"/>
  <c r="F121" i="20"/>
  <c r="F78" i="20"/>
  <c r="G121" i="20"/>
  <c r="G78" i="20"/>
  <c r="G115" i="20" s="1"/>
  <c r="D115" i="20"/>
  <c r="I237" i="2"/>
  <c r="I236" i="2"/>
  <c r="I235" i="2"/>
  <c r="I238" i="2" s="1"/>
  <c r="I234" i="2"/>
  <c r="I233" i="2"/>
  <c r="G18" i="20" l="1"/>
  <c r="G17" i="20"/>
  <c r="G16" i="20"/>
  <c r="G15" i="20"/>
  <c r="H13" i="20" s="1"/>
  <c r="G14" i="20"/>
  <c r="G25" i="20"/>
  <c r="H17" i="20"/>
  <c r="G32" i="20"/>
  <c r="G11" i="20"/>
  <c r="G10" i="20"/>
  <c r="G9" i="20"/>
  <c r="G8" i="20"/>
  <c r="I7" i="20" s="1"/>
  <c r="I248" i="2"/>
  <c r="I244" i="2"/>
  <c r="I245" i="2"/>
  <c r="I246" i="2"/>
  <c r="I247" i="2"/>
  <c r="I243" i="2"/>
  <c r="F243" i="2"/>
  <c r="G243" i="2"/>
  <c r="H243" i="2"/>
  <c r="F244" i="2"/>
  <c r="G244" i="2"/>
  <c r="H244" i="2"/>
  <c r="F245" i="2"/>
  <c r="G245" i="2"/>
  <c r="H245" i="2"/>
  <c r="F246" i="2"/>
  <c r="G246" i="2"/>
  <c r="H246" i="2"/>
  <c r="F247" i="2"/>
  <c r="G247" i="2"/>
  <c r="H247" i="2"/>
  <c r="E244" i="2"/>
  <c r="E245" i="2"/>
  <c r="E246" i="2"/>
  <c r="E247" i="2"/>
  <c r="E243" i="2"/>
  <c r="H248" i="2" l="1"/>
  <c r="G248" i="2"/>
  <c r="E248" i="2"/>
  <c r="F248" i="2"/>
  <c r="H238" i="2"/>
  <c r="G238" i="2"/>
  <c r="F238" i="2"/>
  <c r="E238" i="2"/>
  <c r="Q12" i="9"/>
  <c r="Q9" i="9"/>
  <c r="J335" i="2" l="1"/>
  <c r="K335" i="2"/>
  <c r="L335" i="2"/>
  <c r="M335" i="2"/>
  <c r="N335" i="2"/>
  <c r="O335" i="2"/>
  <c r="P335" i="2"/>
  <c r="Q335" i="2"/>
  <c r="R335" i="2"/>
  <c r="S335" i="2"/>
  <c r="T335" i="2"/>
  <c r="U335" i="2"/>
  <c r="V335" i="2"/>
  <c r="W335" i="2"/>
  <c r="X335" i="2"/>
  <c r="Y335" i="2"/>
  <c r="Z335" i="2"/>
  <c r="AA335" i="2"/>
  <c r="AB335" i="2"/>
  <c r="AC335" i="2"/>
  <c r="AD335" i="2"/>
  <c r="AE335" i="2"/>
  <c r="AF335" i="2"/>
  <c r="AG335" i="2"/>
  <c r="AH335" i="2"/>
  <c r="AI335" i="2"/>
  <c r="AJ335" i="2"/>
  <c r="AK335" i="2"/>
  <c r="J336" i="2"/>
  <c r="K336" i="2"/>
  <c r="L336" i="2"/>
  <c r="M336" i="2"/>
  <c r="N336" i="2"/>
  <c r="O336" i="2"/>
  <c r="P336" i="2"/>
  <c r="Q336" i="2"/>
  <c r="R336" i="2"/>
  <c r="S336" i="2"/>
  <c r="T336" i="2"/>
  <c r="U336" i="2"/>
  <c r="V336" i="2"/>
  <c r="W336" i="2"/>
  <c r="X336" i="2"/>
  <c r="Y336" i="2"/>
  <c r="Z336" i="2"/>
  <c r="AA336" i="2"/>
  <c r="AB336" i="2"/>
  <c r="AC336" i="2"/>
  <c r="AD336" i="2"/>
  <c r="AE336" i="2"/>
  <c r="AF336" i="2"/>
  <c r="AG336" i="2"/>
  <c r="AH336" i="2"/>
  <c r="AI336" i="2"/>
  <c r="AJ336" i="2"/>
  <c r="AK336" i="2"/>
  <c r="J337" i="2"/>
  <c r="K337" i="2"/>
  <c r="L337" i="2"/>
  <c r="M337" i="2"/>
  <c r="N337" i="2"/>
  <c r="O337" i="2"/>
  <c r="P337" i="2"/>
  <c r="Q337" i="2"/>
  <c r="R337" i="2"/>
  <c r="S337" i="2"/>
  <c r="T337" i="2"/>
  <c r="U337" i="2"/>
  <c r="V337" i="2"/>
  <c r="W337" i="2"/>
  <c r="X337" i="2"/>
  <c r="Y337" i="2"/>
  <c r="Z337" i="2"/>
  <c r="AA337" i="2"/>
  <c r="AB337" i="2"/>
  <c r="AC337" i="2"/>
  <c r="AD337" i="2"/>
  <c r="AE337" i="2"/>
  <c r="AF337" i="2"/>
  <c r="AG337" i="2"/>
  <c r="AH337" i="2"/>
  <c r="AI337" i="2"/>
  <c r="AJ337" i="2"/>
  <c r="AK337" i="2"/>
  <c r="J338" i="2"/>
  <c r="K338" i="2"/>
  <c r="L338" i="2"/>
  <c r="M338" i="2"/>
  <c r="N338" i="2"/>
  <c r="O338" i="2"/>
  <c r="P338" i="2"/>
  <c r="Q338" i="2"/>
  <c r="R338" i="2"/>
  <c r="S338" i="2"/>
  <c r="T338" i="2"/>
  <c r="U338" i="2"/>
  <c r="V338" i="2"/>
  <c r="W338" i="2"/>
  <c r="X338" i="2"/>
  <c r="Y338" i="2"/>
  <c r="Z338" i="2"/>
  <c r="AA338" i="2"/>
  <c r="AB338" i="2"/>
  <c r="AC338" i="2"/>
  <c r="AD338" i="2"/>
  <c r="AE338" i="2"/>
  <c r="AF338" i="2"/>
  <c r="AG338" i="2"/>
  <c r="AH338" i="2"/>
  <c r="AI338" i="2"/>
  <c r="AJ338" i="2"/>
  <c r="AK338" i="2"/>
  <c r="J339" i="2"/>
  <c r="K339" i="2"/>
  <c r="L339" i="2"/>
  <c r="M339" i="2"/>
  <c r="N339" i="2"/>
  <c r="O339" i="2"/>
  <c r="P339" i="2"/>
  <c r="Q339" i="2"/>
  <c r="R339" i="2"/>
  <c r="S339" i="2"/>
  <c r="T339" i="2"/>
  <c r="U339" i="2"/>
  <c r="V339" i="2"/>
  <c r="W339" i="2"/>
  <c r="X339" i="2"/>
  <c r="Y339" i="2"/>
  <c r="Z339" i="2"/>
  <c r="AA339" i="2"/>
  <c r="AB339" i="2"/>
  <c r="AC339" i="2"/>
  <c r="AD339" i="2"/>
  <c r="AE339" i="2"/>
  <c r="AF339" i="2"/>
  <c r="AG339" i="2"/>
  <c r="AH339" i="2"/>
  <c r="AI339" i="2"/>
  <c r="AJ339" i="2"/>
  <c r="AK339" i="2"/>
  <c r="J340" i="2"/>
  <c r="K340" i="2"/>
  <c r="L340" i="2"/>
  <c r="M340" i="2"/>
  <c r="N340" i="2"/>
  <c r="O340" i="2"/>
  <c r="P340" i="2"/>
  <c r="Q340" i="2"/>
  <c r="R340" i="2"/>
  <c r="S340" i="2"/>
  <c r="T340" i="2"/>
  <c r="U340" i="2"/>
  <c r="V340" i="2"/>
  <c r="W340" i="2"/>
  <c r="X340" i="2"/>
  <c r="Y340" i="2"/>
  <c r="Z340" i="2"/>
  <c r="AA340" i="2"/>
  <c r="AB340" i="2"/>
  <c r="AC340" i="2"/>
  <c r="AD340" i="2"/>
  <c r="AE340" i="2"/>
  <c r="AF340" i="2"/>
  <c r="AG340" i="2"/>
  <c r="AH340" i="2"/>
  <c r="AI340" i="2"/>
  <c r="AJ340" i="2"/>
  <c r="AK340" i="2"/>
  <c r="J341" i="2"/>
  <c r="K341" i="2"/>
  <c r="L341" i="2"/>
  <c r="M341" i="2"/>
  <c r="N341" i="2"/>
  <c r="O341" i="2"/>
  <c r="P341" i="2"/>
  <c r="Q341" i="2"/>
  <c r="R341" i="2"/>
  <c r="S341" i="2"/>
  <c r="T341" i="2"/>
  <c r="U341" i="2"/>
  <c r="V341" i="2"/>
  <c r="W341" i="2"/>
  <c r="X341" i="2"/>
  <c r="Y341" i="2"/>
  <c r="Z341" i="2"/>
  <c r="AA341" i="2"/>
  <c r="AB341" i="2"/>
  <c r="AC341" i="2"/>
  <c r="AD341" i="2"/>
  <c r="AE341" i="2"/>
  <c r="AF341" i="2"/>
  <c r="AG341" i="2"/>
  <c r="AH341" i="2"/>
  <c r="AI341" i="2"/>
  <c r="AJ341" i="2"/>
  <c r="AK341" i="2"/>
  <c r="J342" i="2"/>
  <c r="K342" i="2"/>
  <c r="L342" i="2"/>
  <c r="M342" i="2"/>
  <c r="N342" i="2"/>
  <c r="O342" i="2"/>
  <c r="P342" i="2"/>
  <c r="Q342" i="2"/>
  <c r="R342" i="2"/>
  <c r="S342" i="2"/>
  <c r="T342" i="2"/>
  <c r="U342" i="2"/>
  <c r="V342" i="2"/>
  <c r="W342" i="2"/>
  <c r="X342" i="2"/>
  <c r="Y342" i="2"/>
  <c r="Z342" i="2"/>
  <c r="AA342" i="2"/>
  <c r="AB342" i="2"/>
  <c r="AC342" i="2"/>
  <c r="AD342" i="2"/>
  <c r="AE342" i="2"/>
  <c r="AF342" i="2"/>
  <c r="AG342" i="2"/>
  <c r="AH342" i="2"/>
  <c r="AI342" i="2"/>
  <c r="AJ342" i="2"/>
  <c r="AK342" i="2"/>
  <c r="I342" i="2"/>
  <c r="I336" i="2"/>
  <c r="I337" i="2"/>
  <c r="I338" i="2"/>
  <c r="I339" i="2"/>
  <c r="I340" i="2"/>
  <c r="I341" i="2"/>
  <c r="I335" i="2"/>
  <c r="I343" i="2" l="1"/>
  <c r="AK343" i="2"/>
  <c r="AJ343" i="2"/>
  <c r="AI343" i="2"/>
  <c r="AH343" i="2"/>
  <c r="AG343" i="2"/>
  <c r="AF343" i="2"/>
  <c r="AE343" i="2"/>
  <c r="AD343" i="2"/>
  <c r="AC343" i="2"/>
  <c r="AB343" i="2"/>
  <c r="AA343" i="2"/>
  <c r="Z343" i="2"/>
  <c r="Y343" i="2"/>
  <c r="X343" i="2"/>
  <c r="W343" i="2"/>
  <c r="V343" i="2"/>
  <c r="U343" i="2"/>
  <c r="T343" i="2"/>
  <c r="S343" i="2"/>
  <c r="R343" i="2"/>
  <c r="Q343" i="2"/>
  <c r="P343" i="2"/>
  <c r="O343" i="2"/>
  <c r="N343" i="2"/>
  <c r="M343" i="2"/>
  <c r="L343" i="2"/>
  <c r="K343" i="2"/>
  <c r="J343" i="2"/>
  <c r="F161" i="2"/>
  <c r="G161" i="2"/>
  <c r="H161" i="2"/>
  <c r="E161" i="2"/>
  <c r="I157" i="2"/>
  <c r="I158" i="2"/>
  <c r="I159" i="2"/>
  <c r="I156" i="2"/>
  <c r="M103" i="4"/>
  <c r="O103" i="4"/>
  <c r="K103" i="4"/>
  <c r="E103" i="4"/>
  <c r="F103" i="4"/>
  <c r="G103" i="4"/>
  <c r="H103" i="4"/>
  <c r="I103" i="4"/>
  <c r="J103" i="4"/>
  <c r="L103" i="4"/>
  <c r="N103" i="4"/>
  <c r="P103" i="4"/>
  <c r="Q103" i="4"/>
  <c r="R103" i="4"/>
  <c r="G209" i="16"/>
  <c r="F209" i="16"/>
  <c r="E209" i="16"/>
  <c r="D209" i="16"/>
  <c r="N105" i="3"/>
  <c r="M129" i="17"/>
  <c r="O12" i="9"/>
  <c r="J8" i="9"/>
  <c r="J9" i="9"/>
  <c r="J10" i="9"/>
  <c r="J11" i="9"/>
  <c r="J12" i="9"/>
  <c r="J7" i="9"/>
  <c r="E10" i="9" l="1"/>
  <c r="K12" i="9"/>
  <c r="E12" i="9"/>
  <c r="P12" i="9" s="1"/>
  <c r="E9" i="9"/>
  <c r="P9" i="9" s="1"/>
  <c r="E8" i="9"/>
  <c r="F8" i="9"/>
  <c r="Q7" i="9" s="1"/>
  <c r="E11" i="9"/>
  <c r="E7" i="9"/>
  <c r="H166" i="2"/>
  <c r="H167" i="2"/>
  <c r="H164" i="2"/>
  <c r="H165" i="2"/>
  <c r="G167" i="2"/>
  <c r="G164" i="2"/>
  <c r="G165" i="2"/>
  <c r="G166" i="2"/>
  <c r="F167" i="2"/>
  <c r="F166" i="2"/>
  <c r="F164" i="2"/>
  <c r="F165" i="2"/>
  <c r="E167" i="2"/>
  <c r="E165" i="2"/>
  <c r="E166" i="2"/>
  <c r="E164" i="2"/>
  <c r="I161" i="2"/>
  <c r="P7" i="9" l="1"/>
  <c r="I165" i="2"/>
  <c r="E169" i="2"/>
  <c r="I164" i="2"/>
  <c r="I166" i="2"/>
  <c r="H169" i="2"/>
  <c r="I167" i="2"/>
  <c r="G169" i="2"/>
  <c r="F169" i="2"/>
  <c r="I169" i="2" l="1"/>
  <c r="K122" i="4"/>
  <c r="R360" i="2"/>
  <c r="S360" i="2"/>
  <c r="T360" i="2"/>
  <c r="U360" i="2"/>
  <c r="V360" i="2"/>
  <c r="W360" i="2"/>
  <c r="X360" i="2"/>
  <c r="Q360" i="2"/>
  <c r="Y359" i="2"/>
  <c r="R359" i="2"/>
  <c r="S359" i="2"/>
  <c r="T359" i="2"/>
  <c r="U359" i="2"/>
  <c r="V359" i="2"/>
  <c r="W359" i="2"/>
  <c r="X359" i="2"/>
  <c r="Q359" i="2"/>
  <c r="P347" i="2"/>
  <c r="BC106" i="4" l="1"/>
  <c r="BD106" i="4"/>
  <c r="BE106" i="4"/>
  <c r="BC107" i="4"/>
  <c r="BD107" i="4"/>
  <c r="BE107" i="4"/>
  <c r="BC109" i="4"/>
  <c r="BD109" i="4"/>
  <c r="BE109" i="4"/>
  <c r="BC110" i="4"/>
  <c r="BD110" i="4"/>
  <c r="BE110" i="4"/>
  <c r="BC111" i="4"/>
  <c r="BD111" i="4"/>
  <c r="BE111" i="4"/>
  <c r="BC112" i="4"/>
  <c r="BD112" i="4"/>
  <c r="BE112" i="4"/>
  <c r="BC113" i="4"/>
  <c r="BD113" i="4"/>
  <c r="BE113" i="4"/>
  <c r="BC114" i="4"/>
  <c r="BD114" i="4"/>
  <c r="BE114" i="4"/>
  <c r="BC116" i="4"/>
  <c r="BD116" i="4"/>
  <c r="BE116" i="4"/>
  <c r="BC117" i="4"/>
  <c r="BD117" i="4"/>
  <c r="BE117" i="4"/>
  <c r="BC118" i="4"/>
  <c r="BD118" i="4"/>
  <c r="BE118" i="4"/>
  <c r="BC119" i="4"/>
  <c r="BD119" i="4"/>
  <c r="BE119" i="4"/>
  <c r="BC120" i="4"/>
  <c r="BD120" i="4"/>
  <c r="BE120" i="4"/>
  <c r="BC121" i="4"/>
  <c r="BD121" i="4"/>
  <c r="BE121" i="4"/>
  <c r="BC122" i="4"/>
  <c r="BD122" i="4"/>
  <c r="BE122" i="4"/>
  <c r="BC123" i="4"/>
  <c r="BD123" i="4"/>
  <c r="BE123" i="4"/>
  <c r="AW106" i="4"/>
  <c r="AX106" i="4"/>
  <c r="AY106" i="4"/>
  <c r="AZ106" i="4"/>
  <c r="BA106" i="4"/>
  <c r="BB106" i="4"/>
  <c r="AW107" i="4"/>
  <c r="AX107" i="4"/>
  <c r="AY107" i="4"/>
  <c r="AZ107" i="4"/>
  <c r="BA107" i="4"/>
  <c r="BB107" i="4"/>
  <c r="AW109" i="4"/>
  <c r="AX109" i="4"/>
  <c r="AY109" i="4"/>
  <c r="AZ109" i="4"/>
  <c r="BA109" i="4"/>
  <c r="BB109" i="4"/>
  <c r="AW110" i="4"/>
  <c r="AX110" i="4"/>
  <c r="AY110" i="4"/>
  <c r="AZ110" i="4"/>
  <c r="BA110" i="4"/>
  <c r="BB110" i="4"/>
  <c r="AW111" i="4"/>
  <c r="AX111" i="4"/>
  <c r="AY111" i="4"/>
  <c r="AZ111" i="4"/>
  <c r="BA111" i="4"/>
  <c r="BB111" i="4"/>
  <c r="AW112" i="4"/>
  <c r="AX112" i="4"/>
  <c r="AY112" i="4"/>
  <c r="AZ112" i="4"/>
  <c r="BA112" i="4"/>
  <c r="BB112" i="4"/>
  <c r="AW113" i="4"/>
  <c r="AX113" i="4"/>
  <c r="AY113" i="4"/>
  <c r="AZ113" i="4"/>
  <c r="BA113" i="4"/>
  <c r="BB113" i="4"/>
  <c r="AW114" i="4"/>
  <c r="AX114" i="4"/>
  <c r="AY114" i="4"/>
  <c r="AZ114" i="4"/>
  <c r="BA114" i="4"/>
  <c r="BB114" i="4"/>
  <c r="AW116" i="4"/>
  <c r="AX116" i="4"/>
  <c r="AY116" i="4"/>
  <c r="AZ116" i="4"/>
  <c r="BA116" i="4"/>
  <c r="BB116" i="4"/>
  <c r="AW117" i="4"/>
  <c r="AX117" i="4"/>
  <c r="AY117" i="4"/>
  <c r="AZ117" i="4"/>
  <c r="BA117" i="4"/>
  <c r="BB117" i="4"/>
  <c r="AW118" i="4"/>
  <c r="AX118" i="4"/>
  <c r="AY118" i="4"/>
  <c r="AZ118" i="4"/>
  <c r="BA118" i="4"/>
  <c r="BB118" i="4"/>
  <c r="AW119" i="4"/>
  <c r="AX119" i="4"/>
  <c r="AY119" i="4"/>
  <c r="AZ119" i="4"/>
  <c r="BA119" i="4"/>
  <c r="BB119" i="4"/>
  <c r="AW120" i="4"/>
  <c r="AX120" i="4"/>
  <c r="AY120" i="4"/>
  <c r="AZ120" i="4"/>
  <c r="BA120" i="4"/>
  <c r="BB120" i="4"/>
  <c r="AW121" i="4"/>
  <c r="AX121" i="4"/>
  <c r="AY121" i="4"/>
  <c r="AZ121" i="4"/>
  <c r="BA121" i="4"/>
  <c r="BB121" i="4"/>
  <c r="AW122" i="4"/>
  <c r="AX122" i="4"/>
  <c r="AY122" i="4"/>
  <c r="AZ122" i="4"/>
  <c r="BA122" i="4"/>
  <c r="BB122" i="4"/>
  <c r="AW123" i="4"/>
  <c r="AX123" i="4"/>
  <c r="AY123" i="4"/>
  <c r="AZ123" i="4"/>
  <c r="BA123" i="4"/>
  <c r="BB123" i="4"/>
  <c r="AL106" i="4"/>
  <c r="AM106" i="4"/>
  <c r="AN106" i="4"/>
  <c r="AO106" i="4"/>
  <c r="AP106" i="4"/>
  <c r="AQ106" i="4"/>
  <c r="AR106" i="4"/>
  <c r="AS106" i="4"/>
  <c r="AT106" i="4"/>
  <c r="AU106" i="4"/>
  <c r="AV106" i="4"/>
  <c r="AL107" i="4"/>
  <c r="AM107" i="4"/>
  <c r="AN107" i="4"/>
  <c r="AO107" i="4"/>
  <c r="AP107" i="4"/>
  <c r="AQ107" i="4"/>
  <c r="AR107" i="4"/>
  <c r="AS107" i="4"/>
  <c r="AT107" i="4"/>
  <c r="AU107" i="4"/>
  <c r="AV107" i="4"/>
  <c r="AL109" i="4"/>
  <c r="AM109" i="4"/>
  <c r="AN109" i="4"/>
  <c r="AO109" i="4"/>
  <c r="AP109" i="4"/>
  <c r="AQ109" i="4"/>
  <c r="AR109" i="4"/>
  <c r="AS109" i="4"/>
  <c r="AT109" i="4"/>
  <c r="AU109" i="4"/>
  <c r="AV109" i="4"/>
  <c r="AL110" i="4"/>
  <c r="AM110" i="4"/>
  <c r="AN110" i="4"/>
  <c r="AO110" i="4"/>
  <c r="AP110" i="4"/>
  <c r="AQ110" i="4"/>
  <c r="AR110" i="4"/>
  <c r="AS110" i="4"/>
  <c r="AT110" i="4"/>
  <c r="AU110" i="4"/>
  <c r="AV110" i="4"/>
  <c r="AL111" i="4"/>
  <c r="AM111" i="4"/>
  <c r="AN111" i="4"/>
  <c r="AO111" i="4"/>
  <c r="AP111" i="4"/>
  <c r="AQ111" i="4"/>
  <c r="AR111" i="4"/>
  <c r="AS111" i="4"/>
  <c r="AT111" i="4"/>
  <c r="AU111" i="4"/>
  <c r="AV111" i="4"/>
  <c r="AL112" i="4"/>
  <c r="AM112" i="4"/>
  <c r="AN112" i="4"/>
  <c r="AO112" i="4"/>
  <c r="AP112" i="4"/>
  <c r="AQ112" i="4"/>
  <c r="AR112" i="4"/>
  <c r="AS112" i="4"/>
  <c r="AT112" i="4"/>
  <c r="AU112" i="4"/>
  <c r="AV112" i="4"/>
  <c r="AL113" i="4"/>
  <c r="AM113" i="4"/>
  <c r="AN113" i="4"/>
  <c r="AO113" i="4"/>
  <c r="AP113" i="4"/>
  <c r="AQ113" i="4"/>
  <c r="AR113" i="4"/>
  <c r="AS113" i="4"/>
  <c r="AT113" i="4"/>
  <c r="AU113" i="4"/>
  <c r="AV113" i="4"/>
  <c r="AL114" i="4"/>
  <c r="AM114" i="4"/>
  <c r="AN114" i="4"/>
  <c r="AO114" i="4"/>
  <c r="AP114" i="4"/>
  <c r="AQ114" i="4"/>
  <c r="AR114" i="4"/>
  <c r="AS114" i="4"/>
  <c r="AT114" i="4"/>
  <c r="AU114" i="4"/>
  <c r="AV114" i="4"/>
  <c r="AL116" i="4"/>
  <c r="AM116" i="4"/>
  <c r="AN116" i="4"/>
  <c r="AO116" i="4"/>
  <c r="AP116" i="4"/>
  <c r="AQ116" i="4"/>
  <c r="AR116" i="4"/>
  <c r="AS116" i="4"/>
  <c r="AT116" i="4"/>
  <c r="AU116" i="4"/>
  <c r="AV116" i="4"/>
  <c r="AL117" i="4"/>
  <c r="AM117" i="4"/>
  <c r="AN117" i="4"/>
  <c r="AO117" i="4"/>
  <c r="AP117" i="4"/>
  <c r="AQ117" i="4"/>
  <c r="AR117" i="4"/>
  <c r="AS117" i="4"/>
  <c r="AT117" i="4"/>
  <c r="AU117" i="4"/>
  <c r="AV117" i="4"/>
  <c r="AL118" i="4"/>
  <c r="AM118" i="4"/>
  <c r="AN118" i="4"/>
  <c r="AO118" i="4"/>
  <c r="AP118" i="4"/>
  <c r="AQ118" i="4"/>
  <c r="AR118" i="4"/>
  <c r="AS118" i="4"/>
  <c r="AT118" i="4"/>
  <c r="AU118" i="4"/>
  <c r="AV118" i="4"/>
  <c r="AL119" i="4"/>
  <c r="AM119" i="4"/>
  <c r="AN119" i="4"/>
  <c r="AO119" i="4"/>
  <c r="AP119" i="4"/>
  <c r="AQ119" i="4"/>
  <c r="AR119" i="4"/>
  <c r="AS119" i="4"/>
  <c r="AT119" i="4"/>
  <c r="AU119" i="4"/>
  <c r="AV119" i="4"/>
  <c r="AL120" i="4"/>
  <c r="AM120" i="4"/>
  <c r="AN120" i="4"/>
  <c r="AO120" i="4"/>
  <c r="AP120" i="4"/>
  <c r="AQ120" i="4"/>
  <c r="AR120" i="4"/>
  <c r="AS120" i="4"/>
  <c r="AT120" i="4"/>
  <c r="AU120" i="4"/>
  <c r="AV120" i="4"/>
  <c r="AL121" i="4"/>
  <c r="AM121" i="4"/>
  <c r="AN121" i="4"/>
  <c r="AO121" i="4"/>
  <c r="AP121" i="4"/>
  <c r="AQ121" i="4"/>
  <c r="AR121" i="4"/>
  <c r="AS121" i="4"/>
  <c r="AT121" i="4"/>
  <c r="AU121" i="4"/>
  <c r="AV121" i="4"/>
  <c r="AL122" i="4"/>
  <c r="AM122" i="4"/>
  <c r="AN122" i="4"/>
  <c r="AO122" i="4"/>
  <c r="AP122" i="4"/>
  <c r="AQ122" i="4"/>
  <c r="AR122" i="4"/>
  <c r="AS122" i="4"/>
  <c r="AT122" i="4"/>
  <c r="AU122" i="4"/>
  <c r="AV122" i="4"/>
  <c r="AL123" i="4"/>
  <c r="AM123" i="4"/>
  <c r="AN123" i="4"/>
  <c r="AO123" i="4"/>
  <c r="AP123" i="4"/>
  <c r="AQ123" i="4"/>
  <c r="AR123" i="4"/>
  <c r="AS123" i="4"/>
  <c r="AT123" i="4"/>
  <c r="AU123" i="4"/>
  <c r="AV123" i="4"/>
  <c r="S106" i="4"/>
  <c r="T106" i="4"/>
  <c r="U106" i="4"/>
  <c r="V106" i="4"/>
  <c r="W106" i="4"/>
  <c r="X106" i="4"/>
  <c r="Y106" i="4"/>
  <c r="Z106" i="4"/>
  <c r="AA106" i="4"/>
  <c r="AB106" i="4"/>
  <c r="AC106" i="4"/>
  <c r="AD106" i="4"/>
  <c r="AE106" i="4"/>
  <c r="AF106" i="4"/>
  <c r="AG106" i="4"/>
  <c r="AH106" i="4"/>
  <c r="AI106" i="4"/>
  <c r="AJ106" i="4"/>
  <c r="AK106" i="4"/>
  <c r="S107" i="4"/>
  <c r="T107" i="4"/>
  <c r="U107" i="4"/>
  <c r="V107" i="4"/>
  <c r="W107" i="4"/>
  <c r="X107" i="4"/>
  <c r="Y107" i="4"/>
  <c r="Z107" i="4"/>
  <c r="AA107" i="4"/>
  <c r="AB107" i="4"/>
  <c r="AC107" i="4"/>
  <c r="AD107" i="4"/>
  <c r="AE107" i="4"/>
  <c r="AF107" i="4"/>
  <c r="AG107" i="4"/>
  <c r="AH107" i="4"/>
  <c r="AI107" i="4"/>
  <c r="AJ107" i="4"/>
  <c r="AK107" i="4"/>
  <c r="S109" i="4"/>
  <c r="T109" i="4"/>
  <c r="U109" i="4"/>
  <c r="V109" i="4"/>
  <c r="W109" i="4"/>
  <c r="X109" i="4"/>
  <c r="Y109" i="4"/>
  <c r="Z109" i="4"/>
  <c r="AA109" i="4"/>
  <c r="AB109" i="4"/>
  <c r="AC109" i="4"/>
  <c r="AD109" i="4"/>
  <c r="AE109" i="4"/>
  <c r="AF109" i="4"/>
  <c r="AG109" i="4"/>
  <c r="AH109" i="4"/>
  <c r="AI109" i="4"/>
  <c r="AJ109" i="4"/>
  <c r="AK109" i="4"/>
  <c r="S110" i="4"/>
  <c r="T110" i="4"/>
  <c r="U110" i="4"/>
  <c r="V110" i="4"/>
  <c r="W110" i="4"/>
  <c r="X110" i="4"/>
  <c r="Y110" i="4"/>
  <c r="Z110" i="4"/>
  <c r="AA110" i="4"/>
  <c r="AB110" i="4"/>
  <c r="AC110" i="4"/>
  <c r="AD110" i="4"/>
  <c r="AE110" i="4"/>
  <c r="AF110" i="4"/>
  <c r="AG110" i="4"/>
  <c r="AH110" i="4"/>
  <c r="AI110" i="4"/>
  <c r="AJ110" i="4"/>
  <c r="AK110" i="4"/>
  <c r="S111" i="4"/>
  <c r="T111" i="4"/>
  <c r="U111" i="4"/>
  <c r="V111" i="4"/>
  <c r="W111" i="4"/>
  <c r="X111" i="4"/>
  <c r="Y111" i="4"/>
  <c r="Z111" i="4"/>
  <c r="AA111" i="4"/>
  <c r="AB111" i="4"/>
  <c r="AC111" i="4"/>
  <c r="AD111" i="4"/>
  <c r="AE111" i="4"/>
  <c r="AF111" i="4"/>
  <c r="AG111" i="4"/>
  <c r="AH111" i="4"/>
  <c r="AI111" i="4"/>
  <c r="AJ111" i="4"/>
  <c r="AK111" i="4"/>
  <c r="S112" i="4"/>
  <c r="T112" i="4"/>
  <c r="U112" i="4"/>
  <c r="V112" i="4"/>
  <c r="W112" i="4"/>
  <c r="X112" i="4"/>
  <c r="Y112" i="4"/>
  <c r="Z112" i="4"/>
  <c r="AA112" i="4"/>
  <c r="AB112" i="4"/>
  <c r="AC112" i="4"/>
  <c r="AD112" i="4"/>
  <c r="AE112" i="4"/>
  <c r="AF112" i="4"/>
  <c r="AG112" i="4"/>
  <c r="AH112" i="4"/>
  <c r="AI112" i="4"/>
  <c r="AJ112" i="4"/>
  <c r="AK112" i="4"/>
  <c r="S113" i="4"/>
  <c r="T113" i="4"/>
  <c r="U113" i="4"/>
  <c r="V113" i="4"/>
  <c r="W113" i="4"/>
  <c r="X113" i="4"/>
  <c r="Y113" i="4"/>
  <c r="Z113" i="4"/>
  <c r="AA113" i="4"/>
  <c r="AB113" i="4"/>
  <c r="AC113" i="4"/>
  <c r="AD113" i="4"/>
  <c r="AE113" i="4"/>
  <c r="AF113" i="4"/>
  <c r="AG113" i="4"/>
  <c r="AH113" i="4"/>
  <c r="AI113" i="4"/>
  <c r="AJ113" i="4"/>
  <c r="AK113" i="4"/>
  <c r="S114" i="4"/>
  <c r="T114" i="4"/>
  <c r="U114" i="4"/>
  <c r="V114" i="4"/>
  <c r="W114" i="4"/>
  <c r="X114" i="4"/>
  <c r="Y114" i="4"/>
  <c r="Z114" i="4"/>
  <c r="AA114" i="4"/>
  <c r="AB114" i="4"/>
  <c r="AC114" i="4"/>
  <c r="AD114" i="4"/>
  <c r="AE114" i="4"/>
  <c r="AF114" i="4"/>
  <c r="AG114" i="4"/>
  <c r="AH114" i="4"/>
  <c r="AI114" i="4"/>
  <c r="AJ114" i="4"/>
  <c r="AK114" i="4"/>
  <c r="S116" i="4"/>
  <c r="T116" i="4"/>
  <c r="U116" i="4"/>
  <c r="V116" i="4"/>
  <c r="W116" i="4"/>
  <c r="X116" i="4"/>
  <c r="Y116" i="4"/>
  <c r="Z116" i="4"/>
  <c r="AA116" i="4"/>
  <c r="AB116" i="4"/>
  <c r="AC116" i="4"/>
  <c r="AD116" i="4"/>
  <c r="AE116" i="4"/>
  <c r="AF116" i="4"/>
  <c r="AG116" i="4"/>
  <c r="AH116" i="4"/>
  <c r="AI116" i="4"/>
  <c r="AJ116" i="4"/>
  <c r="AK116" i="4"/>
  <c r="S117" i="4"/>
  <c r="T117" i="4"/>
  <c r="U117" i="4"/>
  <c r="V117" i="4"/>
  <c r="W117" i="4"/>
  <c r="X117" i="4"/>
  <c r="Y117" i="4"/>
  <c r="Z117" i="4"/>
  <c r="AA117" i="4"/>
  <c r="AB117" i="4"/>
  <c r="AC117" i="4"/>
  <c r="AD117" i="4"/>
  <c r="AE117" i="4"/>
  <c r="AF117" i="4"/>
  <c r="AG117" i="4"/>
  <c r="AH117" i="4"/>
  <c r="AI117" i="4"/>
  <c r="AJ117" i="4"/>
  <c r="AK117" i="4"/>
  <c r="S118" i="4"/>
  <c r="T118" i="4"/>
  <c r="U118" i="4"/>
  <c r="V118" i="4"/>
  <c r="W118" i="4"/>
  <c r="X118" i="4"/>
  <c r="Y118" i="4"/>
  <c r="Z118" i="4"/>
  <c r="AA118" i="4"/>
  <c r="AB118" i="4"/>
  <c r="AC118" i="4"/>
  <c r="AD118" i="4"/>
  <c r="AE118" i="4"/>
  <c r="AF118" i="4"/>
  <c r="AG118" i="4"/>
  <c r="AH118" i="4"/>
  <c r="AI118" i="4"/>
  <c r="AJ118" i="4"/>
  <c r="AK118" i="4"/>
  <c r="S119" i="4"/>
  <c r="T119" i="4"/>
  <c r="U119" i="4"/>
  <c r="V119" i="4"/>
  <c r="W119" i="4"/>
  <c r="X119" i="4"/>
  <c r="Y119" i="4"/>
  <c r="Z119" i="4"/>
  <c r="AA119" i="4"/>
  <c r="AB119" i="4"/>
  <c r="AC119" i="4"/>
  <c r="AD119" i="4"/>
  <c r="AE119" i="4"/>
  <c r="AF119" i="4"/>
  <c r="AG119" i="4"/>
  <c r="AH119" i="4"/>
  <c r="AI119" i="4"/>
  <c r="AJ119" i="4"/>
  <c r="AK119" i="4"/>
  <c r="S120" i="4"/>
  <c r="T120" i="4"/>
  <c r="U120" i="4"/>
  <c r="V120" i="4"/>
  <c r="W120" i="4"/>
  <c r="X120" i="4"/>
  <c r="Y120" i="4"/>
  <c r="Z120" i="4"/>
  <c r="AA120" i="4"/>
  <c r="AB120" i="4"/>
  <c r="AC120" i="4"/>
  <c r="AD120" i="4"/>
  <c r="AE120" i="4"/>
  <c r="AF120" i="4"/>
  <c r="AG120" i="4"/>
  <c r="AH120" i="4"/>
  <c r="AI120" i="4"/>
  <c r="AJ120" i="4"/>
  <c r="AK120" i="4"/>
  <c r="S121" i="4"/>
  <c r="T121" i="4"/>
  <c r="U121" i="4"/>
  <c r="V121" i="4"/>
  <c r="W121" i="4"/>
  <c r="X121" i="4"/>
  <c r="Y121" i="4"/>
  <c r="Z121" i="4"/>
  <c r="AA121" i="4"/>
  <c r="AB121" i="4"/>
  <c r="AC121" i="4"/>
  <c r="AD121" i="4"/>
  <c r="AE121" i="4"/>
  <c r="AF121" i="4"/>
  <c r="AG121" i="4"/>
  <c r="AH121" i="4"/>
  <c r="AI121" i="4"/>
  <c r="AJ121" i="4"/>
  <c r="AK121" i="4"/>
  <c r="S122" i="4"/>
  <c r="T122" i="4"/>
  <c r="U122" i="4"/>
  <c r="V122" i="4"/>
  <c r="W122" i="4"/>
  <c r="X122" i="4"/>
  <c r="Y122" i="4"/>
  <c r="Z122" i="4"/>
  <c r="AA122" i="4"/>
  <c r="AB122" i="4"/>
  <c r="AC122" i="4"/>
  <c r="AD122" i="4"/>
  <c r="AE122" i="4"/>
  <c r="AF122" i="4"/>
  <c r="AG122" i="4"/>
  <c r="AH122" i="4"/>
  <c r="AI122" i="4"/>
  <c r="AJ122" i="4"/>
  <c r="AK122" i="4"/>
  <c r="S123" i="4"/>
  <c r="T123" i="4"/>
  <c r="U123" i="4"/>
  <c r="V123" i="4"/>
  <c r="W123" i="4"/>
  <c r="X123" i="4"/>
  <c r="Y123" i="4"/>
  <c r="Z123" i="4"/>
  <c r="AA123" i="4"/>
  <c r="AB123" i="4"/>
  <c r="AC123" i="4"/>
  <c r="AD123" i="4"/>
  <c r="AE123" i="4"/>
  <c r="AF123" i="4"/>
  <c r="AG123" i="4"/>
  <c r="AH123" i="4"/>
  <c r="AI123" i="4"/>
  <c r="AJ123" i="4"/>
  <c r="AK123" i="4"/>
  <c r="I446" i="4" l="1"/>
  <c r="I450" i="4"/>
  <c r="I451" i="4"/>
  <c r="I453" i="4"/>
  <c r="I454" i="4"/>
  <c r="I456" i="4"/>
  <c r="I457" i="4"/>
  <c r="I461" i="4"/>
  <c r="I463" i="4"/>
  <c r="I465" i="4"/>
  <c r="I467" i="4"/>
  <c r="I468" i="4"/>
  <c r="I471" i="4"/>
  <c r="I472" i="4"/>
  <c r="I473" i="4"/>
  <c r="I476" i="4"/>
  <c r="I478" i="4"/>
  <c r="I480" i="4"/>
  <c r="H173" i="4"/>
  <c r="E157" i="4"/>
  <c r="E162" i="4"/>
  <c r="E165" i="4"/>
  <c r="E197" i="4" s="1"/>
  <c r="E180" i="4"/>
  <c r="I180" i="4"/>
  <c r="J180" i="4"/>
  <c r="K180" i="4"/>
  <c r="L180" i="4"/>
  <c r="M180" i="4"/>
  <c r="N180" i="4"/>
  <c r="O180" i="4"/>
  <c r="P180" i="4"/>
  <c r="Q180" i="4"/>
  <c r="R180" i="4"/>
  <c r="I173" i="4"/>
  <c r="J173" i="4"/>
  <c r="K173" i="4"/>
  <c r="L173" i="4"/>
  <c r="M173" i="4"/>
  <c r="N173" i="4"/>
  <c r="O173" i="4"/>
  <c r="P173" i="4"/>
  <c r="Q173" i="4"/>
  <c r="R173" i="4"/>
  <c r="G173" i="4"/>
  <c r="G180" i="4"/>
  <c r="H180" i="4"/>
  <c r="E173" i="4"/>
  <c r="F173" i="4"/>
  <c r="F180" i="4"/>
  <c r="E189" i="4"/>
  <c r="E194" i="4"/>
  <c r="K112" i="4"/>
  <c r="K145" i="4" s="1"/>
  <c r="K177" i="4" s="1"/>
  <c r="R114" i="17"/>
  <c r="S114" i="3" s="1"/>
  <c r="G125" i="19"/>
  <c r="G127" i="19" s="1"/>
  <c r="G128" i="19" s="1"/>
  <c r="F125" i="19"/>
  <c r="F127" i="19" s="1"/>
  <c r="F128" i="19" s="1"/>
  <c r="E125" i="19"/>
  <c r="E127" i="19" s="1"/>
  <c r="E128" i="19" s="1"/>
  <c r="D125" i="19"/>
  <c r="D127" i="19" s="1"/>
  <c r="D128" i="19" s="1"/>
  <c r="G112" i="19"/>
  <c r="F112" i="19"/>
  <c r="E112" i="19"/>
  <c r="D112" i="19"/>
  <c r="G102" i="19"/>
  <c r="F102" i="19"/>
  <c r="E102" i="19"/>
  <c r="D102" i="19"/>
  <c r="G95" i="19"/>
  <c r="F95" i="19"/>
  <c r="E95" i="19"/>
  <c r="D95" i="19"/>
  <c r="G78" i="19"/>
  <c r="F78" i="19"/>
  <c r="E78" i="19"/>
  <c r="D78" i="19"/>
  <c r="G68" i="19"/>
  <c r="F68" i="19"/>
  <c r="E68" i="19"/>
  <c r="D68" i="19"/>
  <c r="G56" i="19"/>
  <c r="F56" i="19"/>
  <c r="E56" i="19"/>
  <c r="D56" i="19"/>
  <c r="D18" i="19"/>
  <c r="D17" i="19"/>
  <c r="D16" i="19"/>
  <c r="D15" i="19"/>
  <c r="D14" i="19"/>
  <c r="D13" i="19"/>
  <c r="D11" i="19"/>
  <c r="D10" i="19"/>
  <c r="D9" i="19"/>
  <c r="G78" i="18"/>
  <c r="F78" i="18"/>
  <c r="E78" i="18"/>
  <c r="D78" i="18"/>
  <c r="G73" i="18"/>
  <c r="F73" i="18"/>
  <c r="E73" i="18"/>
  <c r="D73" i="18"/>
  <c r="G68" i="18"/>
  <c r="F68" i="18"/>
  <c r="E68" i="18"/>
  <c r="D68" i="18"/>
  <c r="G55" i="18"/>
  <c r="F55" i="18"/>
  <c r="E55" i="18"/>
  <c r="D55" i="18"/>
  <c r="G42" i="18"/>
  <c r="F42" i="18"/>
  <c r="E42" i="18"/>
  <c r="D42" i="18"/>
  <c r="G29" i="18"/>
  <c r="F29" i="18"/>
  <c r="E29" i="18"/>
  <c r="D29" i="18"/>
  <c r="G16" i="18"/>
  <c r="F16" i="18"/>
  <c r="E16" i="18"/>
  <c r="D16" i="18"/>
  <c r="AJ367" i="17"/>
  <c r="AI367" i="17"/>
  <c r="AH367" i="17"/>
  <c r="AG367" i="17"/>
  <c r="AF367" i="17"/>
  <c r="AE367" i="17"/>
  <c r="AD367" i="17"/>
  <c r="AC367" i="17"/>
  <c r="AB367" i="17"/>
  <c r="AA367" i="17"/>
  <c r="Z367" i="17"/>
  <c r="Y367" i="17"/>
  <c r="X367" i="17"/>
  <c r="W367" i="17"/>
  <c r="V367" i="17"/>
  <c r="U367" i="17"/>
  <c r="T367" i="17"/>
  <c r="S367" i="17"/>
  <c r="R367" i="17"/>
  <c r="Q367" i="17"/>
  <c r="P367" i="17"/>
  <c r="O367" i="17"/>
  <c r="N367" i="17"/>
  <c r="M367" i="17"/>
  <c r="L367" i="17"/>
  <c r="K367" i="17"/>
  <c r="J367" i="17"/>
  <c r="I367" i="17"/>
  <c r="H367" i="17"/>
  <c r="G367" i="17"/>
  <c r="F367" i="17"/>
  <c r="E367" i="17"/>
  <c r="D367" i="17"/>
  <c r="G354" i="17"/>
  <c r="F354" i="17"/>
  <c r="E354" i="17"/>
  <c r="D354" i="17"/>
  <c r="H350" i="17"/>
  <c r="G348" i="17"/>
  <c r="F348" i="17"/>
  <c r="E348" i="17"/>
  <c r="D348" i="17"/>
  <c r="F347" i="17"/>
  <c r="AJ343" i="17"/>
  <c r="AJ350" i="17" s="1"/>
  <c r="AI343" i="17"/>
  <c r="AI350" i="17" s="1"/>
  <c r="AH343" i="17"/>
  <c r="AH350" i="17" s="1"/>
  <c r="AG343" i="17"/>
  <c r="AG350" i="17" s="1"/>
  <c r="AF343" i="17"/>
  <c r="AF350" i="17" s="1"/>
  <c r="AE343" i="17"/>
  <c r="AE350" i="17" s="1"/>
  <c r="AD343" i="17"/>
  <c r="AD350" i="17" s="1"/>
  <c r="AC343" i="17"/>
  <c r="AC350" i="17" s="1"/>
  <c r="AB343" i="17"/>
  <c r="AB350" i="17" s="1"/>
  <c r="AA343" i="17"/>
  <c r="AA350" i="17" s="1"/>
  <c r="Z343" i="17"/>
  <c r="Z350" i="17" s="1"/>
  <c r="Y343" i="17"/>
  <c r="Y350" i="17" s="1"/>
  <c r="X343" i="17"/>
  <c r="X350" i="17" s="1"/>
  <c r="W343" i="17"/>
  <c r="W350" i="17" s="1"/>
  <c r="V343" i="17"/>
  <c r="V350" i="17" s="1"/>
  <c r="U343" i="17"/>
  <c r="U350" i="17" s="1"/>
  <c r="T343" i="17"/>
  <c r="T350" i="17" s="1"/>
  <c r="S343" i="17"/>
  <c r="S350" i="17" s="1"/>
  <c r="R343" i="17"/>
  <c r="R350" i="17" s="1"/>
  <c r="Q343" i="17"/>
  <c r="Q350" i="17" s="1"/>
  <c r="P343" i="17"/>
  <c r="P350" i="17" s="1"/>
  <c r="O343" i="17"/>
  <c r="O350" i="17" s="1"/>
  <c r="N343" i="17"/>
  <c r="N350" i="17" s="1"/>
  <c r="M343" i="17"/>
  <c r="M350" i="17" s="1"/>
  <c r="L343" i="17"/>
  <c r="L350" i="17" s="1"/>
  <c r="K343" i="17"/>
  <c r="K350" i="17" s="1"/>
  <c r="J343" i="17"/>
  <c r="J350" i="17" s="1"/>
  <c r="I343" i="17"/>
  <c r="I350" i="17" s="1"/>
  <c r="H343" i="17"/>
  <c r="G343" i="17"/>
  <c r="G346" i="17" s="1"/>
  <c r="G350" i="17" s="1"/>
  <c r="F343" i="17"/>
  <c r="F346" i="17" s="1"/>
  <c r="F350" i="17" s="1"/>
  <c r="E343" i="17"/>
  <c r="E346" i="17" s="1"/>
  <c r="E350" i="17" s="1"/>
  <c r="D343" i="17"/>
  <c r="D346" i="17" s="1"/>
  <c r="D350" i="17" s="1"/>
  <c r="G283" i="17"/>
  <c r="F283" i="17"/>
  <c r="E283" i="17"/>
  <c r="D283" i="17"/>
  <c r="G278" i="17"/>
  <c r="F278" i="17"/>
  <c r="E278" i="17"/>
  <c r="D278" i="17"/>
  <c r="G268" i="17"/>
  <c r="F268" i="17"/>
  <c r="E268" i="17"/>
  <c r="D268" i="17"/>
  <c r="G267" i="17"/>
  <c r="F267" i="17"/>
  <c r="E267" i="17"/>
  <c r="D267" i="17"/>
  <c r="G264" i="17"/>
  <c r="G299" i="17" s="1"/>
  <c r="F264" i="17"/>
  <c r="F299" i="17" s="1"/>
  <c r="E264" i="17"/>
  <c r="E299" i="17" s="1"/>
  <c r="D264" i="17"/>
  <c r="D299" i="17" s="1"/>
  <c r="G257" i="17"/>
  <c r="F257" i="17"/>
  <c r="E257" i="17"/>
  <c r="D257" i="17"/>
  <c r="G256" i="17"/>
  <c r="F256" i="17"/>
  <c r="E256" i="17"/>
  <c r="D256" i="17"/>
  <c r="G254" i="17"/>
  <c r="F254" i="17"/>
  <c r="E254" i="17"/>
  <c r="D254" i="17"/>
  <c r="G233" i="17"/>
  <c r="G304" i="17" s="1"/>
  <c r="F233" i="17"/>
  <c r="F304" i="17" s="1"/>
  <c r="E233" i="17"/>
  <c r="E304" i="17" s="1"/>
  <c r="D233" i="17"/>
  <c r="D304" i="17" s="1"/>
  <c r="G231" i="17"/>
  <c r="G303" i="17" s="1"/>
  <c r="F231" i="17"/>
  <c r="F303" i="17" s="1"/>
  <c r="E231" i="17"/>
  <c r="E303" i="17" s="1"/>
  <c r="D231" i="17"/>
  <c r="D303" i="17" s="1"/>
  <c r="G228" i="17"/>
  <c r="G302" i="17" s="1"/>
  <c r="F228" i="17"/>
  <c r="F302" i="17" s="1"/>
  <c r="E228" i="17"/>
  <c r="E302" i="17" s="1"/>
  <c r="D228" i="17"/>
  <c r="D302" i="17" s="1"/>
  <c r="G223" i="17"/>
  <c r="G301" i="17" s="1"/>
  <c r="G300" i="17" s="1"/>
  <c r="F223" i="17"/>
  <c r="F301" i="17" s="1"/>
  <c r="F300" i="17" s="1"/>
  <c r="E223" i="17"/>
  <c r="E301" i="17" s="1"/>
  <c r="E300" i="17" s="1"/>
  <c r="D223" i="17"/>
  <c r="D301" i="17" s="1"/>
  <c r="D300" i="17" s="1"/>
  <c r="G222" i="17"/>
  <c r="F222" i="17"/>
  <c r="E222" i="17"/>
  <c r="D222" i="17"/>
  <c r="G218" i="17"/>
  <c r="G298" i="17" s="1"/>
  <c r="F218" i="17"/>
  <c r="F298" i="17" s="1"/>
  <c r="E218" i="17"/>
  <c r="E298" i="17" s="1"/>
  <c r="D218" i="17"/>
  <c r="D298" i="17" s="1"/>
  <c r="G215" i="17"/>
  <c r="G297" i="17" s="1"/>
  <c r="G296" i="17" s="1"/>
  <c r="F215" i="17"/>
  <c r="F297" i="17" s="1"/>
  <c r="F296" i="17" s="1"/>
  <c r="E215" i="17"/>
  <c r="E297" i="17" s="1"/>
  <c r="E296" i="17" s="1"/>
  <c r="D215" i="17"/>
  <c r="D297" i="17" s="1"/>
  <c r="D296" i="17" s="1"/>
  <c r="G214" i="17"/>
  <c r="F214" i="17"/>
  <c r="E214" i="17"/>
  <c r="D214" i="17"/>
  <c r="G210" i="17"/>
  <c r="F210" i="17"/>
  <c r="E210" i="17"/>
  <c r="D210" i="17"/>
  <c r="D196" i="17"/>
  <c r="D195" i="17"/>
  <c r="D194" i="17"/>
  <c r="P135" i="17"/>
  <c r="O135" i="17"/>
  <c r="N135" i="17"/>
  <c r="M135" i="17"/>
  <c r="L135" i="17"/>
  <c r="F135" i="17"/>
  <c r="E135" i="17"/>
  <c r="D135" i="17"/>
  <c r="J128" i="17"/>
  <c r="I124" i="17"/>
  <c r="I135" i="17" s="1"/>
  <c r="J123" i="17"/>
  <c r="K119" i="17"/>
  <c r="K135" i="17" s="1"/>
  <c r="J119" i="17"/>
  <c r="H119" i="17"/>
  <c r="H135" i="17" s="1"/>
  <c r="J116" i="17"/>
  <c r="G116" i="17"/>
  <c r="G135" i="17" s="1"/>
  <c r="Q135" i="17"/>
  <c r="J112" i="17"/>
  <c r="J135" i="17" s="1"/>
  <c r="G80" i="17"/>
  <c r="F80" i="17"/>
  <c r="E80" i="17"/>
  <c r="D80" i="17"/>
  <c r="G75" i="17"/>
  <c r="F75" i="17"/>
  <c r="E75" i="17"/>
  <c r="D75" i="17"/>
  <c r="G65" i="17"/>
  <c r="F65" i="17"/>
  <c r="E65" i="17"/>
  <c r="D65" i="17"/>
  <c r="G64" i="17"/>
  <c r="F64" i="17"/>
  <c r="E64" i="17"/>
  <c r="D64" i="17"/>
  <c r="G61" i="17"/>
  <c r="G96" i="17" s="1"/>
  <c r="F61" i="17"/>
  <c r="F96" i="17" s="1"/>
  <c r="E61" i="17"/>
  <c r="E96" i="17" s="1"/>
  <c r="D61" i="17"/>
  <c r="D96" i="17" s="1"/>
  <c r="G54" i="17"/>
  <c r="F54" i="17"/>
  <c r="E54" i="17"/>
  <c r="D54" i="17"/>
  <c r="G53" i="17"/>
  <c r="F53" i="17"/>
  <c r="E53" i="17"/>
  <c r="D53" i="17"/>
  <c r="G51" i="17"/>
  <c r="F51" i="17"/>
  <c r="E51" i="17"/>
  <c r="D51" i="17"/>
  <c r="G30" i="17"/>
  <c r="G101" i="17" s="1"/>
  <c r="F30" i="17"/>
  <c r="F101" i="17" s="1"/>
  <c r="E30" i="17"/>
  <c r="E101" i="17" s="1"/>
  <c r="D30" i="17"/>
  <c r="D101" i="17" s="1"/>
  <c r="G28" i="17"/>
  <c r="G100" i="17" s="1"/>
  <c r="F28" i="17"/>
  <c r="F100" i="17" s="1"/>
  <c r="E28" i="17"/>
  <c r="E100" i="17" s="1"/>
  <c r="D28" i="17"/>
  <c r="D100" i="17" s="1"/>
  <c r="G25" i="17"/>
  <c r="G99" i="17" s="1"/>
  <c r="F25" i="17"/>
  <c r="F99" i="17" s="1"/>
  <c r="E25" i="17"/>
  <c r="E99" i="17" s="1"/>
  <c r="D25" i="17"/>
  <c r="D99" i="17" s="1"/>
  <c r="G20" i="17"/>
  <c r="G98" i="17" s="1"/>
  <c r="G97" i="17" s="1"/>
  <c r="F20" i="17"/>
  <c r="F98" i="17" s="1"/>
  <c r="F97" i="17" s="1"/>
  <c r="E20" i="17"/>
  <c r="E98" i="17" s="1"/>
  <c r="E97" i="17" s="1"/>
  <c r="D20" i="17"/>
  <c r="D98" i="17" s="1"/>
  <c r="D97" i="17" s="1"/>
  <c r="G19" i="17"/>
  <c r="F19" i="17"/>
  <c r="E19" i="17"/>
  <c r="D19" i="17"/>
  <c r="G15" i="17"/>
  <c r="G95" i="17" s="1"/>
  <c r="F15" i="17"/>
  <c r="F95" i="17" s="1"/>
  <c r="E15" i="17"/>
  <c r="E95" i="17" s="1"/>
  <c r="D15" i="17"/>
  <c r="D95" i="17" s="1"/>
  <c r="G12" i="17"/>
  <c r="G94" i="17" s="1"/>
  <c r="G93" i="17" s="1"/>
  <c r="F12" i="17"/>
  <c r="F94" i="17" s="1"/>
  <c r="F93" i="17" s="1"/>
  <c r="E12" i="17"/>
  <c r="E94" i="17" s="1"/>
  <c r="E93" i="17" s="1"/>
  <c r="D12" i="17"/>
  <c r="D94" i="17" s="1"/>
  <c r="D93" i="17" s="1"/>
  <c r="G11" i="17"/>
  <c r="F11" i="17"/>
  <c r="E11" i="17"/>
  <c r="D11" i="17"/>
  <c r="G7" i="17"/>
  <c r="F7" i="17"/>
  <c r="E7" i="17"/>
  <c r="D7" i="17"/>
  <c r="G167" i="16"/>
  <c r="F167" i="16"/>
  <c r="E167" i="16"/>
  <c r="D167"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J50" i="16"/>
  <c r="AI50" i="16"/>
  <c r="AH50" i="16"/>
  <c r="AG50" i="16"/>
  <c r="AF50" i="16"/>
  <c r="AE50" i="16"/>
  <c r="AD50" i="16"/>
  <c r="AC50" i="16"/>
  <c r="AB50" i="16"/>
  <c r="AA50" i="16"/>
  <c r="Z50" i="16"/>
  <c r="Y50" i="16"/>
  <c r="X50" i="16"/>
  <c r="W50" i="16"/>
  <c r="V50" i="16"/>
  <c r="U50" i="16"/>
  <c r="T50" i="16"/>
  <c r="S50" i="16"/>
  <c r="R50" i="16"/>
  <c r="Q50" i="16"/>
  <c r="P50" i="16"/>
  <c r="O50" i="16"/>
  <c r="N50" i="16"/>
  <c r="M50" i="16"/>
  <c r="L50" i="16"/>
  <c r="K50" i="16"/>
  <c r="J50" i="16"/>
  <c r="I50" i="16"/>
  <c r="H50" i="16"/>
  <c r="G50" i="16"/>
  <c r="F50" i="16"/>
  <c r="E50" i="16"/>
  <c r="D50" i="16"/>
  <c r="AJ36" i="16"/>
  <c r="AI36" i="16"/>
  <c r="AH36" i="16"/>
  <c r="AG36" i="16"/>
  <c r="AF36" i="16"/>
  <c r="AE36" i="16"/>
  <c r="AD36" i="16"/>
  <c r="AC36" i="16"/>
  <c r="AB36" i="16"/>
  <c r="AA36" i="16"/>
  <c r="Z36" i="16"/>
  <c r="Y36" i="16"/>
  <c r="X36" i="16"/>
  <c r="W36" i="16"/>
  <c r="V36" i="16"/>
  <c r="U36" i="16"/>
  <c r="T36" i="16"/>
  <c r="S36" i="16"/>
  <c r="R36" i="16"/>
  <c r="Q36" i="16"/>
  <c r="P36" i="16"/>
  <c r="O36" i="16"/>
  <c r="N36" i="16"/>
  <c r="M36" i="16"/>
  <c r="L36" i="16"/>
  <c r="K36" i="16"/>
  <c r="J36" i="16"/>
  <c r="I36" i="16"/>
  <c r="H36" i="16"/>
  <c r="G36" i="16"/>
  <c r="F36" i="16"/>
  <c r="E36" i="16"/>
  <c r="D36" i="16"/>
  <c r="AJ28" i="16"/>
  <c r="AI28" i="16"/>
  <c r="AH28" i="16"/>
  <c r="AG28" i="16"/>
  <c r="AF28" i="16"/>
  <c r="AE28" i="16"/>
  <c r="AD28" i="16"/>
  <c r="AC28" i="16"/>
  <c r="AB28" i="16"/>
  <c r="AA28" i="16"/>
  <c r="Z28" i="16"/>
  <c r="Y28" i="16"/>
  <c r="X28" i="16"/>
  <c r="W28" i="16"/>
  <c r="V28" i="16"/>
  <c r="U28" i="16"/>
  <c r="T28" i="16"/>
  <c r="S28" i="16"/>
  <c r="R28" i="16"/>
  <c r="Q28" i="16"/>
  <c r="P28" i="16"/>
  <c r="O28" i="16"/>
  <c r="N28" i="16"/>
  <c r="M28" i="16"/>
  <c r="L28" i="16"/>
  <c r="K28" i="16"/>
  <c r="J28" i="16"/>
  <c r="I28" i="16"/>
  <c r="H28" i="16"/>
  <c r="G28" i="16"/>
  <c r="F28" i="16"/>
  <c r="E28" i="16"/>
  <c r="D28" i="16"/>
  <c r="AJ10" i="16"/>
  <c r="AI10" i="16"/>
  <c r="AH10" i="16"/>
  <c r="AG10" i="16"/>
  <c r="AF10" i="16"/>
  <c r="AE10" i="16"/>
  <c r="AD10" i="16"/>
  <c r="AC10" i="16"/>
  <c r="AB10" i="16"/>
  <c r="AA10" i="16"/>
  <c r="Z10" i="16"/>
  <c r="Y10" i="16"/>
  <c r="X10" i="16"/>
  <c r="W10" i="16"/>
  <c r="V10" i="16"/>
  <c r="U10" i="16"/>
  <c r="T10" i="16"/>
  <c r="S10" i="16"/>
  <c r="R10" i="16"/>
  <c r="Q10" i="16"/>
  <c r="P10" i="16"/>
  <c r="O10" i="16"/>
  <c r="N10" i="16"/>
  <c r="M10" i="16"/>
  <c r="L10" i="16"/>
  <c r="K10" i="16"/>
  <c r="J10" i="16"/>
  <c r="I10" i="16"/>
  <c r="H10" i="16"/>
  <c r="G10" i="16"/>
  <c r="F10" i="16"/>
  <c r="E10" i="16"/>
  <c r="D10" i="16"/>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3" i="15"/>
  <c r="F123" i="15"/>
  <c r="E123" i="15"/>
  <c r="D123" i="15"/>
  <c r="G122" i="15"/>
  <c r="F122" i="15"/>
  <c r="E122" i="15"/>
  <c r="D122" i="15"/>
  <c r="G121" i="15"/>
  <c r="F121" i="15"/>
  <c r="E121" i="15"/>
  <c r="D121" i="15"/>
  <c r="G120" i="15"/>
  <c r="F120" i="15"/>
  <c r="E120" i="15"/>
  <c r="D120" i="15"/>
  <c r="G119" i="15"/>
  <c r="F119" i="15"/>
  <c r="E119" i="15"/>
  <c r="D119" i="15"/>
  <c r="G118" i="15"/>
  <c r="F118" i="15"/>
  <c r="E118" i="15"/>
  <c r="D118" i="15"/>
  <c r="G117" i="15"/>
  <c r="F117" i="15"/>
  <c r="E117" i="15"/>
  <c r="D117" i="15"/>
  <c r="G116" i="15"/>
  <c r="G124" i="15" s="1"/>
  <c r="F116" i="15"/>
  <c r="F124" i="15" s="1"/>
  <c r="E116" i="15"/>
  <c r="E124" i="15" s="1"/>
  <c r="D116" i="15"/>
  <c r="D124" i="15" s="1"/>
  <c r="G107" i="15"/>
  <c r="F107" i="15"/>
  <c r="E107" i="15"/>
  <c r="D107" i="15"/>
  <c r="G106" i="15"/>
  <c r="H106" i="15" s="1"/>
  <c r="I106" i="15" s="1"/>
  <c r="J106" i="15" s="1"/>
  <c r="K106" i="15" s="1"/>
  <c r="L106" i="15" s="1"/>
  <c r="M106" i="15" s="1"/>
  <c r="N106" i="15" s="1"/>
  <c r="O106" i="15" s="1"/>
  <c r="P106" i="15" s="1"/>
  <c r="Q106" i="15" s="1"/>
  <c r="R106" i="15" s="1"/>
  <c r="S106" i="15" s="1"/>
  <c r="T106" i="15" s="1"/>
  <c r="U106" i="15" s="1"/>
  <c r="V106" i="15" s="1"/>
  <c r="W106" i="15" s="1"/>
  <c r="X106" i="15" s="1"/>
  <c r="Y106" i="15" s="1"/>
  <c r="Z106" i="15" s="1"/>
  <c r="AA106" i="15" s="1"/>
  <c r="AB106" i="15" s="1"/>
  <c r="AC106" i="15" s="1"/>
  <c r="AD106" i="15" s="1"/>
  <c r="AE106" i="15" s="1"/>
  <c r="AF106" i="15" s="1"/>
  <c r="AG106" i="15" s="1"/>
  <c r="AH106" i="15" s="1"/>
  <c r="AI106" i="15" s="1"/>
  <c r="AJ106" i="15" s="1"/>
  <c r="F106" i="15"/>
  <c r="E106" i="15"/>
  <c r="D106" i="15"/>
  <c r="G105" i="15"/>
  <c r="H105" i="15" s="1"/>
  <c r="I105" i="15" s="1"/>
  <c r="J105" i="15" s="1"/>
  <c r="K105" i="15" s="1"/>
  <c r="L105" i="15" s="1"/>
  <c r="M105" i="15" s="1"/>
  <c r="N105" i="15" s="1"/>
  <c r="O105" i="15" s="1"/>
  <c r="P105" i="15" s="1"/>
  <c r="Q105" i="15" s="1"/>
  <c r="R105" i="15" s="1"/>
  <c r="S105" i="15" s="1"/>
  <c r="T105" i="15" s="1"/>
  <c r="U105" i="15" s="1"/>
  <c r="V105" i="15" s="1"/>
  <c r="W105" i="15" s="1"/>
  <c r="X105" i="15" s="1"/>
  <c r="Y105" i="15" s="1"/>
  <c r="Z105" i="15" s="1"/>
  <c r="AA105" i="15" s="1"/>
  <c r="AB105" i="15" s="1"/>
  <c r="AC105" i="15" s="1"/>
  <c r="AD105" i="15" s="1"/>
  <c r="AE105" i="15" s="1"/>
  <c r="AF105" i="15" s="1"/>
  <c r="AG105" i="15" s="1"/>
  <c r="AH105" i="15" s="1"/>
  <c r="AI105" i="15" s="1"/>
  <c r="AJ105" i="15" s="1"/>
  <c r="F105" i="15"/>
  <c r="E105" i="15"/>
  <c r="D105" i="15"/>
  <c r="G104" i="15"/>
  <c r="H104" i="15" s="1"/>
  <c r="I104" i="15" s="1"/>
  <c r="J104" i="15" s="1"/>
  <c r="K104" i="15" s="1"/>
  <c r="L104" i="15" s="1"/>
  <c r="M104" i="15" s="1"/>
  <c r="N104" i="15" s="1"/>
  <c r="O104" i="15" s="1"/>
  <c r="P104" i="15" s="1"/>
  <c r="Q104" i="15" s="1"/>
  <c r="R104" i="15" s="1"/>
  <c r="S104" i="15" s="1"/>
  <c r="T104" i="15" s="1"/>
  <c r="U104" i="15" s="1"/>
  <c r="V104" i="15" s="1"/>
  <c r="W104" i="15" s="1"/>
  <c r="X104" i="15" s="1"/>
  <c r="Y104" i="15" s="1"/>
  <c r="Z104" i="15" s="1"/>
  <c r="AA104" i="15" s="1"/>
  <c r="AB104" i="15" s="1"/>
  <c r="AC104" i="15" s="1"/>
  <c r="AD104" i="15" s="1"/>
  <c r="AE104" i="15" s="1"/>
  <c r="AF104" i="15" s="1"/>
  <c r="AG104" i="15" s="1"/>
  <c r="AH104" i="15" s="1"/>
  <c r="AI104" i="15" s="1"/>
  <c r="AJ104" i="15" s="1"/>
  <c r="F104" i="15"/>
  <c r="E104" i="15"/>
  <c r="D104" i="15"/>
  <c r="G103" i="15"/>
  <c r="H103" i="15" s="1"/>
  <c r="I103" i="15" s="1"/>
  <c r="J103" i="15" s="1"/>
  <c r="K103" i="15" s="1"/>
  <c r="L103" i="15" s="1"/>
  <c r="M103" i="15" s="1"/>
  <c r="N103" i="15" s="1"/>
  <c r="O103" i="15" s="1"/>
  <c r="P103" i="15" s="1"/>
  <c r="Q103" i="15" s="1"/>
  <c r="R103" i="15" s="1"/>
  <c r="S103" i="15" s="1"/>
  <c r="T103" i="15" s="1"/>
  <c r="U103" i="15" s="1"/>
  <c r="V103" i="15" s="1"/>
  <c r="W103" i="15" s="1"/>
  <c r="X103" i="15" s="1"/>
  <c r="Y103" i="15" s="1"/>
  <c r="Z103" i="15" s="1"/>
  <c r="AA103" i="15" s="1"/>
  <c r="AB103" i="15" s="1"/>
  <c r="AC103" i="15" s="1"/>
  <c r="AD103" i="15" s="1"/>
  <c r="AE103" i="15" s="1"/>
  <c r="AF103" i="15" s="1"/>
  <c r="AG103" i="15" s="1"/>
  <c r="AH103" i="15" s="1"/>
  <c r="AI103" i="15" s="1"/>
  <c r="AJ103" i="15" s="1"/>
  <c r="F103" i="15"/>
  <c r="E103" i="15"/>
  <c r="D103" i="15"/>
  <c r="G102" i="15"/>
  <c r="H102" i="15" s="1"/>
  <c r="I102" i="15" s="1"/>
  <c r="J102" i="15" s="1"/>
  <c r="K102" i="15" s="1"/>
  <c r="L102" i="15" s="1"/>
  <c r="M102" i="15" s="1"/>
  <c r="N102" i="15" s="1"/>
  <c r="O102" i="15" s="1"/>
  <c r="P102" i="15" s="1"/>
  <c r="Q102" i="15" s="1"/>
  <c r="R102" i="15" s="1"/>
  <c r="S102" i="15" s="1"/>
  <c r="T102" i="15" s="1"/>
  <c r="U102" i="15" s="1"/>
  <c r="V102" i="15" s="1"/>
  <c r="W102" i="15" s="1"/>
  <c r="X102" i="15" s="1"/>
  <c r="Y102" i="15" s="1"/>
  <c r="Z102" i="15" s="1"/>
  <c r="AA102" i="15" s="1"/>
  <c r="AB102" i="15" s="1"/>
  <c r="AC102" i="15" s="1"/>
  <c r="AD102" i="15" s="1"/>
  <c r="AE102" i="15" s="1"/>
  <c r="AF102" i="15" s="1"/>
  <c r="AG102" i="15" s="1"/>
  <c r="AH102" i="15" s="1"/>
  <c r="AI102" i="15" s="1"/>
  <c r="AJ102" i="15" s="1"/>
  <c r="F102" i="15"/>
  <c r="E102" i="15"/>
  <c r="D102" i="15"/>
  <c r="G101" i="15"/>
  <c r="H101" i="15" s="1"/>
  <c r="I101" i="15" s="1"/>
  <c r="J101" i="15" s="1"/>
  <c r="K101" i="15" s="1"/>
  <c r="L101" i="15" s="1"/>
  <c r="M101" i="15" s="1"/>
  <c r="N101" i="15" s="1"/>
  <c r="O101" i="15" s="1"/>
  <c r="P101" i="15" s="1"/>
  <c r="Q101" i="15" s="1"/>
  <c r="R101" i="15" s="1"/>
  <c r="S101" i="15" s="1"/>
  <c r="T101" i="15" s="1"/>
  <c r="U101" i="15" s="1"/>
  <c r="V101" i="15" s="1"/>
  <c r="W101" i="15" s="1"/>
  <c r="X101" i="15" s="1"/>
  <c r="Y101" i="15" s="1"/>
  <c r="Z101" i="15" s="1"/>
  <c r="AA101" i="15" s="1"/>
  <c r="AB101" i="15" s="1"/>
  <c r="AC101" i="15" s="1"/>
  <c r="AD101" i="15" s="1"/>
  <c r="AE101" i="15" s="1"/>
  <c r="AF101" i="15" s="1"/>
  <c r="AG101" i="15" s="1"/>
  <c r="AH101" i="15" s="1"/>
  <c r="AI101" i="15" s="1"/>
  <c r="AJ101" i="15" s="1"/>
  <c r="F101" i="15"/>
  <c r="E101" i="15"/>
  <c r="D101" i="15"/>
  <c r="G100" i="15"/>
  <c r="H100" i="15" s="1"/>
  <c r="I100" i="15" s="1"/>
  <c r="J100" i="15" s="1"/>
  <c r="K100" i="15" s="1"/>
  <c r="L100" i="15" s="1"/>
  <c r="M100" i="15" s="1"/>
  <c r="N100" i="15" s="1"/>
  <c r="O100" i="15" s="1"/>
  <c r="P100" i="15" s="1"/>
  <c r="Q100" i="15" s="1"/>
  <c r="R100" i="15" s="1"/>
  <c r="S100" i="15" s="1"/>
  <c r="T100" i="15" s="1"/>
  <c r="U100" i="15" s="1"/>
  <c r="V100" i="15" s="1"/>
  <c r="W100" i="15" s="1"/>
  <c r="X100" i="15" s="1"/>
  <c r="Y100" i="15" s="1"/>
  <c r="Z100" i="15" s="1"/>
  <c r="AA100" i="15" s="1"/>
  <c r="AB100" i="15" s="1"/>
  <c r="AC100" i="15" s="1"/>
  <c r="AD100" i="15" s="1"/>
  <c r="AE100" i="15" s="1"/>
  <c r="AF100" i="15" s="1"/>
  <c r="AG100" i="15" s="1"/>
  <c r="AH100" i="15" s="1"/>
  <c r="AI100" i="15" s="1"/>
  <c r="AJ100" i="15" s="1"/>
  <c r="F100" i="15"/>
  <c r="E100" i="15"/>
  <c r="D100" i="15"/>
  <c r="G99" i="15"/>
  <c r="H99" i="15" s="1"/>
  <c r="I99" i="15" s="1"/>
  <c r="J99" i="15" s="1"/>
  <c r="K99" i="15" s="1"/>
  <c r="L99" i="15" s="1"/>
  <c r="M99" i="15" s="1"/>
  <c r="N99" i="15" s="1"/>
  <c r="O99" i="15" s="1"/>
  <c r="P99" i="15" s="1"/>
  <c r="Q99" i="15" s="1"/>
  <c r="R99" i="15" s="1"/>
  <c r="S99" i="15" s="1"/>
  <c r="T99" i="15" s="1"/>
  <c r="U99" i="15" s="1"/>
  <c r="V99" i="15" s="1"/>
  <c r="W99" i="15" s="1"/>
  <c r="X99" i="15" s="1"/>
  <c r="Y99" i="15" s="1"/>
  <c r="Z99" i="15" s="1"/>
  <c r="AA99" i="15" s="1"/>
  <c r="AB99" i="15" s="1"/>
  <c r="AC99" i="15" s="1"/>
  <c r="AD99" i="15" s="1"/>
  <c r="AE99" i="15" s="1"/>
  <c r="AF99" i="15" s="1"/>
  <c r="AG99" i="15" s="1"/>
  <c r="AH99" i="15" s="1"/>
  <c r="AI99" i="15" s="1"/>
  <c r="AJ99" i="15" s="1"/>
  <c r="F99" i="15"/>
  <c r="E99" i="15"/>
  <c r="D99" i="15"/>
  <c r="G98" i="15"/>
  <c r="H98" i="15" s="1"/>
  <c r="I98" i="15" s="1"/>
  <c r="J98" i="15" s="1"/>
  <c r="K98" i="15" s="1"/>
  <c r="L98" i="15" s="1"/>
  <c r="M98" i="15" s="1"/>
  <c r="N98" i="15" s="1"/>
  <c r="O98" i="15" s="1"/>
  <c r="P98" i="15" s="1"/>
  <c r="Q98" i="15" s="1"/>
  <c r="R98" i="15" s="1"/>
  <c r="S98" i="15" s="1"/>
  <c r="T98" i="15" s="1"/>
  <c r="U98" i="15" s="1"/>
  <c r="V98" i="15" s="1"/>
  <c r="W98" i="15" s="1"/>
  <c r="X98" i="15" s="1"/>
  <c r="Y98" i="15" s="1"/>
  <c r="Z98" i="15" s="1"/>
  <c r="AA98" i="15" s="1"/>
  <c r="AB98" i="15" s="1"/>
  <c r="AC98" i="15" s="1"/>
  <c r="AD98" i="15" s="1"/>
  <c r="AE98" i="15" s="1"/>
  <c r="AF98" i="15" s="1"/>
  <c r="AG98" i="15" s="1"/>
  <c r="AH98" i="15" s="1"/>
  <c r="AI98" i="15" s="1"/>
  <c r="AJ98" i="15" s="1"/>
  <c r="F98" i="15"/>
  <c r="E98" i="15"/>
  <c r="D98" i="15"/>
  <c r="G97" i="15"/>
  <c r="H97" i="15" s="1"/>
  <c r="F97" i="15"/>
  <c r="E97" i="15"/>
  <c r="D97" i="15"/>
  <c r="AI84" i="15"/>
  <c r="AH84" i="15"/>
  <c r="AG84" i="15"/>
  <c r="AF84" i="15"/>
  <c r="AD84" i="15"/>
  <c r="AC84" i="15"/>
  <c r="AB84" i="15"/>
  <c r="AA84" i="15"/>
  <c r="Y84" i="15"/>
  <c r="X84" i="15"/>
  <c r="W84" i="15"/>
  <c r="V84" i="15"/>
  <c r="T84" i="15"/>
  <c r="S84" i="15"/>
  <c r="R84" i="15"/>
  <c r="Q84" i="15"/>
  <c r="O84" i="15"/>
  <c r="N84" i="15"/>
  <c r="M84" i="15"/>
  <c r="L84" i="15"/>
  <c r="T83" i="15"/>
  <c r="S83" i="15"/>
  <c r="R83" i="15"/>
  <c r="Q83" i="15"/>
  <c r="G81" i="15"/>
  <c r="H81" i="15" s="1"/>
  <c r="I81" i="15" s="1"/>
  <c r="J81" i="15" s="1"/>
  <c r="K81" i="15" s="1"/>
  <c r="L81" i="15" s="1"/>
  <c r="M81" i="15" s="1"/>
  <c r="N81" i="15" s="1"/>
  <c r="O81" i="15" s="1"/>
  <c r="P81" i="15" s="1"/>
  <c r="Q81" i="15" s="1"/>
  <c r="R81" i="15" s="1"/>
  <c r="S81" i="15" s="1"/>
  <c r="T81" i="15" s="1"/>
  <c r="U81" i="15" s="1"/>
  <c r="V81" i="15" s="1"/>
  <c r="W81" i="15" s="1"/>
  <c r="X81" i="15" s="1"/>
  <c r="Y81" i="15" s="1"/>
  <c r="Z81" i="15" s="1"/>
  <c r="AA81" i="15" s="1"/>
  <c r="AB81" i="15" s="1"/>
  <c r="AC81" i="15" s="1"/>
  <c r="AD81" i="15" s="1"/>
  <c r="AE81" i="15" s="1"/>
  <c r="AF81" i="15" s="1"/>
  <c r="AG81" i="15" s="1"/>
  <c r="AH81" i="15" s="1"/>
  <c r="AI81" i="15" s="1"/>
  <c r="AJ81" i="15" s="1"/>
  <c r="F81" i="15"/>
  <c r="E81" i="15"/>
  <c r="D81" i="15"/>
  <c r="G77" i="15"/>
  <c r="H77" i="15" s="1"/>
  <c r="I77" i="15" s="1"/>
  <c r="J77" i="15" s="1"/>
  <c r="K77" i="15" s="1"/>
  <c r="L77" i="15" s="1"/>
  <c r="M77" i="15" s="1"/>
  <c r="N77" i="15" s="1"/>
  <c r="O77" i="15" s="1"/>
  <c r="P77" i="15" s="1"/>
  <c r="Q77" i="15" s="1"/>
  <c r="R77" i="15" s="1"/>
  <c r="S77" i="15" s="1"/>
  <c r="T77" i="15" s="1"/>
  <c r="U77" i="15" s="1"/>
  <c r="V77" i="15" s="1"/>
  <c r="W77" i="15" s="1"/>
  <c r="X77" i="15" s="1"/>
  <c r="Y77" i="15" s="1"/>
  <c r="Z77" i="15" s="1"/>
  <c r="AA77" i="15" s="1"/>
  <c r="AB77" i="15" s="1"/>
  <c r="AC77" i="15" s="1"/>
  <c r="AD77" i="15" s="1"/>
  <c r="AE77" i="15" s="1"/>
  <c r="AF77" i="15" s="1"/>
  <c r="AG77" i="15" s="1"/>
  <c r="AH77" i="15" s="1"/>
  <c r="AI77" i="15" s="1"/>
  <c r="AJ77" i="15" s="1"/>
  <c r="F77" i="15"/>
  <c r="E77" i="15"/>
  <c r="D77" i="15"/>
  <c r="G76" i="15"/>
  <c r="F76" i="15"/>
  <c r="F78" i="15" s="1"/>
  <c r="E76" i="15"/>
  <c r="E78" i="15" s="1"/>
  <c r="D76" i="15"/>
  <c r="D78" i="15" s="1"/>
  <c r="G72" i="15"/>
  <c r="H72" i="15" s="1"/>
  <c r="I72" i="15" s="1"/>
  <c r="J72" i="15" s="1"/>
  <c r="K72" i="15" s="1"/>
  <c r="L72" i="15" s="1"/>
  <c r="M72" i="15" s="1"/>
  <c r="N72" i="15" s="1"/>
  <c r="O72" i="15" s="1"/>
  <c r="P72" i="15" s="1"/>
  <c r="Q72" i="15" s="1"/>
  <c r="R72" i="15" s="1"/>
  <c r="S72" i="15" s="1"/>
  <c r="T72" i="15" s="1"/>
  <c r="U72" i="15" s="1"/>
  <c r="V72" i="15" s="1"/>
  <c r="W72" i="15" s="1"/>
  <c r="X72" i="15" s="1"/>
  <c r="Y72" i="15" s="1"/>
  <c r="Z72" i="15" s="1"/>
  <c r="AA72" i="15" s="1"/>
  <c r="AB72" i="15" s="1"/>
  <c r="AC72" i="15" s="1"/>
  <c r="AD72" i="15" s="1"/>
  <c r="AE72" i="15" s="1"/>
  <c r="AF72" i="15" s="1"/>
  <c r="AG72" i="15" s="1"/>
  <c r="AH72" i="15" s="1"/>
  <c r="AI72" i="15" s="1"/>
  <c r="AJ72" i="15" s="1"/>
  <c r="F72" i="15"/>
  <c r="E72" i="15"/>
  <c r="D72" i="15"/>
  <c r="G71" i="15"/>
  <c r="F71" i="15"/>
  <c r="F73" i="15" s="1"/>
  <c r="E71" i="15"/>
  <c r="E73" i="15" s="1"/>
  <c r="D71" i="15"/>
  <c r="D73" i="15" s="1"/>
  <c r="H67" i="15"/>
  <c r="I67" i="15" s="1"/>
  <c r="J67" i="15" s="1"/>
  <c r="K67" i="15" s="1"/>
  <c r="L67" i="15" s="1"/>
  <c r="M67" i="15" s="1"/>
  <c r="N67" i="15" s="1"/>
  <c r="O67" i="15" s="1"/>
  <c r="P67" i="15" s="1"/>
  <c r="Q67" i="15" s="1"/>
  <c r="R67" i="15" s="1"/>
  <c r="S67" i="15" s="1"/>
  <c r="T67" i="15" s="1"/>
  <c r="U67" i="15" s="1"/>
  <c r="V67" i="15" s="1"/>
  <c r="W67" i="15" s="1"/>
  <c r="X67" i="15" s="1"/>
  <c r="Y67" i="15" s="1"/>
  <c r="Z67" i="15" s="1"/>
  <c r="AA67" i="15" s="1"/>
  <c r="AB67" i="15" s="1"/>
  <c r="AC67" i="15" s="1"/>
  <c r="AD67" i="15" s="1"/>
  <c r="AE67" i="15" s="1"/>
  <c r="AF67" i="15" s="1"/>
  <c r="AG67" i="15" s="1"/>
  <c r="AH67" i="15" s="1"/>
  <c r="AI67" i="15" s="1"/>
  <c r="AJ67" i="15" s="1"/>
  <c r="F66" i="15"/>
  <c r="G66" i="15" s="1"/>
  <c r="H66" i="15" s="1"/>
  <c r="I66" i="15" s="1"/>
  <c r="J66" i="15" s="1"/>
  <c r="K66" i="15" s="1"/>
  <c r="L66" i="15" s="1"/>
  <c r="M66" i="15" s="1"/>
  <c r="N66" i="15" s="1"/>
  <c r="O66" i="15" s="1"/>
  <c r="P66" i="15" s="1"/>
  <c r="Q66" i="15" s="1"/>
  <c r="R66" i="15" s="1"/>
  <c r="S66" i="15" s="1"/>
  <c r="T66" i="15" s="1"/>
  <c r="U66" i="15" s="1"/>
  <c r="V66" i="15" s="1"/>
  <c r="W66" i="15" s="1"/>
  <c r="X66" i="15" s="1"/>
  <c r="Y66" i="15" s="1"/>
  <c r="Z66" i="15" s="1"/>
  <c r="AA66" i="15" s="1"/>
  <c r="AB66" i="15" s="1"/>
  <c r="AC66" i="15" s="1"/>
  <c r="AD66" i="15" s="1"/>
  <c r="AE66" i="15" s="1"/>
  <c r="AF66" i="15" s="1"/>
  <c r="AG66" i="15" s="1"/>
  <c r="AH66" i="15" s="1"/>
  <c r="AI66" i="15" s="1"/>
  <c r="AJ66" i="15" s="1"/>
  <c r="E66" i="15"/>
  <c r="D66" i="15"/>
  <c r="H65" i="15"/>
  <c r="I65" i="15" s="1"/>
  <c r="J65" i="15" s="1"/>
  <c r="K65" i="15" s="1"/>
  <c r="L65" i="15" s="1"/>
  <c r="M65" i="15" s="1"/>
  <c r="N65" i="15" s="1"/>
  <c r="O65" i="15" s="1"/>
  <c r="P65" i="15" s="1"/>
  <c r="Q65" i="15" s="1"/>
  <c r="R65" i="15" s="1"/>
  <c r="S65" i="15" s="1"/>
  <c r="T65" i="15" s="1"/>
  <c r="U65" i="15" s="1"/>
  <c r="V65" i="15" s="1"/>
  <c r="W65" i="15" s="1"/>
  <c r="X65" i="15" s="1"/>
  <c r="Y65" i="15" s="1"/>
  <c r="Z65" i="15" s="1"/>
  <c r="AA65" i="15" s="1"/>
  <c r="AB65" i="15" s="1"/>
  <c r="AC65" i="15" s="1"/>
  <c r="AD65" i="15" s="1"/>
  <c r="AE65" i="15" s="1"/>
  <c r="AF65" i="15" s="1"/>
  <c r="AG65" i="15" s="1"/>
  <c r="AH65" i="15" s="1"/>
  <c r="AI65" i="15" s="1"/>
  <c r="AJ65" i="15" s="1"/>
  <c r="H64" i="15"/>
  <c r="I64" i="15" s="1"/>
  <c r="J64" i="15" s="1"/>
  <c r="K64" i="15" s="1"/>
  <c r="L64" i="15" s="1"/>
  <c r="M64" i="15" s="1"/>
  <c r="N64" i="15" s="1"/>
  <c r="O64" i="15" s="1"/>
  <c r="P64" i="15" s="1"/>
  <c r="Q64" i="15" s="1"/>
  <c r="R64" i="15" s="1"/>
  <c r="S64" i="15" s="1"/>
  <c r="T64" i="15" s="1"/>
  <c r="U64" i="15" s="1"/>
  <c r="V64" i="15" s="1"/>
  <c r="W64" i="15" s="1"/>
  <c r="X64" i="15" s="1"/>
  <c r="Y64" i="15" s="1"/>
  <c r="Z64" i="15" s="1"/>
  <c r="AA64" i="15" s="1"/>
  <c r="AB64" i="15" s="1"/>
  <c r="AC64" i="15" s="1"/>
  <c r="AD64" i="15" s="1"/>
  <c r="AE64" i="15" s="1"/>
  <c r="AF64" i="15" s="1"/>
  <c r="AG64" i="15" s="1"/>
  <c r="AH64" i="15" s="1"/>
  <c r="AI64" i="15" s="1"/>
  <c r="AJ64" i="15" s="1"/>
  <c r="H63" i="15"/>
  <c r="I63" i="15" s="1"/>
  <c r="J63" i="15" s="1"/>
  <c r="K63" i="15" s="1"/>
  <c r="L63" i="15" s="1"/>
  <c r="M63" i="15" s="1"/>
  <c r="N63" i="15" s="1"/>
  <c r="O63" i="15" s="1"/>
  <c r="P63" i="15" s="1"/>
  <c r="Q63" i="15" s="1"/>
  <c r="R63" i="15" s="1"/>
  <c r="S63" i="15" s="1"/>
  <c r="T63" i="15" s="1"/>
  <c r="U63" i="15" s="1"/>
  <c r="V63" i="15" s="1"/>
  <c r="W63" i="15" s="1"/>
  <c r="X63" i="15" s="1"/>
  <c r="Y63" i="15" s="1"/>
  <c r="Z63" i="15" s="1"/>
  <c r="AA63" i="15" s="1"/>
  <c r="AB63" i="15" s="1"/>
  <c r="AC63" i="15" s="1"/>
  <c r="AD63" i="15" s="1"/>
  <c r="AE63" i="15" s="1"/>
  <c r="AF63" i="15" s="1"/>
  <c r="AG63" i="15" s="1"/>
  <c r="AH63" i="15" s="1"/>
  <c r="AI63" i="15" s="1"/>
  <c r="AJ63" i="15" s="1"/>
  <c r="H62" i="15"/>
  <c r="I62" i="15" s="1"/>
  <c r="J62" i="15" s="1"/>
  <c r="K62" i="15" s="1"/>
  <c r="L62" i="15" s="1"/>
  <c r="M62" i="15" s="1"/>
  <c r="N62" i="15" s="1"/>
  <c r="O62" i="15" s="1"/>
  <c r="P62" i="15" s="1"/>
  <c r="Q62" i="15" s="1"/>
  <c r="R62" i="15" s="1"/>
  <c r="S62" i="15" s="1"/>
  <c r="T62" i="15" s="1"/>
  <c r="U62" i="15" s="1"/>
  <c r="V62" i="15" s="1"/>
  <c r="W62" i="15" s="1"/>
  <c r="X62" i="15" s="1"/>
  <c r="Y62" i="15" s="1"/>
  <c r="Z62" i="15" s="1"/>
  <c r="AA62" i="15" s="1"/>
  <c r="AB62" i="15" s="1"/>
  <c r="AC62" i="15" s="1"/>
  <c r="AD62" i="15" s="1"/>
  <c r="AE62" i="15" s="1"/>
  <c r="AF62" i="15" s="1"/>
  <c r="AG62" i="15" s="1"/>
  <c r="AH62" i="15" s="1"/>
  <c r="AI62" i="15" s="1"/>
  <c r="AJ62" i="15" s="1"/>
  <c r="H61" i="15"/>
  <c r="I61" i="15" s="1"/>
  <c r="J61" i="15" s="1"/>
  <c r="K61" i="15" s="1"/>
  <c r="L61" i="15" s="1"/>
  <c r="M61" i="15" s="1"/>
  <c r="N61" i="15" s="1"/>
  <c r="O61" i="15" s="1"/>
  <c r="P61" i="15" s="1"/>
  <c r="Q61" i="15" s="1"/>
  <c r="R61" i="15" s="1"/>
  <c r="S61" i="15" s="1"/>
  <c r="T61" i="15" s="1"/>
  <c r="U61" i="15" s="1"/>
  <c r="V61" i="15" s="1"/>
  <c r="W61" i="15" s="1"/>
  <c r="X61" i="15" s="1"/>
  <c r="Y61" i="15" s="1"/>
  <c r="Z61" i="15" s="1"/>
  <c r="AA61" i="15" s="1"/>
  <c r="AB61" i="15" s="1"/>
  <c r="AC61" i="15" s="1"/>
  <c r="AD61" i="15" s="1"/>
  <c r="AE61" i="15" s="1"/>
  <c r="AF61" i="15" s="1"/>
  <c r="AG61" i="15" s="1"/>
  <c r="AH61" i="15" s="1"/>
  <c r="AI61" i="15" s="1"/>
  <c r="AJ61" i="15" s="1"/>
  <c r="G60" i="15"/>
  <c r="H60" i="15" s="1"/>
  <c r="I60" i="15" s="1"/>
  <c r="J60" i="15" s="1"/>
  <c r="K60" i="15" s="1"/>
  <c r="L60" i="15" s="1"/>
  <c r="M60" i="15" s="1"/>
  <c r="N60" i="15" s="1"/>
  <c r="O60" i="15" s="1"/>
  <c r="P60" i="15" s="1"/>
  <c r="Q60" i="15" s="1"/>
  <c r="R60" i="15" s="1"/>
  <c r="S60" i="15" s="1"/>
  <c r="T60" i="15" s="1"/>
  <c r="U60" i="15" s="1"/>
  <c r="V60" i="15" s="1"/>
  <c r="W60" i="15" s="1"/>
  <c r="X60" i="15" s="1"/>
  <c r="Y60" i="15" s="1"/>
  <c r="Z60" i="15" s="1"/>
  <c r="AA60" i="15" s="1"/>
  <c r="AB60" i="15" s="1"/>
  <c r="AC60" i="15" s="1"/>
  <c r="AD60" i="15" s="1"/>
  <c r="AE60" i="15" s="1"/>
  <c r="AF60" i="15" s="1"/>
  <c r="AG60" i="15" s="1"/>
  <c r="AH60" i="15" s="1"/>
  <c r="AI60" i="15" s="1"/>
  <c r="AJ60" i="15" s="1"/>
  <c r="F60" i="15"/>
  <c r="E60" i="15"/>
  <c r="D60" i="15"/>
  <c r="G59" i="15"/>
  <c r="F59" i="15"/>
  <c r="F68" i="15" s="1"/>
  <c r="E59" i="15"/>
  <c r="E68" i="15" s="1"/>
  <c r="D59" i="15"/>
  <c r="D68" i="15" s="1"/>
  <c r="H58" i="15"/>
  <c r="G54" i="15"/>
  <c r="H54" i="15" s="1"/>
  <c r="I54" i="15" s="1"/>
  <c r="J54" i="15" s="1"/>
  <c r="K54" i="15" s="1"/>
  <c r="L54" i="15" s="1"/>
  <c r="M54" i="15" s="1"/>
  <c r="N54" i="15" s="1"/>
  <c r="O54" i="15" s="1"/>
  <c r="P54" i="15" s="1"/>
  <c r="Q54" i="15" s="1"/>
  <c r="R54" i="15" s="1"/>
  <c r="S54" i="15" s="1"/>
  <c r="T54" i="15" s="1"/>
  <c r="U54" i="15" s="1"/>
  <c r="V54" i="15" s="1"/>
  <c r="W54" i="15" s="1"/>
  <c r="X54" i="15" s="1"/>
  <c r="Y54" i="15" s="1"/>
  <c r="Z54" i="15" s="1"/>
  <c r="AA54" i="15" s="1"/>
  <c r="AB54" i="15" s="1"/>
  <c r="AC54" i="15" s="1"/>
  <c r="AD54" i="15" s="1"/>
  <c r="AE54" i="15" s="1"/>
  <c r="AF54" i="15" s="1"/>
  <c r="AG54" i="15" s="1"/>
  <c r="AH54" i="15" s="1"/>
  <c r="AI54" i="15" s="1"/>
  <c r="AJ54" i="15" s="1"/>
  <c r="F54" i="15"/>
  <c r="E54" i="15"/>
  <c r="D54" i="15"/>
  <c r="H53" i="15"/>
  <c r="I53" i="15" s="1"/>
  <c r="J53" i="15" s="1"/>
  <c r="K53" i="15" s="1"/>
  <c r="L53" i="15" s="1"/>
  <c r="M53" i="15" s="1"/>
  <c r="N53" i="15" s="1"/>
  <c r="O53" i="15" s="1"/>
  <c r="P53" i="15" s="1"/>
  <c r="Q53" i="15" s="1"/>
  <c r="R53" i="15" s="1"/>
  <c r="S53" i="15" s="1"/>
  <c r="T53" i="15" s="1"/>
  <c r="U53" i="15" s="1"/>
  <c r="V53" i="15" s="1"/>
  <c r="W53" i="15" s="1"/>
  <c r="X53" i="15" s="1"/>
  <c r="Y53" i="15" s="1"/>
  <c r="Z53" i="15" s="1"/>
  <c r="AA53" i="15" s="1"/>
  <c r="AB53" i="15" s="1"/>
  <c r="AC53" i="15" s="1"/>
  <c r="AD53" i="15" s="1"/>
  <c r="AE53" i="15" s="1"/>
  <c r="AF53" i="15" s="1"/>
  <c r="AG53" i="15" s="1"/>
  <c r="AH53" i="15" s="1"/>
  <c r="AI53" i="15" s="1"/>
  <c r="AJ53" i="15" s="1"/>
  <c r="H52" i="15"/>
  <c r="I52" i="15" s="1"/>
  <c r="J52" i="15" s="1"/>
  <c r="K52" i="15" s="1"/>
  <c r="L52" i="15" s="1"/>
  <c r="M52" i="15" s="1"/>
  <c r="N52" i="15" s="1"/>
  <c r="O52" i="15" s="1"/>
  <c r="P52" i="15" s="1"/>
  <c r="Q52" i="15" s="1"/>
  <c r="R52" i="15" s="1"/>
  <c r="S52" i="15" s="1"/>
  <c r="T52" i="15" s="1"/>
  <c r="U52" i="15" s="1"/>
  <c r="V52" i="15" s="1"/>
  <c r="W52" i="15" s="1"/>
  <c r="X52" i="15" s="1"/>
  <c r="Y52" i="15" s="1"/>
  <c r="Z52" i="15" s="1"/>
  <c r="AA52" i="15" s="1"/>
  <c r="AB52" i="15" s="1"/>
  <c r="AC52" i="15" s="1"/>
  <c r="AD52" i="15" s="1"/>
  <c r="AE52" i="15" s="1"/>
  <c r="AF52" i="15" s="1"/>
  <c r="AG52" i="15" s="1"/>
  <c r="AH52" i="15" s="1"/>
  <c r="AI52" i="15" s="1"/>
  <c r="AJ52" i="15" s="1"/>
  <c r="H51" i="15"/>
  <c r="I51" i="15" s="1"/>
  <c r="J51" i="15" s="1"/>
  <c r="K51" i="15" s="1"/>
  <c r="L51" i="15" s="1"/>
  <c r="M51" i="15" s="1"/>
  <c r="N51" i="15" s="1"/>
  <c r="O51" i="15" s="1"/>
  <c r="P51" i="15" s="1"/>
  <c r="Q51" i="15" s="1"/>
  <c r="R51" i="15" s="1"/>
  <c r="S51" i="15" s="1"/>
  <c r="T51" i="15" s="1"/>
  <c r="U51" i="15" s="1"/>
  <c r="V51" i="15" s="1"/>
  <c r="W51" i="15" s="1"/>
  <c r="X51" i="15" s="1"/>
  <c r="Y51" i="15" s="1"/>
  <c r="Z51" i="15" s="1"/>
  <c r="AA51" i="15" s="1"/>
  <c r="AB51" i="15" s="1"/>
  <c r="AC51" i="15" s="1"/>
  <c r="AD51" i="15" s="1"/>
  <c r="AE51" i="15" s="1"/>
  <c r="AF51" i="15" s="1"/>
  <c r="AG51" i="15" s="1"/>
  <c r="AH51" i="15" s="1"/>
  <c r="AI51" i="15" s="1"/>
  <c r="AJ51" i="15" s="1"/>
  <c r="H50" i="15"/>
  <c r="I50" i="15" s="1"/>
  <c r="J50" i="15" s="1"/>
  <c r="K50" i="15" s="1"/>
  <c r="L50" i="15" s="1"/>
  <c r="M50" i="15" s="1"/>
  <c r="N50" i="15" s="1"/>
  <c r="O50" i="15" s="1"/>
  <c r="P50" i="15" s="1"/>
  <c r="Q50" i="15" s="1"/>
  <c r="R50" i="15" s="1"/>
  <c r="S50" i="15" s="1"/>
  <c r="T50" i="15" s="1"/>
  <c r="U50" i="15" s="1"/>
  <c r="V50" i="15" s="1"/>
  <c r="W50" i="15" s="1"/>
  <c r="X50" i="15" s="1"/>
  <c r="Y50" i="15" s="1"/>
  <c r="Z50" i="15" s="1"/>
  <c r="AA50" i="15" s="1"/>
  <c r="AB50" i="15" s="1"/>
  <c r="AC50" i="15" s="1"/>
  <c r="AD50" i="15" s="1"/>
  <c r="AE50" i="15" s="1"/>
  <c r="AF50" i="15" s="1"/>
  <c r="AG50" i="15" s="1"/>
  <c r="AH50" i="15" s="1"/>
  <c r="AI50" i="15" s="1"/>
  <c r="AJ50" i="15" s="1"/>
  <c r="H49" i="15"/>
  <c r="I49" i="15" s="1"/>
  <c r="J49" i="15" s="1"/>
  <c r="K49" i="15" s="1"/>
  <c r="L49" i="15" s="1"/>
  <c r="M49" i="15" s="1"/>
  <c r="N49" i="15" s="1"/>
  <c r="O49" i="15" s="1"/>
  <c r="P49" i="15" s="1"/>
  <c r="Q49" i="15" s="1"/>
  <c r="R49" i="15" s="1"/>
  <c r="S49" i="15" s="1"/>
  <c r="T49" i="15" s="1"/>
  <c r="U49" i="15" s="1"/>
  <c r="V49" i="15" s="1"/>
  <c r="W49" i="15" s="1"/>
  <c r="X49" i="15" s="1"/>
  <c r="Y49" i="15" s="1"/>
  <c r="Z49" i="15" s="1"/>
  <c r="AA49" i="15" s="1"/>
  <c r="AB49" i="15" s="1"/>
  <c r="AC49" i="15" s="1"/>
  <c r="AD49" i="15" s="1"/>
  <c r="AE49" i="15" s="1"/>
  <c r="AF49" i="15" s="1"/>
  <c r="AG49" i="15" s="1"/>
  <c r="AH49" i="15" s="1"/>
  <c r="AI49" i="15" s="1"/>
  <c r="AJ49" i="15" s="1"/>
  <c r="G48" i="15"/>
  <c r="F48" i="15"/>
  <c r="F55" i="15" s="1"/>
  <c r="E48" i="15"/>
  <c r="E55" i="15" s="1"/>
  <c r="D48" i="15"/>
  <c r="D55" i="15" s="1"/>
  <c r="H47" i="15"/>
  <c r="I47" i="15" s="1"/>
  <c r="J47" i="15" s="1"/>
  <c r="K47" i="15" s="1"/>
  <c r="L47" i="15" s="1"/>
  <c r="M47" i="15" s="1"/>
  <c r="N47" i="15" s="1"/>
  <c r="O47" i="15" s="1"/>
  <c r="P47" i="15" s="1"/>
  <c r="Q47" i="15" s="1"/>
  <c r="R47" i="15" s="1"/>
  <c r="S47" i="15" s="1"/>
  <c r="T47" i="15" s="1"/>
  <c r="U47" i="15" s="1"/>
  <c r="V47" i="15" s="1"/>
  <c r="W47" i="15" s="1"/>
  <c r="X47" i="15" s="1"/>
  <c r="Y47" i="15" s="1"/>
  <c r="Z47" i="15" s="1"/>
  <c r="AA47" i="15" s="1"/>
  <c r="AB47" i="15" s="1"/>
  <c r="AC47" i="15" s="1"/>
  <c r="AD47" i="15" s="1"/>
  <c r="AE47" i="15" s="1"/>
  <c r="AF47" i="15" s="1"/>
  <c r="AG47" i="15" s="1"/>
  <c r="AH47" i="15" s="1"/>
  <c r="AI47" i="15" s="1"/>
  <c r="AJ47" i="15" s="1"/>
  <c r="H46" i="15"/>
  <c r="I46" i="15" s="1"/>
  <c r="J46" i="15" s="1"/>
  <c r="K46" i="15" s="1"/>
  <c r="L46" i="15" s="1"/>
  <c r="M46" i="15" s="1"/>
  <c r="N46" i="15" s="1"/>
  <c r="O46" i="15" s="1"/>
  <c r="P46" i="15" s="1"/>
  <c r="Q46" i="15" s="1"/>
  <c r="R46" i="15" s="1"/>
  <c r="S46" i="15" s="1"/>
  <c r="T46" i="15" s="1"/>
  <c r="U46" i="15" s="1"/>
  <c r="V46" i="15" s="1"/>
  <c r="W46" i="15" s="1"/>
  <c r="X46" i="15" s="1"/>
  <c r="Y46" i="15" s="1"/>
  <c r="Z46" i="15" s="1"/>
  <c r="AA46" i="15" s="1"/>
  <c r="AB46" i="15" s="1"/>
  <c r="AC46" i="15" s="1"/>
  <c r="AD46" i="15" s="1"/>
  <c r="AE46" i="15" s="1"/>
  <c r="AF46" i="15" s="1"/>
  <c r="AG46" i="15" s="1"/>
  <c r="AH46" i="15" s="1"/>
  <c r="AI46" i="15" s="1"/>
  <c r="AJ46" i="15" s="1"/>
  <c r="H45" i="15"/>
  <c r="H41" i="15"/>
  <c r="I41" i="15" s="1"/>
  <c r="J41" i="15" s="1"/>
  <c r="K41" i="15" s="1"/>
  <c r="L41" i="15" s="1"/>
  <c r="M41" i="15" s="1"/>
  <c r="N41" i="15" s="1"/>
  <c r="O41" i="15" s="1"/>
  <c r="P41" i="15" s="1"/>
  <c r="Q41" i="15" s="1"/>
  <c r="R41" i="15" s="1"/>
  <c r="S41" i="15" s="1"/>
  <c r="T41" i="15" s="1"/>
  <c r="U41" i="15" s="1"/>
  <c r="V41" i="15" s="1"/>
  <c r="W41" i="15" s="1"/>
  <c r="X41" i="15" s="1"/>
  <c r="Y41" i="15" s="1"/>
  <c r="Z41" i="15" s="1"/>
  <c r="AA41" i="15" s="1"/>
  <c r="AB41" i="15" s="1"/>
  <c r="AC41" i="15" s="1"/>
  <c r="AD41" i="15" s="1"/>
  <c r="AE41" i="15" s="1"/>
  <c r="AF41" i="15" s="1"/>
  <c r="AG41" i="15" s="1"/>
  <c r="AH41" i="15" s="1"/>
  <c r="AI41" i="15" s="1"/>
  <c r="AJ41" i="15" s="1"/>
  <c r="H40" i="15"/>
  <c r="I40" i="15" s="1"/>
  <c r="J40" i="15" s="1"/>
  <c r="K40" i="15" s="1"/>
  <c r="L40" i="15" s="1"/>
  <c r="M40" i="15" s="1"/>
  <c r="N40" i="15" s="1"/>
  <c r="O40" i="15" s="1"/>
  <c r="P40" i="15" s="1"/>
  <c r="Q40" i="15" s="1"/>
  <c r="R40" i="15" s="1"/>
  <c r="S40" i="15" s="1"/>
  <c r="T40" i="15" s="1"/>
  <c r="U40" i="15" s="1"/>
  <c r="V40" i="15" s="1"/>
  <c r="W40" i="15" s="1"/>
  <c r="X40" i="15" s="1"/>
  <c r="Y40" i="15" s="1"/>
  <c r="Z40" i="15" s="1"/>
  <c r="AA40" i="15" s="1"/>
  <c r="AB40" i="15" s="1"/>
  <c r="AC40" i="15" s="1"/>
  <c r="AD40" i="15" s="1"/>
  <c r="AE40" i="15" s="1"/>
  <c r="AF40" i="15" s="1"/>
  <c r="AG40" i="15" s="1"/>
  <c r="AH40" i="15" s="1"/>
  <c r="AI40" i="15" s="1"/>
  <c r="AJ40" i="15" s="1"/>
  <c r="G39" i="15"/>
  <c r="H39" i="15" s="1"/>
  <c r="I39" i="15" s="1"/>
  <c r="J39" i="15" s="1"/>
  <c r="K39" i="15" s="1"/>
  <c r="L39" i="15" s="1"/>
  <c r="M39" i="15" s="1"/>
  <c r="N39" i="15" s="1"/>
  <c r="O39" i="15" s="1"/>
  <c r="P39" i="15" s="1"/>
  <c r="Q39" i="15" s="1"/>
  <c r="R39" i="15" s="1"/>
  <c r="S39" i="15" s="1"/>
  <c r="T39" i="15" s="1"/>
  <c r="U39" i="15" s="1"/>
  <c r="V39" i="15" s="1"/>
  <c r="W39" i="15" s="1"/>
  <c r="X39" i="15" s="1"/>
  <c r="Y39" i="15" s="1"/>
  <c r="Z39" i="15" s="1"/>
  <c r="AA39" i="15" s="1"/>
  <c r="AB39" i="15" s="1"/>
  <c r="AC39" i="15" s="1"/>
  <c r="AD39" i="15" s="1"/>
  <c r="AE39" i="15" s="1"/>
  <c r="AF39" i="15" s="1"/>
  <c r="AG39" i="15" s="1"/>
  <c r="AH39" i="15" s="1"/>
  <c r="AI39" i="15" s="1"/>
  <c r="AJ39" i="15" s="1"/>
  <c r="F39" i="15"/>
  <c r="E39" i="15"/>
  <c r="D39" i="15"/>
  <c r="H38" i="15"/>
  <c r="I38" i="15" s="1"/>
  <c r="J38" i="15" s="1"/>
  <c r="K38" i="15" s="1"/>
  <c r="L38" i="15" s="1"/>
  <c r="M38" i="15" s="1"/>
  <c r="N38" i="15" s="1"/>
  <c r="O38" i="15" s="1"/>
  <c r="P38" i="15" s="1"/>
  <c r="Q38" i="15" s="1"/>
  <c r="R38" i="15" s="1"/>
  <c r="S38" i="15" s="1"/>
  <c r="T38" i="15" s="1"/>
  <c r="U38" i="15" s="1"/>
  <c r="V38" i="15" s="1"/>
  <c r="W38" i="15" s="1"/>
  <c r="X38" i="15" s="1"/>
  <c r="Y38" i="15" s="1"/>
  <c r="Z38" i="15" s="1"/>
  <c r="AA38" i="15" s="1"/>
  <c r="AB38" i="15" s="1"/>
  <c r="AC38" i="15" s="1"/>
  <c r="AD38" i="15" s="1"/>
  <c r="AE38" i="15" s="1"/>
  <c r="AF38" i="15" s="1"/>
  <c r="AG38" i="15" s="1"/>
  <c r="AH38" i="15" s="1"/>
  <c r="AI38" i="15" s="1"/>
  <c r="AJ38" i="15" s="1"/>
  <c r="H37" i="15"/>
  <c r="I37" i="15" s="1"/>
  <c r="J37" i="15" s="1"/>
  <c r="K37" i="15" s="1"/>
  <c r="L37" i="15" s="1"/>
  <c r="M37" i="15" s="1"/>
  <c r="N37" i="15" s="1"/>
  <c r="O37" i="15" s="1"/>
  <c r="P37" i="15" s="1"/>
  <c r="Q37" i="15" s="1"/>
  <c r="R37" i="15" s="1"/>
  <c r="S37" i="15" s="1"/>
  <c r="T37" i="15" s="1"/>
  <c r="U37" i="15" s="1"/>
  <c r="V37" i="15" s="1"/>
  <c r="W37" i="15" s="1"/>
  <c r="X37" i="15" s="1"/>
  <c r="Y37" i="15" s="1"/>
  <c r="Z37" i="15" s="1"/>
  <c r="AA37" i="15" s="1"/>
  <c r="AB37" i="15" s="1"/>
  <c r="AC37" i="15" s="1"/>
  <c r="AD37" i="15" s="1"/>
  <c r="AE37" i="15" s="1"/>
  <c r="AF37" i="15" s="1"/>
  <c r="AG37" i="15" s="1"/>
  <c r="AH37" i="15" s="1"/>
  <c r="AI37" i="15" s="1"/>
  <c r="AJ37" i="15" s="1"/>
  <c r="G36" i="15"/>
  <c r="H36" i="15" s="1"/>
  <c r="I36" i="15" s="1"/>
  <c r="J36" i="15" s="1"/>
  <c r="K36" i="15" s="1"/>
  <c r="L36" i="15" s="1"/>
  <c r="M36" i="15" s="1"/>
  <c r="N36" i="15" s="1"/>
  <c r="O36" i="15" s="1"/>
  <c r="P36" i="15" s="1"/>
  <c r="Q36" i="15" s="1"/>
  <c r="R36" i="15" s="1"/>
  <c r="S36" i="15" s="1"/>
  <c r="T36" i="15" s="1"/>
  <c r="U36" i="15" s="1"/>
  <c r="V36" i="15" s="1"/>
  <c r="W36" i="15" s="1"/>
  <c r="X36" i="15" s="1"/>
  <c r="Y36" i="15" s="1"/>
  <c r="Z36" i="15" s="1"/>
  <c r="AA36" i="15" s="1"/>
  <c r="AB36" i="15" s="1"/>
  <c r="AC36" i="15" s="1"/>
  <c r="AD36" i="15" s="1"/>
  <c r="AE36" i="15" s="1"/>
  <c r="AF36" i="15" s="1"/>
  <c r="AG36" i="15" s="1"/>
  <c r="AH36" i="15" s="1"/>
  <c r="AI36" i="15" s="1"/>
  <c r="AJ36" i="15" s="1"/>
  <c r="F36" i="15"/>
  <c r="E36" i="15"/>
  <c r="D36" i="15"/>
  <c r="G35" i="15"/>
  <c r="H35" i="15" s="1"/>
  <c r="I35" i="15" s="1"/>
  <c r="J35" i="15" s="1"/>
  <c r="K35" i="15" s="1"/>
  <c r="L35" i="15" s="1"/>
  <c r="M35" i="15" s="1"/>
  <c r="N35" i="15" s="1"/>
  <c r="O35" i="15" s="1"/>
  <c r="P35" i="15" s="1"/>
  <c r="Q35" i="15" s="1"/>
  <c r="R35" i="15" s="1"/>
  <c r="S35" i="15" s="1"/>
  <c r="T35" i="15" s="1"/>
  <c r="U35" i="15" s="1"/>
  <c r="V35" i="15" s="1"/>
  <c r="W35" i="15" s="1"/>
  <c r="X35" i="15" s="1"/>
  <c r="Y35" i="15" s="1"/>
  <c r="Z35" i="15" s="1"/>
  <c r="AA35" i="15" s="1"/>
  <c r="AB35" i="15" s="1"/>
  <c r="AC35" i="15" s="1"/>
  <c r="AD35" i="15" s="1"/>
  <c r="AE35" i="15" s="1"/>
  <c r="AF35" i="15" s="1"/>
  <c r="AG35" i="15" s="1"/>
  <c r="AH35" i="15" s="1"/>
  <c r="AI35" i="15" s="1"/>
  <c r="AJ35" i="15" s="1"/>
  <c r="F35" i="15"/>
  <c r="E35" i="15"/>
  <c r="D35" i="15"/>
  <c r="G34" i="15"/>
  <c r="H34" i="15" s="1"/>
  <c r="I34" i="15" s="1"/>
  <c r="J34" i="15" s="1"/>
  <c r="K34" i="15" s="1"/>
  <c r="L34" i="15" s="1"/>
  <c r="M34" i="15" s="1"/>
  <c r="N34" i="15" s="1"/>
  <c r="O34" i="15" s="1"/>
  <c r="P34" i="15" s="1"/>
  <c r="Q34" i="15" s="1"/>
  <c r="R34" i="15" s="1"/>
  <c r="S34" i="15" s="1"/>
  <c r="T34" i="15" s="1"/>
  <c r="U34" i="15" s="1"/>
  <c r="V34" i="15" s="1"/>
  <c r="W34" i="15" s="1"/>
  <c r="X34" i="15" s="1"/>
  <c r="Y34" i="15" s="1"/>
  <c r="Z34" i="15" s="1"/>
  <c r="AA34" i="15" s="1"/>
  <c r="AB34" i="15" s="1"/>
  <c r="AC34" i="15" s="1"/>
  <c r="AD34" i="15" s="1"/>
  <c r="AE34" i="15" s="1"/>
  <c r="AF34" i="15" s="1"/>
  <c r="AG34" i="15" s="1"/>
  <c r="AH34" i="15" s="1"/>
  <c r="AI34" i="15" s="1"/>
  <c r="AJ34" i="15" s="1"/>
  <c r="F34" i="15"/>
  <c r="E34" i="15"/>
  <c r="D34" i="15"/>
  <c r="G33" i="15"/>
  <c r="H33" i="15" s="1"/>
  <c r="I33" i="15" s="1"/>
  <c r="J33" i="15" s="1"/>
  <c r="K33" i="15" s="1"/>
  <c r="L33" i="15" s="1"/>
  <c r="M33" i="15" s="1"/>
  <c r="N33" i="15" s="1"/>
  <c r="O33" i="15" s="1"/>
  <c r="P33" i="15" s="1"/>
  <c r="Q33" i="15" s="1"/>
  <c r="R33" i="15" s="1"/>
  <c r="S33" i="15" s="1"/>
  <c r="T33" i="15" s="1"/>
  <c r="U33" i="15" s="1"/>
  <c r="V33" i="15" s="1"/>
  <c r="W33" i="15" s="1"/>
  <c r="X33" i="15" s="1"/>
  <c r="Y33" i="15" s="1"/>
  <c r="Z33" i="15" s="1"/>
  <c r="AA33" i="15" s="1"/>
  <c r="AB33" i="15" s="1"/>
  <c r="AC33" i="15" s="1"/>
  <c r="AD33" i="15" s="1"/>
  <c r="AE33" i="15" s="1"/>
  <c r="AF33" i="15" s="1"/>
  <c r="AG33" i="15" s="1"/>
  <c r="AH33" i="15" s="1"/>
  <c r="AI33" i="15" s="1"/>
  <c r="AJ33" i="15" s="1"/>
  <c r="F33" i="15"/>
  <c r="E33" i="15"/>
  <c r="D33" i="15"/>
  <c r="G32" i="15"/>
  <c r="F32" i="15"/>
  <c r="F42" i="15" s="1"/>
  <c r="E32" i="15"/>
  <c r="E42" i="15" s="1"/>
  <c r="D32" i="15"/>
  <c r="D42" i="15" s="1"/>
  <c r="AI28" i="15"/>
  <c r="AH28" i="15"/>
  <c r="AG28" i="15"/>
  <c r="AF28" i="15"/>
  <c r="AD28" i="15"/>
  <c r="AC28" i="15"/>
  <c r="AB28" i="15"/>
  <c r="AA28" i="15"/>
  <c r="Y28" i="15"/>
  <c r="X28" i="15"/>
  <c r="W28" i="15"/>
  <c r="V28" i="15"/>
  <c r="T28" i="15"/>
  <c r="S28" i="15"/>
  <c r="R28" i="15"/>
  <c r="Q28" i="15"/>
  <c r="O28" i="15"/>
  <c r="N28" i="15"/>
  <c r="M28" i="15"/>
  <c r="L28" i="15"/>
  <c r="G27" i="15"/>
  <c r="H27" i="15" s="1"/>
  <c r="I27" i="15" s="1"/>
  <c r="J27" i="15" s="1"/>
  <c r="K27" i="15" s="1"/>
  <c r="L27" i="15" s="1"/>
  <c r="M27" i="15" s="1"/>
  <c r="N27" i="15" s="1"/>
  <c r="O27" i="15" s="1"/>
  <c r="P27" i="15" s="1"/>
  <c r="Q27" i="15" s="1"/>
  <c r="R27" i="15" s="1"/>
  <c r="S27" i="15" s="1"/>
  <c r="T27" i="15" s="1"/>
  <c r="U27" i="15" s="1"/>
  <c r="V27" i="15" s="1"/>
  <c r="W27" i="15" s="1"/>
  <c r="X27" i="15" s="1"/>
  <c r="Y27" i="15" s="1"/>
  <c r="Z27" i="15" s="1"/>
  <c r="AA27" i="15" s="1"/>
  <c r="AB27" i="15" s="1"/>
  <c r="AC27" i="15" s="1"/>
  <c r="AD27" i="15" s="1"/>
  <c r="AE27" i="15" s="1"/>
  <c r="AF27" i="15" s="1"/>
  <c r="AG27" i="15" s="1"/>
  <c r="AH27" i="15" s="1"/>
  <c r="AI27" i="15" s="1"/>
  <c r="AJ27" i="15" s="1"/>
  <c r="F27" i="15"/>
  <c r="E27" i="15"/>
  <c r="D27" i="15"/>
  <c r="G26" i="15"/>
  <c r="H26" i="15" s="1"/>
  <c r="I26" i="15" s="1"/>
  <c r="J26" i="15" s="1"/>
  <c r="K26" i="15" s="1"/>
  <c r="L26" i="15" s="1"/>
  <c r="M26" i="15" s="1"/>
  <c r="N26" i="15" s="1"/>
  <c r="O26" i="15" s="1"/>
  <c r="P26" i="15" s="1"/>
  <c r="Q26" i="15" s="1"/>
  <c r="R26" i="15" s="1"/>
  <c r="S26" i="15" s="1"/>
  <c r="T26" i="15" s="1"/>
  <c r="U26" i="15" s="1"/>
  <c r="V26" i="15" s="1"/>
  <c r="W26" i="15" s="1"/>
  <c r="X26" i="15" s="1"/>
  <c r="Y26" i="15" s="1"/>
  <c r="Z26" i="15" s="1"/>
  <c r="AA26" i="15" s="1"/>
  <c r="AB26" i="15" s="1"/>
  <c r="AC26" i="15" s="1"/>
  <c r="AD26" i="15" s="1"/>
  <c r="AE26" i="15" s="1"/>
  <c r="AF26" i="15" s="1"/>
  <c r="AG26" i="15" s="1"/>
  <c r="AH26" i="15" s="1"/>
  <c r="AI26" i="15" s="1"/>
  <c r="AJ26" i="15" s="1"/>
  <c r="F26" i="15"/>
  <c r="E26" i="15"/>
  <c r="D26" i="15"/>
  <c r="G25" i="15"/>
  <c r="H25" i="15" s="1"/>
  <c r="I25" i="15" s="1"/>
  <c r="J25" i="15" s="1"/>
  <c r="K25" i="15" s="1"/>
  <c r="L25" i="15" s="1"/>
  <c r="M25" i="15" s="1"/>
  <c r="N25" i="15" s="1"/>
  <c r="O25" i="15" s="1"/>
  <c r="P25" i="15" s="1"/>
  <c r="Q25" i="15" s="1"/>
  <c r="R25" i="15" s="1"/>
  <c r="S25" i="15" s="1"/>
  <c r="T25" i="15" s="1"/>
  <c r="U25" i="15" s="1"/>
  <c r="V25" i="15" s="1"/>
  <c r="W25" i="15" s="1"/>
  <c r="X25" i="15" s="1"/>
  <c r="Y25" i="15" s="1"/>
  <c r="Z25" i="15" s="1"/>
  <c r="AA25" i="15" s="1"/>
  <c r="AB25" i="15" s="1"/>
  <c r="AC25" i="15" s="1"/>
  <c r="AD25" i="15" s="1"/>
  <c r="AE25" i="15" s="1"/>
  <c r="AF25" i="15" s="1"/>
  <c r="AG25" i="15" s="1"/>
  <c r="AH25" i="15" s="1"/>
  <c r="AI25" i="15" s="1"/>
  <c r="AJ25" i="15" s="1"/>
  <c r="F25" i="15"/>
  <c r="E25" i="15"/>
  <c r="D25" i="15"/>
  <c r="H24" i="15"/>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AG24" i="15" s="1"/>
  <c r="AH24" i="15" s="1"/>
  <c r="AI24" i="15" s="1"/>
  <c r="AJ24" i="15" s="1"/>
  <c r="G22" i="15"/>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AG22" i="15" s="1"/>
  <c r="AH22" i="15" s="1"/>
  <c r="AI22" i="15" s="1"/>
  <c r="AJ22" i="15" s="1"/>
  <c r="F22" i="15"/>
  <c r="E22" i="15"/>
  <c r="D22" i="15"/>
  <c r="G21" i="15"/>
  <c r="H21" i="15" s="1"/>
  <c r="I21" i="15" s="1"/>
  <c r="J21" i="15" s="1"/>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AG21" i="15" s="1"/>
  <c r="AH21" i="15" s="1"/>
  <c r="AI21" i="15" s="1"/>
  <c r="AJ21" i="15" s="1"/>
  <c r="F21" i="15"/>
  <c r="E21" i="15"/>
  <c r="D21" i="15"/>
  <c r="G20" i="15"/>
  <c r="F20" i="15"/>
  <c r="F29" i="15" s="1"/>
  <c r="E20" i="15"/>
  <c r="E29" i="15" s="1"/>
  <c r="D20" i="15"/>
  <c r="D29" i="15" s="1"/>
  <c r="H19" i="15"/>
  <c r="G15" i="15"/>
  <c r="H15" i="15" s="1"/>
  <c r="I15" i="15" s="1"/>
  <c r="J15" i="15" s="1"/>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AG15" i="15" s="1"/>
  <c r="AH15" i="15" s="1"/>
  <c r="AI15" i="15" s="1"/>
  <c r="AJ15" i="15" s="1"/>
  <c r="F15" i="15"/>
  <c r="E15" i="15"/>
  <c r="D15" i="15"/>
  <c r="G14" i="15"/>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AG14" i="15" s="1"/>
  <c r="AH14" i="15" s="1"/>
  <c r="AI14" i="15" s="1"/>
  <c r="AJ14" i="15" s="1"/>
  <c r="F14" i="15"/>
  <c r="E14" i="15"/>
  <c r="D14" i="15"/>
  <c r="G13" i="15"/>
  <c r="H13" i="15" s="1"/>
  <c r="I13" i="15" s="1"/>
  <c r="J13" i="15" s="1"/>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AG13" i="15" s="1"/>
  <c r="AH13" i="15" s="1"/>
  <c r="AI13" i="15" s="1"/>
  <c r="AJ13" i="15" s="1"/>
  <c r="F13" i="15"/>
  <c r="E13" i="15"/>
  <c r="D13" i="15"/>
  <c r="G12" i="15"/>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AG12" i="15" s="1"/>
  <c r="AH12" i="15" s="1"/>
  <c r="AI12" i="15" s="1"/>
  <c r="AJ12" i="15" s="1"/>
  <c r="F12" i="15"/>
  <c r="E12" i="15"/>
  <c r="D12" i="15"/>
  <c r="H11" i="15"/>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AG11" i="15" s="1"/>
  <c r="AH11" i="15" s="1"/>
  <c r="AI11" i="15" s="1"/>
  <c r="AJ11" i="15" s="1"/>
  <c r="G10" i="15"/>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AG10" i="15" s="1"/>
  <c r="AH10" i="15" s="1"/>
  <c r="AI10" i="15" s="1"/>
  <c r="AJ10" i="15" s="1"/>
  <c r="F10" i="15"/>
  <c r="E10" i="15"/>
  <c r="D10" i="15"/>
  <c r="G9" i="15"/>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AG9" i="15" s="1"/>
  <c r="AH9" i="15" s="1"/>
  <c r="AI9" i="15" s="1"/>
  <c r="AJ9" i="15" s="1"/>
  <c r="F9" i="15"/>
  <c r="E9" i="15"/>
  <c r="D9" i="15"/>
  <c r="G8" i="15"/>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AG8" i="15" s="1"/>
  <c r="AH8" i="15" s="1"/>
  <c r="AI8" i="15" s="1"/>
  <c r="AJ8" i="15" s="1"/>
  <c r="F8" i="15"/>
  <c r="E8" i="15"/>
  <c r="D8" i="15"/>
  <c r="G7" i="15"/>
  <c r="F7" i="15"/>
  <c r="F16" i="15" s="1"/>
  <c r="E7" i="15"/>
  <c r="E16" i="15" s="1"/>
  <c r="D7" i="15"/>
  <c r="D16" i="15" s="1"/>
  <c r="H6" i="15"/>
  <c r="D162" i="13"/>
  <c r="D161" i="13"/>
  <c r="G157" i="13"/>
  <c r="G159" i="13" s="1"/>
  <c r="F157" i="13"/>
  <c r="F159" i="13" s="1"/>
  <c r="E157" i="13"/>
  <c r="E159" i="13" s="1"/>
  <c r="D157" i="13"/>
  <c r="D159" i="13" s="1"/>
  <c r="D141" i="9"/>
  <c r="D124" i="9" s="1"/>
  <c r="D135" i="9"/>
  <c r="N139" i="9" s="1"/>
  <c r="D138" i="9" s="1"/>
  <c r="G127" i="9"/>
  <c r="F127" i="9"/>
  <c r="E127" i="9"/>
  <c r="G125" i="9"/>
  <c r="F125" i="9"/>
  <c r="E125" i="9"/>
  <c r="D125" i="9"/>
  <c r="G120" i="9"/>
  <c r="F120" i="9"/>
  <c r="E120" i="9"/>
  <c r="D120" i="9"/>
  <c r="G112" i="9"/>
  <c r="F112" i="9"/>
  <c r="E112" i="9"/>
  <c r="D112" i="9"/>
  <c r="G111" i="9"/>
  <c r="F111" i="9"/>
  <c r="E111" i="9"/>
  <c r="D111" i="9"/>
  <c r="G110" i="9"/>
  <c r="F110" i="9"/>
  <c r="E110" i="9"/>
  <c r="D110" i="9"/>
  <c r="G109" i="9"/>
  <c r="F109" i="9"/>
  <c r="E109" i="9"/>
  <c r="D109" i="9"/>
  <c r="G108" i="9"/>
  <c r="F108" i="9"/>
  <c r="E108" i="9"/>
  <c r="D108" i="9"/>
  <c r="G107" i="9"/>
  <c r="F107" i="9"/>
  <c r="E107" i="9"/>
  <c r="D107" i="9"/>
  <c r="G106" i="9"/>
  <c r="F106" i="9"/>
  <c r="F113" i="9" s="1"/>
  <c r="E106" i="9"/>
  <c r="D106" i="9"/>
  <c r="G102" i="9"/>
  <c r="F102" i="9"/>
  <c r="E102" i="9"/>
  <c r="D102" i="9"/>
  <c r="G101" i="9"/>
  <c r="F101" i="9"/>
  <c r="F103" i="9" s="1"/>
  <c r="E101" i="9"/>
  <c r="E103" i="9" s="1"/>
  <c r="D101" i="9"/>
  <c r="D103" i="9" s="1"/>
  <c r="G94" i="9"/>
  <c r="F94" i="9"/>
  <c r="E94" i="9"/>
  <c r="D94" i="9"/>
  <c r="G93" i="9"/>
  <c r="G92" i="9"/>
  <c r="F92" i="9"/>
  <c r="E92" i="9"/>
  <c r="D92" i="9"/>
  <c r="G91" i="9"/>
  <c r="F91" i="9"/>
  <c r="E91" i="9"/>
  <c r="D91" i="9"/>
  <c r="G90" i="9"/>
  <c r="F90" i="9"/>
  <c r="E90" i="9"/>
  <c r="D90" i="9"/>
  <c r="G89" i="9"/>
  <c r="F89" i="9"/>
  <c r="E89" i="9"/>
  <c r="D89" i="9"/>
  <c r="G88" i="9"/>
  <c r="F88" i="9"/>
  <c r="E88" i="9"/>
  <c r="D88" i="9"/>
  <c r="G87" i="9"/>
  <c r="F87" i="9"/>
  <c r="E87" i="9"/>
  <c r="D87" i="9"/>
  <c r="G86" i="9"/>
  <c r="F86" i="9"/>
  <c r="E86" i="9"/>
  <c r="D86" i="9"/>
  <c r="G85" i="9"/>
  <c r="F85" i="9"/>
  <c r="E85" i="9"/>
  <c r="D85" i="9"/>
  <c r="G78" i="9"/>
  <c r="F78" i="9"/>
  <c r="E78" i="9"/>
  <c r="D78" i="9"/>
  <c r="G77" i="9"/>
  <c r="F77" i="9"/>
  <c r="E77" i="9"/>
  <c r="D77" i="9"/>
  <c r="G76" i="9"/>
  <c r="F76" i="9"/>
  <c r="E76" i="9"/>
  <c r="D76" i="9"/>
  <c r="G75" i="9"/>
  <c r="F75" i="9"/>
  <c r="E75" i="9"/>
  <c r="D75" i="9"/>
  <c r="G74" i="9"/>
  <c r="F74" i="9"/>
  <c r="E74" i="9"/>
  <c r="D74" i="9"/>
  <c r="G73" i="9"/>
  <c r="F73" i="9"/>
  <c r="E73" i="9"/>
  <c r="D73" i="9"/>
  <c r="G72" i="9"/>
  <c r="F72" i="9"/>
  <c r="E72" i="9"/>
  <c r="D72" i="9"/>
  <c r="E68" i="9"/>
  <c r="D68" i="9"/>
  <c r="G67" i="9"/>
  <c r="F67" i="9"/>
  <c r="E67" i="9"/>
  <c r="D67" i="9"/>
  <c r="G66" i="9"/>
  <c r="F66" i="9"/>
  <c r="E66" i="9"/>
  <c r="D66" i="9"/>
  <c r="G65" i="9"/>
  <c r="G64" i="9"/>
  <c r="F64" i="9"/>
  <c r="E64" i="9"/>
  <c r="E69" i="9" s="1"/>
  <c r="D64" i="9"/>
  <c r="G63" i="9"/>
  <c r="G55" i="9"/>
  <c r="F55" i="9"/>
  <c r="E55" i="9"/>
  <c r="D55" i="9"/>
  <c r="G54" i="9"/>
  <c r="F54" i="9"/>
  <c r="E54" i="9"/>
  <c r="D54" i="9"/>
  <c r="G53" i="9"/>
  <c r="G57" i="9" s="1"/>
  <c r="F53" i="9"/>
  <c r="E53" i="9"/>
  <c r="D53" i="9"/>
  <c r="D50" i="9"/>
  <c r="D49" i="9"/>
  <c r="D48" i="9"/>
  <c r="D47" i="9"/>
  <c r="D46" i="9"/>
  <c r="D45" i="9"/>
  <c r="E44" i="9"/>
  <c r="D44" i="9"/>
  <c r="D43" i="9"/>
  <c r="D42" i="9"/>
  <c r="D38" i="9"/>
  <c r="D37" i="9"/>
  <c r="D36" i="9"/>
  <c r="D35" i="9"/>
  <c r="D34" i="9"/>
  <c r="D33" i="9"/>
  <c r="D29" i="9"/>
  <c r="D28" i="9"/>
  <c r="D27" i="9"/>
  <c r="D26" i="9"/>
  <c r="D19" i="9"/>
  <c r="D18" i="9"/>
  <c r="D17" i="9"/>
  <c r="D16" i="9"/>
  <c r="D15" i="9"/>
  <c r="D14" i="9"/>
  <c r="AJ70" i="7"/>
  <c r="AI70" i="7"/>
  <c r="AH70" i="7"/>
  <c r="AG70" i="7"/>
  <c r="AF70" i="7"/>
  <c r="AE70" i="7"/>
  <c r="AD70" i="7"/>
  <c r="AC70" i="7"/>
  <c r="AB70" i="7"/>
  <c r="AA70" i="7"/>
  <c r="Z70" i="7"/>
  <c r="Y70" i="7"/>
  <c r="X70" i="7"/>
  <c r="W70" i="7"/>
  <c r="V70" i="7"/>
  <c r="U70" i="7"/>
  <c r="T70" i="7"/>
  <c r="S70" i="7"/>
  <c r="R70" i="7"/>
  <c r="Q70" i="7"/>
  <c r="P70" i="7"/>
  <c r="O70" i="7"/>
  <c r="N70" i="7"/>
  <c r="M70" i="7"/>
  <c r="L70" i="7"/>
  <c r="K70" i="7"/>
  <c r="J70" i="7"/>
  <c r="I70" i="7"/>
  <c r="H70" i="7"/>
  <c r="G70" i="7"/>
  <c r="F70" i="7"/>
  <c r="E70" i="7"/>
  <c r="D70" i="7"/>
  <c r="AJ59" i="7"/>
  <c r="AI59" i="7"/>
  <c r="AH59" i="7"/>
  <c r="AG59" i="7"/>
  <c r="AF59" i="7"/>
  <c r="AE59" i="7"/>
  <c r="AD59" i="7"/>
  <c r="AC59" i="7"/>
  <c r="AB59" i="7"/>
  <c r="AA59" i="7"/>
  <c r="Z59" i="7"/>
  <c r="Y59" i="7"/>
  <c r="X59" i="7"/>
  <c r="W59" i="7"/>
  <c r="V59" i="7"/>
  <c r="U59" i="7"/>
  <c r="T59" i="7"/>
  <c r="S59" i="7"/>
  <c r="R59" i="7"/>
  <c r="Q59" i="7"/>
  <c r="P59" i="7"/>
  <c r="O59" i="7"/>
  <c r="N59" i="7"/>
  <c r="M59" i="7"/>
  <c r="L59" i="7"/>
  <c r="K59" i="7"/>
  <c r="J59" i="7"/>
  <c r="I59" i="7"/>
  <c r="H59" i="7"/>
  <c r="G59" i="7"/>
  <c r="F59" i="7"/>
  <c r="E59" i="7"/>
  <c r="D59" i="7"/>
  <c r="AJ51" i="7"/>
  <c r="AI51" i="7"/>
  <c r="AH51" i="7"/>
  <c r="AG51" i="7"/>
  <c r="AF51" i="7"/>
  <c r="AE51" i="7"/>
  <c r="AD51" i="7"/>
  <c r="AC51" i="7"/>
  <c r="AB51" i="7"/>
  <c r="AA51" i="7"/>
  <c r="Z51" i="7"/>
  <c r="Y51" i="7"/>
  <c r="X51" i="7"/>
  <c r="W51" i="7"/>
  <c r="V51" i="7"/>
  <c r="U51" i="7"/>
  <c r="T51" i="7"/>
  <c r="S51" i="7"/>
  <c r="R51" i="7"/>
  <c r="Q51" i="7"/>
  <c r="P51" i="7"/>
  <c r="O51" i="7"/>
  <c r="N51" i="7"/>
  <c r="M51" i="7"/>
  <c r="L51" i="7"/>
  <c r="K51" i="7"/>
  <c r="J51" i="7"/>
  <c r="I51" i="7"/>
  <c r="H51" i="7"/>
  <c r="G51" i="7"/>
  <c r="F51" i="7"/>
  <c r="E51" i="7"/>
  <c r="D51"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F13" i="7"/>
  <c r="E13" i="7"/>
  <c r="D13" i="7"/>
  <c r="G10" i="7"/>
  <c r="G9" i="7"/>
  <c r="G8" i="7"/>
  <c r="G7" i="7"/>
  <c r="G6" i="7"/>
  <c r="AJ60" i="6"/>
  <c r="AI60" i="6"/>
  <c r="AH60" i="6"/>
  <c r="AG60" i="6"/>
  <c r="AF60" i="6"/>
  <c r="AE60" i="6"/>
  <c r="AD60" i="6"/>
  <c r="AC60" i="6"/>
  <c r="AB60" i="6"/>
  <c r="AA60" i="6"/>
  <c r="Z60" i="6"/>
  <c r="Y60" i="6"/>
  <c r="X60" i="6"/>
  <c r="W60" i="6"/>
  <c r="V60" i="6"/>
  <c r="U60" i="6"/>
  <c r="T60" i="6"/>
  <c r="S60" i="6"/>
  <c r="R60" i="6"/>
  <c r="Q60" i="6"/>
  <c r="P60" i="6"/>
  <c r="O60" i="6"/>
  <c r="N60" i="6"/>
  <c r="M60" i="6"/>
  <c r="L60" i="6"/>
  <c r="K60" i="6"/>
  <c r="J60" i="6"/>
  <c r="I60" i="6"/>
  <c r="H60" i="6"/>
  <c r="G60" i="6"/>
  <c r="F60" i="6"/>
  <c r="E60" i="6"/>
  <c r="D60" i="6"/>
  <c r="AJ52" i="6"/>
  <c r="AI52" i="6"/>
  <c r="AH52" i="6"/>
  <c r="AG52"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c r="E52" i="6"/>
  <c r="D52" i="6"/>
  <c r="AJ44" i="6"/>
  <c r="AI44" i="6"/>
  <c r="AH44"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E44" i="6"/>
  <c r="D44" i="6"/>
  <c r="AJ33" i="6"/>
  <c r="AI33" i="6"/>
  <c r="AH33" i="6"/>
  <c r="AG33" i="6"/>
  <c r="AF33" i="6"/>
  <c r="AE33" i="6"/>
  <c r="AD33" i="6"/>
  <c r="AC33" i="6"/>
  <c r="AB33" i="6"/>
  <c r="AA33" i="6"/>
  <c r="Z33" i="6"/>
  <c r="Y33" i="6"/>
  <c r="X33" i="6"/>
  <c r="W33" i="6"/>
  <c r="V33" i="6"/>
  <c r="U33" i="6"/>
  <c r="T33" i="6"/>
  <c r="S33" i="6"/>
  <c r="R33" i="6"/>
  <c r="Q33" i="6"/>
  <c r="P33" i="6"/>
  <c r="O33" i="6"/>
  <c r="N33" i="6"/>
  <c r="M33" i="6"/>
  <c r="L33" i="6"/>
  <c r="K33" i="6"/>
  <c r="J33" i="6"/>
  <c r="I33" i="6"/>
  <c r="H33" i="6"/>
  <c r="G33" i="6"/>
  <c r="F33" i="6"/>
  <c r="E33" i="6"/>
  <c r="D33" i="6"/>
  <c r="AJ23" i="6"/>
  <c r="AI23" i="6"/>
  <c r="AH23" i="6"/>
  <c r="AG23"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F13" i="6"/>
  <c r="E13" i="6"/>
  <c r="D13" i="6"/>
  <c r="G10" i="6"/>
  <c r="G9" i="6"/>
  <c r="G8" i="6"/>
  <c r="G7" i="6"/>
  <c r="G6" i="6"/>
  <c r="E89" i="5"/>
  <c r="H81" i="5" s="1"/>
  <c r="BE78" i="5"/>
  <c r="BD78" i="5"/>
  <c r="BC78" i="5"/>
  <c r="BB78" i="5"/>
  <c r="BA78" i="5"/>
  <c r="AZ78" i="5"/>
  <c r="AY78" i="5"/>
  <c r="AX78" i="5"/>
  <c r="AW78" i="5"/>
  <c r="AV78" i="5"/>
  <c r="AU78" i="5"/>
  <c r="AT78" i="5"/>
  <c r="AS78" i="5"/>
  <c r="AR78" i="5"/>
  <c r="AQ78" i="5"/>
  <c r="AP78" i="5"/>
  <c r="AO78" i="5"/>
  <c r="AN78" i="5"/>
  <c r="AM78" i="5"/>
  <c r="AL78" i="5"/>
  <c r="AK78" i="5"/>
  <c r="AJ78" i="5"/>
  <c r="AI78" i="5"/>
  <c r="AH78" i="5"/>
  <c r="AG78" i="5"/>
  <c r="AF78" i="5"/>
  <c r="AE78" i="5"/>
  <c r="AD78" i="5"/>
  <c r="AC78" i="5"/>
  <c r="AB78" i="5"/>
  <c r="AA78" i="5"/>
  <c r="Z78" i="5"/>
  <c r="Y78" i="5"/>
  <c r="X78" i="5"/>
  <c r="W78" i="5"/>
  <c r="V78" i="5"/>
  <c r="U78" i="5"/>
  <c r="T78" i="5"/>
  <c r="S78" i="5"/>
  <c r="R78" i="5"/>
  <c r="Q78" i="5"/>
  <c r="P78" i="5"/>
  <c r="O78" i="5"/>
  <c r="N78" i="5"/>
  <c r="M78" i="5"/>
  <c r="L78" i="5"/>
  <c r="K78" i="5"/>
  <c r="J78" i="5"/>
  <c r="I78" i="5"/>
  <c r="H76" i="5"/>
  <c r="H78" i="5" s="1"/>
  <c r="G76" i="5"/>
  <c r="G78" i="5" s="1"/>
  <c r="F76" i="5"/>
  <c r="F78" i="5" s="1"/>
  <c r="E76" i="5"/>
  <c r="E78" i="5" s="1"/>
  <c r="BE73" i="5"/>
  <c r="BD73" i="5"/>
  <c r="BC73" i="5"/>
  <c r="BB73" i="5"/>
  <c r="BA73" i="5"/>
  <c r="AZ73" i="5"/>
  <c r="AY73" i="5"/>
  <c r="AX73" i="5"/>
  <c r="AW73" i="5"/>
  <c r="AV73" i="5"/>
  <c r="AU73" i="5"/>
  <c r="AT73" i="5"/>
  <c r="AS73" i="5"/>
  <c r="AR73" i="5"/>
  <c r="AQ73" i="5"/>
  <c r="AP73" i="5"/>
  <c r="AO73" i="5"/>
  <c r="AN73" i="5"/>
  <c r="AM73" i="5"/>
  <c r="AL73" i="5"/>
  <c r="AK73" i="5"/>
  <c r="AJ73" i="5"/>
  <c r="AI73" i="5"/>
  <c r="AH73" i="5"/>
  <c r="AG73" i="5"/>
  <c r="AF73" i="5"/>
  <c r="AE73" i="5"/>
  <c r="AD73" i="5"/>
  <c r="AC73" i="5"/>
  <c r="AB73" i="5"/>
  <c r="AA73" i="5"/>
  <c r="Z73" i="5"/>
  <c r="Y73" i="5"/>
  <c r="X73" i="5"/>
  <c r="W73" i="5"/>
  <c r="V73" i="5"/>
  <c r="U73" i="5"/>
  <c r="T73" i="5"/>
  <c r="S73" i="5"/>
  <c r="R73" i="5"/>
  <c r="Q73" i="5"/>
  <c r="P73" i="5"/>
  <c r="O73" i="5"/>
  <c r="N73" i="5"/>
  <c r="M73" i="5"/>
  <c r="L73" i="5"/>
  <c r="K73" i="5"/>
  <c r="J73" i="5"/>
  <c r="I73" i="5"/>
  <c r="H72" i="5"/>
  <c r="G72" i="5"/>
  <c r="F72" i="5"/>
  <c r="E72" i="5"/>
  <c r="H71" i="5"/>
  <c r="G71" i="5"/>
  <c r="G73" i="5" s="1"/>
  <c r="F71" i="5"/>
  <c r="E71" i="5"/>
  <c r="BE68" i="5"/>
  <c r="BD68" i="5"/>
  <c r="BC68" i="5"/>
  <c r="BB68" i="5"/>
  <c r="BA68" i="5"/>
  <c r="AZ68" i="5"/>
  <c r="AY68" i="5"/>
  <c r="AX68" i="5"/>
  <c r="AW68" i="5"/>
  <c r="AV68" i="5"/>
  <c r="AU68" i="5"/>
  <c r="AT68" i="5"/>
  <c r="AS68" i="5"/>
  <c r="AR68" i="5"/>
  <c r="AQ68" i="5"/>
  <c r="AP68" i="5"/>
  <c r="AO68" i="5"/>
  <c r="AN68" i="5"/>
  <c r="AM68" i="5"/>
  <c r="AL68" i="5"/>
  <c r="AK68" i="5"/>
  <c r="AJ68" i="5"/>
  <c r="AI68" i="5"/>
  <c r="AH68" i="5"/>
  <c r="AG68" i="5"/>
  <c r="AF68" i="5"/>
  <c r="AE68" i="5"/>
  <c r="AD68" i="5"/>
  <c r="AC68" i="5"/>
  <c r="AB68" i="5"/>
  <c r="AA68" i="5"/>
  <c r="Z68" i="5"/>
  <c r="Y68" i="5"/>
  <c r="X68" i="5"/>
  <c r="W68" i="5"/>
  <c r="V68" i="5"/>
  <c r="U68" i="5"/>
  <c r="T68" i="5"/>
  <c r="S68" i="5"/>
  <c r="R68" i="5"/>
  <c r="Q68" i="5"/>
  <c r="P68" i="5"/>
  <c r="O68" i="5"/>
  <c r="N68" i="5"/>
  <c r="M68" i="5"/>
  <c r="L68" i="5"/>
  <c r="K68" i="5"/>
  <c r="J68" i="5"/>
  <c r="I68" i="5"/>
  <c r="G66" i="5"/>
  <c r="F66" i="5"/>
  <c r="E66" i="5"/>
  <c r="H60" i="5"/>
  <c r="G60" i="5"/>
  <c r="F60" i="5"/>
  <c r="E60" i="5"/>
  <c r="H59" i="5"/>
  <c r="G59" i="5"/>
  <c r="F59" i="5"/>
  <c r="E59" i="5"/>
  <c r="BE55" i="5"/>
  <c r="BD55" i="5"/>
  <c r="BC55" i="5"/>
  <c r="BB55" i="5"/>
  <c r="BA55" i="5"/>
  <c r="AZ55" i="5"/>
  <c r="AY55" i="5"/>
  <c r="AX55" i="5"/>
  <c r="AW55" i="5"/>
  <c r="AV55" i="5"/>
  <c r="AU55" i="5"/>
  <c r="AT55" i="5"/>
  <c r="AS55" i="5"/>
  <c r="AR55" i="5"/>
  <c r="AQ55" i="5"/>
  <c r="AP55" i="5"/>
  <c r="AO55" i="5"/>
  <c r="AN55" i="5"/>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I55" i="5"/>
  <c r="H54" i="5"/>
  <c r="G54" i="5"/>
  <c r="F54" i="5"/>
  <c r="E54" i="5"/>
  <c r="H48" i="5"/>
  <c r="G48" i="5"/>
  <c r="F48" i="5"/>
  <c r="E48" i="5"/>
  <c r="BE42" i="5"/>
  <c r="BD42" i="5"/>
  <c r="BC42" i="5"/>
  <c r="BB42" i="5"/>
  <c r="BA42" i="5"/>
  <c r="AZ42" i="5"/>
  <c r="AY42" i="5"/>
  <c r="AX42" i="5"/>
  <c r="AW42" i="5"/>
  <c r="AV42" i="5"/>
  <c r="AU42" i="5"/>
  <c r="AT42" i="5"/>
  <c r="AS42" i="5"/>
  <c r="AR42" i="5"/>
  <c r="AQ42" i="5"/>
  <c r="AP42" i="5"/>
  <c r="AO42" i="5"/>
  <c r="AN42"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I42" i="5"/>
  <c r="H39" i="5"/>
  <c r="G39" i="5"/>
  <c r="F39" i="5"/>
  <c r="E39" i="5"/>
  <c r="H36" i="5"/>
  <c r="G36" i="5"/>
  <c r="F36" i="5"/>
  <c r="E36" i="5"/>
  <c r="H35" i="5"/>
  <c r="G35" i="5"/>
  <c r="F35" i="5"/>
  <c r="E35" i="5"/>
  <c r="H34" i="5"/>
  <c r="G34" i="5"/>
  <c r="F34" i="5"/>
  <c r="E34" i="5"/>
  <c r="H33" i="5"/>
  <c r="G33" i="5"/>
  <c r="F33" i="5"/>
  <c r="E33" i="5"/>
  <c r="H32" i="5"/>
  <c r="G32" i="5"/>
  <c r="F32" i="5"/>
  <c r="E32" i="5"/>
  <c r="BE29" i="5"/>
  <c r="BD29" i="5"/>
  <c r="BC29" i="5"/>
  <c r="BB29" i="5"/>
  <c r="BA29" i="5"/>
  <c r="AZ29" i="5"/>
  <c r="AY29" i="5"/>
  <c r="AX29" i="5"/>
  <c r="AW29" i="5"/>
  <c r="AV29" i="5"/>
  <c r="AU29" i="5"/>
  <c r="AT29" i="5"/>
  <c r="AS29" i="5"/>
  <c r="AR29" i="5"/>
  <c r="AQ29" i="5"/>
  <c r="AP29" i="5"/>
  <c r="AO29" i="5"/>
  <c r="AN29"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7" i="5"/>
  <c r="G27" i="5"/>
  <c r="F27" i="5"/>
  <c r="E27" i="5"/>
  <c r="H26" i="5"/>
  <c r="G26" i="5"/>
  <c r="F26" i="5"/>
  <c r="E26" i="5"/>
  <c r="H25" i="5"/>
  <c r="G25" i="5"/>
  <c r="F25" i="5"/>
  <c r="E25" i="5"/>
  <c r="H22" i="5"/>
  <c r="G22" i="5"/>
  <c r="F22" i="5"/>
  <c r="E22" i="5"/>
  <c r="H21" i="5"/>
  <c r="G21" i="5"/>
  <c r="F21" i="5"/>
  <c r="E21" i="5"/>
  <c r="H20" i="5"/>
  <c r="G20" i="5"/>
  <c r="F20" i="5"/>
  <c r="E20" i="5"/>
  <c r="BE16" i="5"/>
  <c r="BD16" i="5"/>
  <c r="BC16" i="5"/>
  <c r="BB16" i="5"/>
  <c r="BA16" i="5"/>
  <c r="AZ16" i="5"/>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I16" i="5"/>
  <c r="H14" i="5"/>
  <c r="G14" i="5"/>
  <c r="F14" i="5"/>
  <c r="E14" i="5"/>
  <c r="H13" i="5"/>
  <c r="G13" i="5"/>
  <c r="F13" i="5"/>
  <c r="E13" i="5"/>
  <c r="H12" i="5"/>
  <c r="G12" i="5"/>
  <c r="F12" i="5"/>
  <c r="E12" i="5"/>
  <c r="H10" i="5"/>
  <c r="G10" i="5"/>
  <c r="F10" i="5"/>
  <c r="E10" i="5"/>
  <c r="H9" i="5"/>
  <c r="G9" i="5"/>
  <c r="F9" i="5"/>
  <c r="E9" i="5"/>
  <c r="H8" i="5"/>
  <c r="G8" i="5"/>
  <c r="F8" i="5"/>
  <c r="E8" i="5"/>
  <c r="H7" i="5"/>
  <c r="G7" i="5"/>
  <c r="F7" i="5"/>
  <c r="E7" i="5"/>
  <c r="AK480" i="4"/>
  <c r="AJ480" i="4"/>
  <c r="AI480" i="4"/>
  <c r="AH480" i="4"/>
  <c r="AG480" i="4"/>
  <c r="AF480" i="4"/>
  <c r="AE480" i="4"/>
  <c r="AD480" i="4"/>
  <c r="AC480" i="4"/>
  <c r="AB480" i="4"/>
  <c r="AA480" i="4"/>
  <c r="Z480" i="4"/>
  <c r="Y480" i="4"/>
  <c r="X480" i="4"/>
  <c r="W480" i="4"/>
  <c r="V480" i="4"/>
  <c r="U480" i="4"/>
  <c r="T480" i="4"/>
  <c r="S480" i="4"/>
  <c r="R480" i="4"/>
  <c r="Q480" i="4"/>
  <c r="P480" i="4"/>
  <c r="O480" i="4"/>
  <c r="N480" i="4"/>
  <c r="M480" i="4"/>
  <c r="L480" i="4"/>
  <c r="K480" i="4"/>
  <c r="J480" i="4"/>
  <c r="AK478" i="4"/>
  <c r="AJ478" i="4"/>
  <c r="AI478" i="4"/>
  <c r="AH478" i="4"/>
  <c r="AG478" i="4"/>
  <c r="AF478" i="4"/>
  <c r="AE478" i="4"/>
  <c r="AD478" i="4"/>
  <c r="AC478" i="4"/>
  <c r="AB478" i="4"/>
  <c r="AA478" i="4"/>
  <c r="Z478" i="4"/>
  <c r="Y478" i="4"/>
  <c r="X478" i="4"/>
  <c r="W478" i="4"/>
  <c r="V478" i="4"/>
  <c r="U478" i="4"/>
  <c r="T478" i="4"/>
  <c r="S478" i="4"/>
  <c r="R478" i="4"/>
  <c r="Q478" i="4"/>
  <c r="P478" i="4"/>
  <c r="O478" i="4"/>
  <c r="N478" i="4"/>
  <c r="M478" i="4"/>
  <c r="L478" i="4"/>
  <c r="K478" i="4"/>
  <c r="J478" i="4"/>
  <c r="AK476" i="4"/>
  <c r="AJ476" i="4"/>
  <c r="AI476" i="4"/>
  <c r="AH476" i="4"/>
  <c r="AG476" i="4"/>
  <c r="AF476" i="4"/>
  <c r="AE476" i="4"/>
  <c r="AD476" i="4"/>
  <c r="AC476" i="4"/>
  <c r="AB476" i="4"/>
  <c r="AA476" i="4"/>
  <c r="Z476" i="4"/>
  <c r="Y476" i="4"/>
  <c r="X476" i="4"/>
  <c r="W476" i="4"/>
  <c r="V476" i="4"/>
  <c r="U476" i="4"/>
  <c r="T476" i="4"/>
  <c r="S476" i="4"/>
  <c r="R476" i="4"/>
  <c r="Q476" i="4"/>
  <c r="P476" i="4"/>
  <c r="O476" i="4"/>
  <c r="N476" i="4"/>
  <c r="M476" i="4"/>
  <c r="L476" i="4"/>
  <c r="K476" i="4"/>
  <c r="J476" i="4"/>
  <c r="AK473" i="4"/>
  <c r="AJ473" i="4"/>
  <c r="AI473" i="4"/>
  <c r="AH473" i="4"/>
  <c r="AG473" i="4"/>
  <c r="AF473" i="4"/>
  <c r="AE473" i="4"/>
  <c r="AD473" i="4"/>
  <c r="AC473" i="4"/>
  <c r="AB473" i="4"/>
  <c r="AA473" i="4"/>
  <c r="Z473" i="4"/>
  <c r="Y473" i="4"/>
  <c r="X473" i="4"/>
  <c r="W473" i="4"/>
  <c r="V473" i="4"/>
  <c r="U473" i="4"/>
  <c r="T473" i="4"/>
  <c r="S473" i="4"/>
  <c r="R473" i="4"/>
  <c r="Q473" i="4"/>
  <c r="P473" i="4"/>
  <c r="O473" i="4"/>
  <c r="N473" i="4"/>
  <c r="M473" i="4"/>
  <c r="L473" i="4"/>
  <c r="K473" i="4"/>
  <c r="J473" i="4"/>
  <c r="AK472" i="4"/>
  <c r="AJ472" i="4"/>
  <c r="AI472" i="4"/>
  <c r="AH472" i="4"/>
  <c r="AG472" i="4"/>
  <c r="AF472" i="4"/>
  <c r="AE472" i="4"/>
  <c r="AD472" i="4"/>
  <c r="AC472" i="4"/>
  <c r="AB472" i="4"/>
  <c r="AA472" i="4"/>
  <c r="Z472" i="4"/>
  <c r="Y472" i="4"/>
  <c r="X472" i="4"/>
  <c r="W472" i="4"/>
  <c r="V472" i="4"/>
  <c r="U472" i="4"/>
  <c r="T472" i="4"/>
  <c r="S472" i="4"/>
  <c r="R472" i="4"/>
  <c r="Q472" i="4"/>
  <c r="P472" i="4"/>
  <c r="O472" i="4"/>
  <c r="N472" i="4"/>
  <c r="M472" i="4"/>
  <c r="L472" i="4"/>
  <c r="K472" i="4"/>
  <c r="J472" i="4"/>
  <c r="AK471" i="4"/>
  <c r="AJ471" i="4"/>
  <c r="AI471" i="4"/>
  <c r="AH471" i="4"/>
  <c r="AG471" i="4"/>
  <c r="AF471" i="4"/>
  <c r="AE471" i="4"/>
  <c r="AD471" i="4"/>
  <c r="AC471" i="4"/>
  <c r="AB471" i="4"/>
  <c r="AA471" i="4"/>
  <c r="Z471" i="4"/>
  <c r="Y471" i="4"/>
  <c r="X471" i="4"/>
  <c r="W471" i="4"/>
  <c r="V471" i="4"/>
  <c r="U471" i="4"/>
  <c r="T471" i="4"/>
  <c r="S471" i="4"/>
  <c r="R471" i="4"/>
  <c r="Q471" i="4"/>
  <c r="P471" i="4"/>
  <c r="O471" i="4"/>
  <c r="N471" i="4"/>
  <c r="M471" i="4"/>
  <c r="L471" i="4"/>
  <c r="K471" i="4"/>
  <c r="J471" i="4"/>
  <c r="AK468" i="4"/>
  <c r="AJ468" i="4"/>
  <c r="AI468" i="4"/>
  <c r="AH468" i="4"/>
  <c r="AG468" i="4"/>
  <c r="AF468" i="4"/>
  <c r="AE468" i="4"/>
  <c r="AD468" i="4"/>
  <c r="AC468" i="4"/>
  <c r="AB468" i="4"/>
  <c r="AA468" i="4"/>
  <c r="Z468" i="4"/>
  <c r="Y468" i="4"/>
  <c r="X468" i="4"/>
  <c r="W468" i="4"/>
  <c r="V468" i="4"/>
  <c r="U468" i="4"/>
  <c r="T468" i="4"/>
  <c r="S468" i="4"/>
  <c r="R468" i="4"/>
  <c r="Q468" i="4"/>
  <c r="P468" i="4"/>
  <c r="O468" i="4"/>
  <c r="N468" i="4"/>
  <c r="M468" i="4"/>
  <c r="L468" i="4"/>
  <c r="K468" i="4"/>
  <c r="J468" i="4"/>
  <c r="AK467" i="4"/>
  <c r="AJ467" i="4"/>
  <c r="AI467" i="4"/>
  <c r="AH467" i="4"/>
  <c r="AG467" i="4"/>
  <c r="AF467" i="4"/>
  <c r="AE467" i="4"/>
  <c r="AD467" i="4"/>
  <c r="AC467" i="4"/>
  <c r="AB467" i="4"/>
  <c r="AA467" i="4"/>
  <c r="Z467" i="4"/>
  <c r="Y467" i="4"/>
  <c r="X467" i="4"/>
  <c r="W467" i="4"/>
  <c r="V467" i="4"/>
  <c r="U467" i="4"/>
  <c r="T467" i="4"/>
  <c r="S467" i="4"/>
  <c r="R467" i="4"/>
  <c r="Q467" i="4"/>
  <c r="P467" i="4"/>
  <c r="O467" i="4"/>
  <c r="N467" i="4"/>
  <c r="M467" i="4"/>
  <c r="L467" i="4"/>
  <c r="K467" i="4"/>
  <c r="J467" i="4"/>
  <c r="AK465" i="4"/>
  <c r="AJ465" i="4"/>
  <c r="AI465" i="4"/>
  <c r="AH465" i="4"/>
  <c r="AG465" i="4"/>
  <c r="AF465" i="4"/>
  <c r="AE465" i="4"/>
  <c r="AD465" i="4"/>
  <c r="AC465" i="4"/>
  <c r="AB465" i="4"/>
  <c r="AA465" i="4"/>
  <c r="Z465" i="4"/>
  <c r="Y465" i="4"/>
  <c r="X465" i="4"/>
  <c r="W465" i="4"/>
  <c r="V465" i="4"/>
  <c r="U465" i="4"/>
  <c r="T465" i="4"/>
  <c r="S465" i="4"/>
  <c r="R465" i="4"/>
  <c r="Q465" i="4"/>
  <c r="P465" i="4"/>
  <c r="O465" i="4"/>
  <c r="N465" i="4"/>
  <c r="M465" i="4"/>
  <c r="L465" i="4"/>
  <c r="K465" i="4"/>
  <c r="J465" i="4"/>
  <c r="BE463" i="4"/>
  <c r="BD463" i="4"/>
  <c r="BC463" i="4"/>
  <c r="BB463" i="4"/>
  <c r="BA463" i="4"/>
  <c r="AZ463" i="4"/>
  <c r="AY463" i="4"/>
  <c r="AX463" i="4"/>
  <c r="AW463" i="4"/>
  <c r="AV463" i="4"/>
  <c r="AU463" i="4"/>
  <c r="AT463" i="4"/>
  <c r="AS463" i="4"/>
  <c r="AR463" i="4"/>
  <c r="AQ463" i="4"/>
  <c r="AP463" i="4"/>
  <c r="AO463" i="4"/>
  <c r="AN463" i="4"/>
  <c r="AM463" i="4"/>
  <c r="AL463" i="4"/>
  <c r="AK463" i="4"/>
  <c r="AJ463" i="4"/>
  <c r="AI463" i="4"/>
  <c r="AH463" i="4"/>
  <c r="AG463" i="4"/>
  <c r="AF463" i="4"/>
  <c r="AE463" i="4"/>
  <c r="AD463" i="4"/>
  <c r="AC463" i="4"/>
  <c r="AB463" i="4"/>
  <c r="AA463" i="4"/>
  <c r="Z463" i="4"/>
  <c r="Y463" i="4"/>
  <c r="X463" i="4"/>
  <c r="W463" i="4"/>
  <c r="V463" i="4"/>
  <c r="U463" i="4"/>
  <c r="T463" i="4"/>
  <c r="S463" i="4"/>
  <c r="R463" i="4"/>
  <c r="Q463" i="4"/>
  <c r="P463" i="4"/>
  <c r="O463" i="4"/>
  <c r="N463" i="4"/>
  <c r="M463" i="4"/>
  <c r="L463" i="4"/>
  <c r="K463" i="4"/>
  <c r="J463" i="4"/>
  <c r="BE461" i="4"/>
  <c r="BD461" i="4"/>
  <c r="BC461" i="4"/>
  <c r="BB461" i="4"/>
  <c r="BA461" i="4"/>
  <c r="AZ461" i="4"/>
  <c r="AY461" i="4"/>
  <c r="AX461" i="4"/>
  <c r="AW461" i="4"/>
  <c r="AV461" i="4"/>
  <c r="AU461" i="4"/>
  <c r="AT461" i="4"/>
  <c r="AS461" i="4"/>
  <c r="AR461" i="4"/>
  <c r="AQ461" i="4"/>
  <c r="AP461" i="4"/>
  <c r="AO461" i="4"/>
  <c r="AN461" i="4"/>
  <c r="AM461" i="4"/>
  <c r="AL461" i="4"/>
  <c r="AK461" i="4"/>
  <c r="AJ461" i="4"/>
  <c r="AI461" i="4"/>
  <c r="AH461" i="4"/>
  <c r="AG461" i="4"/>
  <c r="AF461" i="4"/>
  <c r="AE461" i="4"/>
  <c r="AD461" i="4"/>
  <c r="AC461" i="4"/>
  <c r="AB461" i="4"/>
  <c r="AA461" i="4"/>
  <c r="Z461" i="4"/>
  <c r="Y461" i="4"/>
  <c r="X461" i="4"/>
  <c r="W461" i="4"/>
  <c r="V461" i="4"/>
  <c r="U461" i="4"/>
  <c r="T461" i="4"/>
  <c r="S461" i="4"/>
  <c r="R461" i="4"/>
  <c r="Q461" i="4"/>
  <c r="P461" i="4"/>
  <c r="O461" i="4"/>
  <c r="N461" i="4"/>
  <c r="M461" i="4"/>
  <c r="L461" i="4"/>
  <c r="K461" i="4"/>
  <c r="J461" i="4"/>
  <c r="BE457" i="4"/>
  <c r="BD457" i="4"/>
  <c r="BC457" i="4"/>
  <c r="BB457" i="4"/>
  <c r="BA457" i="4"/>
  <c r="AZ457" i="4"/>
  <c r="AY457" i="4"/>
  <c r="AX457" i="4"/>
  <c r="AW457" i="4"/>
  <c r="AV457" i="4"/>
  <c r="AU457" i="4"/>
  <c r="AT457" i="4"/>
  <c r="AS457" i="4"/>
  <c r="AR457" i="4"/>
  <c r="AQ457" i="4"/>
  <c r="AP457" i="4"/>
  <c r="AO457" i="4"/>
  <c r="AN457" i="4"/>
  <c r="AM457" i="4"/>
  <c r="AL457" i="4"/>
  <c r="AK457" i="4"/>
  <c r="AJ457" i="4"/>
  <c r="AI457" i="4"/>
  <c r="AH457" i="4"/>
  <c r="AG457" i="4"/>
  <c r="AF457" i="4"/>
  <c r="AE457" i="4"/>
  <c r="AD457" i="4"/>
  <c r="AC457" i="4"/>
  <c r="AB457" i="4"/>
  <c r="AA457" i="4"/>
  <c r="Z457" i="4"/>
  <c r="Y457" i="4"/>
  <c r="X457" i="4"/>
  <c r="W457" i="4"/>
  <c r="V457" i="4"/>
  <c r="U457" i="4"/>
  <c r="T457" i="4"/>
  <c r="S457" i="4"/>
  <c r="R457" i="4"/>
  <c r="Q457" i="4"/>
  <c r="P457" i="4"/>
  <c r="O457" i="4"/>
  <c r="N457" i="4"/>
  <c r="M457" i="4"/>
  <c r="L457" i="4"/>
  <c r="K457" i="4"/>
  <c r="J457" i="4"/>
  <c r="BE456" i="4"/>
  <c r="BD456" i="4"/>
  <c r="BC456" i="4"/>
  <c r="BB456" i="4"/>
  <c r="BA456" i="4"/>
  <c r="AZ456" i="4"/>
  <c r="AY456" i="4"/>
  <c r="AX456" i="4"/>
  <c r="AW456" i="4"/>
  <c r="AV456" i="4"/>
  <c r="AU456" i="4"/>
  <c r="AT456" i="4"/>
  <c r="AS456" i="4"/>
  <c r="AR456" i="4"/>
  <c r="AQ456" i="4"/>
  <c r="AP456" i="4"/>
  <c r="AO456" i="4"/>
  <c r="AN456" i="4"/>
  <c r="AM456" i="4"/>
  <c r="AL456" i="4"/>
  <c r="AK456" i="4"/>
  <c r="AJ456" i="4"/>
  <c r="AI456" i="4"/>
  <c r="AH456" i="4"/>
  <c r="AG456" i="4"/>
  <c r="AF456" i="4"/>
  <c r="AE456" i="4"/>
  <c r="AD456" i="4"/>
  <c r="AC456" i="4"/>
  <c r="AB456" i="4"/>
  <c r="AA456" i="4"/>
  <c r="Z456" i="4"/>
  <c r="Y456" i="4"/>
  <c r="X456" i="4"/>
  <c r="W456" i="4"/>
  <c r="V456" i="4"/>
  <c r="U456" i="4"/>
  <c r="T456" i="4"/>
  <c r="S456" i="4"/>
  <c r="R456" i="4"/>
  <c r="Q456" i="4"/>
  <c r="P456" i="4"/>
  <c r="O456" i="4"/>
  <c r="N456" i="4"/>
  <c r="M456" i="4"/>
  <c r="L456" i="4"/>
  <c r="K456" i="4"/>
  <c r="J456" i="4"/>
  <c r="AK454" i="4"/>
  <c r="AJ454" i="4"/>
  <c r="AI454" i="4"/>
  <c r="AH454" i="4"/>
  <c r="AG454" i="4"/>
  <c r="AF454" i="4"/>
  <c r="AE454" i="4"/>
  <c r="AD454" i="4"/>
  <c r="AC454" i="4"/>
  <c r="AB454" i="4"/>
  <c r="AA454" i="4"/>
  <c r="Z454" i="4"/>
  <c r="Y454" i="4"/>
  <c r="X454" i="4"/>
  <c r="W454" i="4"/>
  <c r="V454" i="4"/>
  <c r="U454" i="4"/>
  <c r="T454" i="4"/>
  <c r="S454" i="4"/>
  <c r="R454" i="4"/>
  <c r="Q454" i="4"/>
  <c r="P454" i="4"/>
  <c r="O454" i="4"/>
  <c r="N454" i="4"/>
  <c r="M454" i="4"/>
  <c r="L454" i="4"/>
  <c r="K454" i="4"/>
  <c r="J454" i="4"/>
  <c r="AK453" i="4"/>
  <c r="AJ453" i="4"/>
  <c r="AI453" i="4"/>
  <c r="AH453" i="4"/>
  <c r="AG453" i="4"/>
  <c r="AF453" i="4"/>
  <c r="AE453" i="4"/>
  <c r="AD453" i="4"/>
  <c r="AC453" i="4"/>
  <c r="AB453" i="4"/>
  <c r="AA453" i="4"/>
  <c r="Z453" i="4"/>
  <c r="Y453" i="4"/>
  <c r="X453" i="4"/>
  <c r="W453" i="4"/>
  <c r="V453" i="4"/>
  <c r="U453" i="4"/>
  <c r="T453" i="4"/>
  <c r="S453" i="4"/>
  <c r="R453" i="4"/>
  <c r="Q453" i="4"/>
  <c r="P453" i="4"/>
  <c r="O453" i="4"/>
  <c r="N453" i="4"/>
  <c r="M453" i="4"/>
  <c r="L453" i="4"/>
  <c r="K453" i="4"/>
  <c r="J453" i="4"/>
  <c r="BE451" i="4"/>
  <c r="BD451" i="4"/>
  <c r="BC451" i="4"/>
  <c r="BB451" i="4"/>
  <c r="BA451" i="4"/>
  <c r="AZ451" i="4"/>
  <c r="AY451" i="4"/>
  <c r="AX451" i="4"/>
  <c r="AW451" i="4"/>
  <c r="AV451" i="4"/>
  <c r="AU451" i="4"/>
  <c r="AT451" i="4"/>
  <c r="AS451" i="4"/>
  <c r="AR451" i="4"/>
  <c r="AQ451" i="4"/>
  <c r="AP451" i="4"/>
  <c r="AO451" i="4"/>
  <c r="AN451" i="4"/>
  <c r="AM451" i="4"/>
  <c r="AL451" i="4"/>
  <c r="AK451" i="4"/>
  <c r="AJ451" i="4"/>
  <c r="AI451" i="4"/>
  <c r="AH451" i="4"/>
  <c r="AG451" i="4"/>
  <c r="AF451" i="4"/>
  <c r="AE451" i="4"/>
  <c r="AD451" i="4"/>
  <c r="AC451" i="4"/>
  <c r="AB451" i="4"/>
  <c r="AA451" i="4"/>
  <c r="Z451" i="4"/>
  <c r="Y451" i="4"/>
  <c r="X451" i="4"/>
  <c r="W451" i="4"/>
  <c r="V451" i="4"/>
  <c r="U451" i="4"/>
  <c r="T451" i="4"/>
  <c r="S451" i="4"/>
  <c r="R451" i="4"/>
  <c r="Q451" i="4"/>
  <c r="P451" i="4"/>
  <c r="O451" i="4"/>
  <c r="N451" i="4"/>
  <c r="M451" i="4"/>
  <c r="L451" i="4"/>
  <c r="K451" i="4"/>
  <c r="J451" i="4"/>
  <c r="BE450" i="4"/>
  <c r="BD450" i="4"/>
  <c r="BC450" i="4"/>
  <c r="BB450" i="4"/>
  <c r="BA450" i="4"/>
  <c r="AZ450" i="4"/>
  <c r="AY450" i="4"/>
  <c r="AX450" i="4"/>
  <c r="AW450" i="4"/>
  <c r="AV450" i="4"/>
  <c r="AU450" i="4"/>
  <c r="AT450" i="4"/>
  <c r="AS450" i="4"/>
  <c r="AR450" i="4"/>
  <c r="AQ450" i="4"/>
  <c r="AP450" i="4"/>
  <c r="AO450" i="4"/>
  <c r="AN450" i="4"/>
  <c r="AM450" i="4"/>
  <c r="AL450" i="4"/>
  <c r="AK450" i="4"/>
  <c r="AJ450" i="4"/>
  <c r="AI450" i="4"/>
  <c r="AH450" i="4"/>
  <c r="AG450" i="4"/>
  <c r="AF450" i="4"/>
  <c r="AE450" i="4"/>
  <c r="AD450" i="4"/>
  <c r="AC450" i="4"/>
  <c r="AB450" i="4"/>
  <c r="AA450" i="4"/>
  <c r="Z450" i="4"/>
  <c r="Y450" i="4"/>
  <c r="X450" i="4"/>
  <c r="W450" i="4"/>
  <c r="V450" i="4"/>
  <c r="U450" i="4"/>
  <c r="T450" i="4"/>
  <c r="S450" i="4"/>
  <c r="R450" i="4"/>
  <c r="Q450" i="4"/>
  <c r="P450" i="4"/>
  <c r="O450" i="4"/>
  <c r="N450" i="4"/>
  <c r="M450" i="4"/>
  <c r="L450" i="4"/>
  <c r="K450" i="4"/>
  <c r="J450" i="4"/>
  <c r="BE446" i="4"/>
  <c r="BD446" i="4"/>
  <c r="BC446" i="4"/>
  <c r="BB446" i="4"/>
  <c r="BA446" i="4"/>
  <c r="AZ446" i="4"/>
  <c r="AY446" i="4"/>
  <c r="AX446" i="4"/>
  <c r="AW446" i="4"/>
  <c r="AV446" i="4"/>
  <c r="AU446" i="4"/>
  <c r="AT446" i="4"/>
  <c r="AS446" i="4"/>
  <c r="AR446" i="4"/>
  <c r="AQ446" i="4"/>
  <c r="AP446" i="4"/>
  <c r="AO446" i="4"/>
  <c r="AN446" i="4"/>
  <c r="AM446" i="4"/>
  <c r="AL446" i="4"/>
  <c r="AK446" i="4"/>
  <c r="AJ446" i="4"/>
  <c r="AI446" i="4"/>
  <c r="AH446" i="4"/>
  <c r="AG446" i="4"/>
  <c r="AF446" i="4"/>
  <c r="AE446" i="4"/>
  <c r="AD446" i="4"/>
  <c r="AC446" i="4"/>
  <c r="AB446" i="4"/>
  <c r="AA446" i="4"/>
  <c r="Z446" i="4"/>
  <c r="Y446" i="4"/>
  <c r="X446" i="4"/>
  <c r="W446" i="4"/>
  <c r="V446" i="4"/>
  <c r="U446" i="4"/>
  <c r="T446" i="4"/>
  <c r="S446" i="4"/>
  <c r="R446" i="4"/>
  <c r="Q446" i="4"/>
  <c r="P446" i="4"/>
  <c r="O446" i="4"/>
  <c r="N446" i="4"/>
  <c r="M446" i="4"/>
  <c r="L446" i="4"/>
  <c r="K446" i="4"/>
  <c r="J446" i="4"/>
  <c r="BE444" i="4"/>
  <c r="BD444" i="4"/>
  <c r="BC444" i="4"/>
  <c r="BB444" i="4"/>
  <c r="BA444" i="4"/>
  <c r="AZ444" i="4"/>
  <c r="AY444" i="4"/>
  <c r="AX444" i="4"/>
  <c r="AW444" i="4"/>
  <c r="AV444" i="4"/>
  <c r="AU444" i="4"/>
  <c r="AT444" i="4"/>
  <c r="AS444" i="4"/>
  <c r="AR444" i="4"/>
  <c r="AQ444" i="4"/>
  <c r="AP444" i="4"/>
  <c r="AO444" i="4"/>
  <c r="AN444" i="4"/>
  <c r="AM444" i="4"/>
  <c r="AL444" i="4"/>
  <c r="AK444" i="4"/>
  <c r="AJ444" i="4"/>
  <c r="AI444" i="4"/>
  <c r="AH444" i="4"/>
  <c r="AG444" i="4"/>
  <c r="AF444" i="4"/>
  <c r="AE444" i="4"/>
  <c r="AD444" i="4"/>
  <c r="AC444" i="4"/>
  <c r="AB444" i="4"/>
  <c r="AA444" i="4"/>
  <c r="Z444" i="4"/>
  <c r="Y444" i="4"/>
  <c r="X444" i="4"/>
  <c r="W444" i="4"/>
  <c r="V444" i="4"/>
  <c r="U444" i="4"/>
  <c r="T444" i="4"/>
  <c r="S444" i="4"/>
  <c r="R444" i="4"/>
  <c r="Q444" i="4"/>
  <c r="P444" i="4"/>
  <c r="O444" i="4"/>
  <c r="N444" i="4"/>
  <c r="M444" i="4"/>
  <c r="L444" i="4"/>
  <c r="K444" i="4"/>
  <c r="J444" i="4"/>
  <c r="I444" i="4"/>
  <c r="H286" i="4"/>
  <c r="G286" i="4"/>
  <c r="F286" i="4"/>
  <c r="E286" i="4"/>
  <c r="AL285" i="4"/>
  <c r="AL284" i="4"/>
  <c r="AM284" i="4" s="1"/>
  <c r="AN284" i="4" s="1"/>
  <c r="AO284" i="4" s="1"/>
  <c r="AP284" i="4" s="1"/>
  <c r="AQ284" i="4" s="1"/>
  <c r="AR284" i="4" s="1"/>
  <c r="AS284" i="4" s="1"/>
  <c r="AT284" i="4" s="1"/>
  <c r="AU284" i="4" s="1"/>
  <c r="AV284" i="4" s="1"/>
  <c r="AW284" i="4" s="1"/>
  <c r="AX284" i="4" s="1"/>
  <c r="AY284" i="4" s="1"/>
  <c r="AZ284" i="4" s="1"/>
  <c r="BA284" i="4" s="1"/>
  <c r="BB284" i="4" s="1"/>
  <c r="BC284" i="4" s="1"/>
  <c r="BD284" i="4" s="1"/>
  <c r="BE284" i="4" s="1"/>
  <c r="H284" i="4"/>
  <c r="G284" i="4"/>
  <c r="F284" i="4"/>
  <c r="E284" i="4"/>
  <c r="AL283" i="4"/>
  <c r="AL282" i="4"/>
  <c r="AM282" i="4" s="1"/>
  <c r="AN282" i="4" s="1"/>
  <c r="AO282" i="4" s="1"/>
  <c r="AP282" i="4" s="1"/>
  <c r="AQ282" i="4" s="1"/>
  <c r="AR282" i="4" s="1"/>
  <c r="AS282" i="4" s="1"/>
  <c r="AT282" i="4" s="1"/>
  <c r="AU282" i="4" s="1"/>
  <c r="AV282" i="4" s="1"/>
  <c r="AW282" i="4" s="1"/>
  <c r="AX282" i="4" s="1"/>
  <c r="AY282" i="4" s="1"/>
  <c r="AZ282" i="4" s="1"/>
  <c r="BA282" i="4" s="1"/>
  <c r="BB282" i="4" s="1"/>
  <c r="BC282" i="4" s="1"/>
  <c r="BD282" i="4" s="1"/>
  <c r="BE282" i="4" s="1"/>
  <c r="H282" i="4"/>
  <c r="G282" i="4"/>
  <c r="F282" i="4"/>
  <c r="E282" i="4"/>
  <c r="AL281" i="4"/>
  <c r="AL280" i="4"/>
  <c r="AM280" i="4" s="1"/>
  <c r="AN280" i="4" s="1"/>
  <c r="AO280" i="4" s="1"/>
  <c r="AP280" i="4" s="1"/>
  <c r="AQ280" i="4" s="1"/>
  <c r="AR280" i="4" s="1"/>
  <c r="AS280" i="4" s="1"/>
  <c r="AT280" i="4" s="1"/>
  <c r="AU280" i="4" s="1"/>
  <c r="AV280" i="4" s="1"/>
  <c r="AW280" i="4" s="1"/>
  <c r="AX280" i="4" s="1"/>
  <c r="AY280" i="4" s="1"/>
  <c r="AZ280" i="4" s="1"/>
  <c r="BA280" i="4" s="1"/>
  <c r="BB280" i="4" s="1"/>
  <c r="BC280" i="4" s="1"/>
  <c r="BD280" i="4" s="1"/>
  <c r="BE280" i="4" s="1"/>
  <c r="H280" i="4"/>
  <c r="G280" i="4"/>
  <c r="F280" i="4"/>
  <c r="E280" i="4"/>
  <c r="AK279" i="4"/>
  <c r="AL279" i="4" s="1"/>
  <c r="AM279" i="4" s="1"/>
  <c r="AN279" i="4" s="1"/>
  <c r="AO279" i="4" s="1"/>
  <c r="AP279" i="4" s="1"/>
  <c r="AQ279" i="4" s="1"/>
  <c r="AR279" i="4" s="1"/>
  <c r="AS279" i="4" s="1"/>
  <c r="AT279" i="4" s="1"/>
  <c r="AU279" i="4" s="1"/>
  <c r="AV279" i="4" s="1"/>
  <c r="AW279" i="4" s="1"/>
  <c r="AX279" i="4" s="1"/>
  <c r="AY279" i="4" s="1"/>
  <c r="AZ279" i="4" s="1"/>
  <c r="BA279" i="4" s="1"/>
  <c r="BB279" i="4" s="1"/>
  <c r="BC279" i="4" s="1"/>
  <c r="BD279" i="4" s="1"/>
  <c r="BE279" i="4" s="1"/>
  <c r="AJ279" i="4"/>
  <c r="AI279" i="4"/>
  <c r="AH279" i="4"/>
  <c r="AG279" i="4"/>
  <c r="AF279" i="4"/>
  <c r="AE279" i="4"/>
  <c r="AD279" i="4"/>
  <c r="AC279" i="4"/>
  <c r="AB279" i="4"/>
  <c r="AA279" i="4"/>
  <c r="Z279" i="4"/>
  <c r="Y279" i="4"/>
  <c r="X279" i="4"/>
  <c r="W279" i="4"/>
  <c r="V279" i="4"/>
  <c r="U279" i="4"/>
  <c r="T279" i="4"/>
  <c r="S279" i="4"/>
  <c r="R279" i="4"/>
  <c r="Q279" i="4"/>
  <c r="P279" i="4"/>
  <c r="O279" i="4"/>
  <c r="N279" i="4"/>
  <c r="M279" i="4"/>
  <c r="L279" i="4"/>
  <c r="K279" i="4"/>
  <c r="J279" i="4"/>
  <c r="I279" i="4"/>
  <c r="AL278" i="4"/>
  <c r="AL277" i="4"/>
  <c r="AL276" i="4"/>
  <c r="AL275" i="4"/>
  <c r="AM275" i="4" s="1"/>
  <c r="AN275" i="4" s="1"/>
  <c r="AO275" i="4" s="1"/>
  <c r="AP275" i="4" s="1"/>
  <c r="AQ275" i="4" s="1"/>
  <c r="AR275" i="4" s="1"/>
  <c r="AS275" i="4" s="1"/>
  <c r="AT275" i="4" s="1"/>
  <c r="AU275" i="4" s="1"/>
  <c r="AV275" i="4" s="1"/>
  <c r="AW275" i="4" s="1"/>
  <c r="AX275" i="4" s="1"/>
  <c r="AY275" i="4" s="1"/>
  <c r="AZ275" i="4" s="1"/>
  <c r="BA275" i="4" s="1"/>
  <c r="BB275" i="4" s="1"/>
  <c r="BC275" i="4" s="1"/>
  <c r="BD275" i="4" s="1"/>
  <c r="BE275" i="4" s="1"/>
  <c r="H275" i="4"/>
  <c r="G275" i="4"/>
  <c r="F275" i="4"/>
  <c r="E275" i="4"/>
  <c r="AK274" i="4"/>
  <c r="AL274" i="4" s="1"/>
  <c r="AM274" i="4" s="1"/>
  <c r="AN274" i="4" s="1"/>
  <c r="AO274" i="4" s="1"/>
  <c r="AP274" i="4" s="1"/>
  <c r="AQ274" i="4" s="1"/>
  <c r="AR274" i="4" s="1"/>
  <c r="AS274" i="4" s="1"/>
  <c r="AT274" i="4" s="1"/>
  <c r="AU274" i="4" s="1"/>
  <c r="AV274" i="4" s="1"/>
  <c r="AW274" i="4" s="1"/>
  <c r="AX274" i="4" s="1"/>
  <c r="AY274" i="4" s="1"/>
  <c r="AZ274" i="4" s="1"/>
  <c r="BA274" i="4" s="1"/>
  <c r="BB274" i="4" s="1"/>
  <c r="BC274" i="4" s="1"/>
  <c r="BD274" i="4" s="1"/>
  <c r="BE274" i="4" s="1"/>
  <c r="AJ274" i="4"/>
  <c r="AI274" i="4"/>
  <c r="AH274" i="4"/>
  <c r="AG274" i="4"/>
  <c r="AF274" i="4"/>
  <c r="AE274" i="4"/>
  <c r="AD274" i="4"/>
  <c r="AC274" i="4"/>
  <c r="AB274" i="4"/>
  <c r="AA274" i="4"/>
  <c r="Z274" i="4"/>
  <c r="Y274" i="4"/>
  <c r="X274" i="4"/>
  <c r="W274" i="4"/>
  <c r="V274" i="4"/>
  <c r="U274" i="4"/>
  <c r="T274" i="4"/>
  <c r="S274" i="4"/>
  <c r="R274" i="4"/>
  <c r="Q274" i="4"/>
  <c r="P274" i="4"/>
  <c r="O274" i="4"/>
  <c r="N274" i="4"/>
  <c r="M274" i="4"/>
  <c r="L274" i="4"/>
  <c r="K274" i="4"/>
  <c r="J274" i="4"/>
  <c r="I274" i="4"/>
  <c r="AL273" i="4"/>
  <c r="AL272" i="4"/>
  <c r="AL270" i="4"/>
  <c r="AL269" i="4"/>
  <c r="AM269" i="4" s="1"/>
  <c r="AN269" i="4" s="1"/>
  <c r="AO269" i="4" s="1"/>
  <c r="AP269" i="4" s="1"/>
  <c r="AQ269" i="4" s="1"/>
  <c r="AR269" i="4" s="1"/>
  <c r="AS269" i="4" s="1"/>
  <c r="AT269" i="4" s="1"/>
  <c r="AU269" i="4" s="1"/>
  <c r="AV269" i="4" s="1"/>
  <c r="AW269" i="4" s="1"/>
  <c r="AX269" i="4" s="1"/>
  <c r="AY269" i="4" s="1"/>
  <c r="AZ269" i="4" s="1"/>
  <c r="BA269" i="4" s="1"/>
  <c r="BB269" i="4" s="1"/>
  <c r="BC269" i="4" s="1"/>
  <c r="BD269" i="4" s="1"/>
  <c r="BE269" i="4" s="1"/>
  <c r="H269" i="4"/>
  <c r="G269" i="4"/>
  <c r="F269" i="4"/>
  <c r="E269" i="4"/>
  <c r="AL267" i="4"/>
  <c r="AM267" i="4" s="1"/>
  <c r="AN267" i="4" s="1"/>
  <c r="AO267" i="4" s="1"/>
  <c r="AP267" i="4" s="1"/>
  <c r="AQ267" i="4" s="1"/>
  <c r="AR267" i="4" s="1"/>
  <c r="AS267" i="4" s="1"/>
  <c r="AT267" i="4" s="1"/>
  <c r="AU267" i="4" s="1"/>
  <c r="AV267" i="4" s="1"/>
  <c r="AW267" i="4" s="1"/>
  <c r="AX267" i="4" s="1"/>
  <c r="AY267" i="4" s="1"/>
  <c r="AZ267" i="4" s="1"/>
  <c r="BA267" i="4" s="1"/>
  <c r="BB267" i="4" s="1"/>
  <c r="BC267" i="4" s="1"/>
  <c r="BD267" i="4" s="1"/>
  <c r="BE267" i="4" s="1"/>
  <c r="H267" i="4"/>
  <c r="G267" i="4"/>
  <c r="F267" i="4"/>
  <c r="E267" i="4"/>
  <c r="AL265" i="4"/>
  <c r="AM265" i="4" s="1"/>
  <c r="AN265" i="4" s="1"/>
  <c r="AO265" i="4" s="1"/>
  <c r="AP265" i="4" s="1"/>
  <c r="AQ265" i="4" s="1"/>
  <c r="AR265" i="4" s="1"/>
  <c r="AS265" i="4" s="1"/>
  <c r="AT265" i="4" s="1"/>
  <c r="AU265" i="4" s="1"/>
  <c r="AV265" i="4" s="1"/>
  <c r="AW265" i="4" s="1"/>
  <c r="AX265" i="4" s="1"/>
  <c r="AY265" i="4" s="1"/>
  <c r="AZ265" i="4" s="1"/>
  <c r="BA265" i="4" s="1"/>
  <c r="BB265" i="4" s="1"/>
  <c r="BC265" i="4" s="1"/>
  <c r="BD265" i="4" s="1"/>
  <c r="BE265" i="4" s="1"/>
  <c r="H265" i="4"/>
  <c r="G265" i="4"/>
  <c r="F265" i="4"/>
  <c r="E265" i="4"/>
  <c r="AL263" i="4"/>
  <c r="AM263" i="4" s="1"/>
  <c r="AN263" i="4" s="1"/>
  <c r="AO263" i="4" s="1"/>
  <c r="AP263" i="4" s="1"/>
  <c r="AQ263" i="4" s="1"/>
  <c r="AR263" i="4" s="1"/>
  <c r="AS263" i="4" s="1"/>
  <c r="AT263" i="4" s="1"/>
  <c r="AU263" i="4" s="1"/>
  <c r="AV263" i="4" s="1"/>
  <c r="AW263" i="4" s="1"/>
  <c r="AX263" i="4" s="1"/>
  <c r="AY263" i="4" s="1"/>
  <c r="AZ263" i="4" s="1"/>
  <c r="BA263" i="4" s="1"/>
  <c r="BB263" i="4" s="1"/>
  <c r="BC263" i="4" s="1"/>
  <c r="BD263" i="4" s="1"/>
  <c r="BE263" i="4" s="1"/>
  <c r="AK260" i="4"/>
  <c r="AL260" i="4" s="1"/>
  <c r="AM260" i="4" s="1"/>
  <c r="AN260" i="4" s="1"/>
  <c r="AO260" i="4" s="1"/>
  <c r="AP260" i="4" s="1"/>
  <c r="AQ260" i="4" s="1"/>
  <c r="AR260" i="4" s="1"/>
  <c r="AS260" i="4" s="1"/>
  <c r="AT260" i="4" s="1"/>
  <c r="AU260" i="4" s="1"/>
  <c r="AV260" i="4" s="1"/>
  <c r="AW260" i="4" s="1"/>
  <c r="AX260" i="4" s="1"/>
  <c r="AY260" i="4" s="1"/>
  <c r="AZ260" i="4" s="1"/>
  <c r="BA260" i="4" s="1"/>
  <c r="BB260" i="4" s="1"/>
  <c r="BC260" i="4" s="1"/>
  <c r="BD260" i="4" s="1"/>
  <c r="BE260" i="4" s="1"/>
  <c r="AJ260" i="4"/>
  <c r="AI260" i="4"/>
  <c r="AH260" i="4"/>
  <c r="AG260" i="4"/>
  <c r="AF260" i="4"/>
  <c r="AE260" i="4"/>
  <c r="AD260" i="4"/>
  <c r="AC260" i="4"/>
  <c r="AB260" i="4"/>
  <c r="AA260" i="4"/>
  <c r="Z260" i="4"/>
  <c r="Y260" i="4"/>
  <c r="X260" i="4"/>
  <c r="W260" i="4"/>
  <c r="V260" i="4"/>
  <c r="U260" i="4"/>
  <c r="T260" i="4"/>
  <c r="S260" i="4"/>
  <c r="R260" i="4"/>
  <c r="Q260" i="4"/>
  <c r="P260" i="4"/>
  <c r="O260" i="4"/>
  <c r="N260" i="4"/>
  <c r="M260" i="4"/>
  <c r="L260" i="4"/>
  <c r="K260" i="4"/>
  <c r="J260" i="4"/>
  <c r="I260" i="4"/>
  <c r="AL259" i="4"/>
  <c r="AL258" i="4"/>
  <c r="AL257" i="4"/>
  <c r="AM257" i="4" s="1"/>
  <c r="AN257" i="4" s="1"/>
  <c r="AO257" i="4" s="1"/>
  <c r="AP257" i="4" s="1"/>
  <c r="AQ257" i="4" s="1"/>
  <c r="AR257" i="4" s="1"/>
  <c r="AS257" i="4" s="1"/>
  <c r="AT257" i="4" s="1"/>
  <c r="AU257" i="4" s="1"/>
  <c r="AV257" i="4" s="1"/>
  <c r="AW257" i="4" s="1"/>
  <c r="AX257" i="4" s="1"/>
  <c r="AY257" i="4" s="1"/>
  <c r="AZ257" i="4" s="1"/>
  <c r="BA257" i="4" s="1"/>
  <c r="BB257" i="4" s="1"/>
  <c r="BC257" i="4" s="1"/>
  <c r="BD257" i="4" s="1"/>
  <c r="BE257" i="4" s="1"/>
  <c r="H257" i="4"/>
  <c r="G257" i="4"/>
  <c r="F257" i="4"/>
  <c r="E257" i="4"/>
  <c r="AL254" i="4"/>
  <c r="AM254" i="4" s="1"/>
  <c r="AN254" i="4" s="1"/>
  <c r="AO254" i="4" s="1"/>
  <c r="AP254" i="4" s="1"/>
  <c r="AQ254" i="4" s="1"/>
  <c r="AR254" i="4" s="1"/>
  <c r="AS254" i="4" s="1"/>
  <c r="AT254" i="4" s="1"/>
  <c r="AU254" i="4" s="1"/>
  <c r="AV254" i="4" s="1"/>
  <c r="AW254" i="4" s="1"/>
  <c r="AX254" i="4" s="1"/>
  <c r="AY254" i="4" s="1"/>
  <c r="AZ254" i="4" s="1"/>
  <c r="BA254" i="4" s="1"/>
  <c r="BB254" i="4" s="1"/>
  <c r="BC254" i="4" s="1"/>
  <c r="BD254" i="4" s="1"/>
  <c r="BE254" i="4" s="1"/>
  <c r="H254" i="4"/>
  <c r="G254" i="4"/>
  <c r="F254" i="4"/>
  <c r="E254" i="4"/>
  <c r="AK253" i="4"/>
  <c r="AL253" i="4" s="1"/>
  <c r="AM253" i="4" s="1"/>
  <c r="AN253" i="4" s="1"/>
  <c r="AO253" i="4" s="1"/>
  <c r="AP253" i="4" s="1"/>
  <c r="AQ253" i="4" s="1"/>
  <c r="AR253" i="4" s="1"/>
  <c r="AS253" i="4" s="1"/>
  <c r="AT253" i="4" s="1"/>
  <c r="AU253" i="4" s="1"/>
  <c r="AV253" i="4" s="1"/>
  <c r="AW253" i="4" s="1"/>
  <c r="AX253" i="4" s="1"/>
  <c r="AY253" i="4" s="1"/>
  <c r="AZ253" i="4" s="1"/>
  <c r="BA253" i="4" s="1"/>
  <c r="BB253" i="4" s="1"/>
  <c r="BC253" i="4" s="1"/>
  <c r="BD253" i="4" s="1"/>
  <c r="BE253" i="4" s="1"/>
  <c r="AJ253" i="4"/>
  <c r="AJ252" i="4" s="1"/>
  <c r="AI253" i="4"/>
  <c r="AH253" i="4"/>
  <c r="AG253" i="4"/>
  <c r="AF253" i="4"/>
  <c r="AE253" i="4"/>
  <c r="AE252" i="4" s="1"/>
  <c r="AD253" i="4"/>
  <c r="AD252" i="4" s="1"/>
  <c r="AC253" i="4"/>
  <c r="AC252" i="4" s="1"/>
  <c r="AB253" i="4"/>
  <c r="AB252" i="4" s="1"/>
  <c r="AA253" i="4"/>
  <c r="AA252" i="4" s="1"/>
  <c r="Z253" i="4"/>
  <c r="Y253" i="4"/>
  <c r="Y252" i="4" s="1"/>
  <c r="X253" i="4"/>
  <c r="W253" i="4"/>
  <c r="W252" i="4" s="1"/>
  <c r="V253" i="4"/>
  <c r="U253" i="4"/>
  <c r="T253" i="4"/>
  <c r="T252" i="4" s="1"/>
  <c r="S253" i="4"/>
  <c r="S252" i="4" s="1"/>
  <c r="R253" i="4"/>
  <c r="R252" i="4" s="1"/>
  <c r="Q253" i="4"/>
  <c r="Q252" i="4" s="1"/>
  <c r="P253" i="4"/>
  <c r="P252" i="4" s="1"/>
  <c r="O253" i="4"/>
  <c r="O252" i="4" s="1"/>
  <c r="N253" i="4"/>
  <c r="M253" i="4"/>
  <c r="M252" i="4" s="1"/>
  <c r="L253" i="4"/>
  <c r="K253" i="4"/>
  <c r="K252" i="4" s="1"/>
  <c r="J253" i="4"/>
  <c r="I253" i="4"/>
  <c r="AK252" i="4"/>
  <c r="AL252" i="4" s="1"/>
  <c r="AM252" i="4" s="1"/>
  <c r="AN252" i="4" s="1"/>
  <c r="AO252" i="4" s="1"/>
  <c r="AP252" i="4" s="1"/>
  <c r="AQ252" i="4" s="1"/>
  <c r="AR252" i="4" s="1"/>
  <c r="AS252" i="4" s="1"/>
  <c r="AT252" i="4" s="1"/>
  <c r="AU252" i="4" s="1"/>
  <c r="AV252" i="4" s="1"/>
  <c r="AW252" i="4" s="1"/>
  <c r="AX252" i="4" s="1"/>
  <c r="AY252" i="4" s="1"/>
  <c r="AZ252" i="4" s="1"/>
  <c r="BA252" i="4" s="1"/>
  <c r="BB252" i="4" s="1"/>
  <c r="BC252" i="4" s="1"/>
  <c r="BD252" i="4" s="1"/>
  <c r="BE252" i="4" s="1"/>
  <c r="AI252" i="4"/>
  <c r="AH252" i="4"/>
  <c r="AG252" i="4"/>
  <c r="AF252" i="4"/>
  <c r="Z252" i="4"/>
  <c r="X252" i="4"/>
  <c r="V252" i="4"/>
  <c r="U252" i="4"/>
  <c r="N252" i="4"/>
  <c r="L252" i="4"/>
  <c r="J252" i="4"/>
  <c r="I252" i="4"/>
  <c r="AL250" i="4"/>
  <c r="AM250" i="4" s="1"/>
  <c r="AN250" i="4" s="1"/>
  <c r="AO250" i="4" s="1"/>
  <c r="AP250" i="4" s="1"/>
  <c r="AQ250" i="4" s="1"/>
  <c r="AR250" i="4" s="1"/>
  <c r="AS250" i="4" s="1"/>
  <c r="AT250" i="4" s="1"/>
  <c r="AU250" i="4" s="1"/>
  <c r="AV250" i="4" s="1"/>
  <c r="AW250" i="4" s="1"/>
  <c r="AX250" i="4" s="1"/>
  <c r="AY250" i="4" s="1"/>
  <c r="AZ250" i="4" s="1"/>
  <c r="BA250" i="4" s="1"/>
  <c r="BB250" i="4" s="1"/>
  <c r="BC250" i="4" s="1"/>
  <c r="BD250" i="4" s="1"/>
  <c r="BE250" i="4" s="1"/>
  <c r="H249" i="4"/>
  <c r="G249" i="4"/>
  <c r="F249" i="4"/>
  <c r="E249" i="4"/>
  <c r="H248" i="4"/>
  <c r="H247" i="4"/>
  <c r="H242" i="4"/>
  <c r="G242" i="4"/>
  <c r="F242" i="4"/>
  <c r="E242" i="4"/>
  <c r="H239" i="4"/>
  <c r="G239" i="4"/>
  <c r="F239" i="4"/>
  <c r="E239" i="4"/>
  <c r="BE236" i="4"/>
  <c r="BD236" i="4"/>
  <c r="BC236" i="4"/>
  <c r="BB236" i="4"/>
  <c r="BA236" i="4"/>
  <c r="AZ236" i="4"/>
  <c r="AY236" i="4"/>
  <c r="AX236" i="4"/>
  <c r="AW236" i="4"/>
  <c r="AV236" i="4"/>
  <c r="AU236" i="4"/>
  <c r="AT236" i="4"/>
  <c r="AS236" i="4"/>
  <c r="AR236" i="4"/>
  <c r="AQ236" i="4"/>
  <c r="AP236" i="4"/>
  <c r="AO236" i="4"/>
  <c r="AN236" i="4"/>
  <c r="AM236" i="4"/>
  <c r="AL236" i="4"/>
  <c r="AK236" i="4"/>
  <c r="AJ236" i="4"/>
  <c r="AI236" i="4"/>
  <c r="AH236" i="4"/>
  <c r="AG236" i="4"/>
  <c r="AF236" i="4"/>
  <c r="AE236" i="4"/>
  <c r="AD236" i="4"/>
  <c r="AC236" i="4"/>
  <c r="AB236" i="4"/>
  <c r="AA236" i="4"/>
  <c r="Z236" i="4"/>
  <c r="Y236" i="4"/>
  <c r="X236" i="4"/>
  <c r="W236" i="4"/>
  <c r="V236" i="4"/>
  <c r="U236" i="4"/>
  <c r="T236" i="4"/>
  <c r="S236" i="4"/>
  <c r="H236" i="4"/>
  <c r="G236" i="4"/>
  <c r="F236" i="4"/>
  <c r="E236" i="4"/>
  <c r="S235" i="4"/>
  <c r="H235" i="4"/>
  <c r="G235" i="4"/>
  <c r="F235" i="4"/>
  <c r="E235" i="4"/>
  <c r="H232" i="4"/>
  <c r="H427" i="4" s="1"/>
  <c r="G232" i="4"/>
  <c r="G427" i="4" s="1"/>
  <c r="F232" i="4"/>
  <c r="F427" i="4" s="1"/>
  <c r="E232" i="4"/>
  <c r="E427" i="4" s="1"/>
  <c r="H230" i="4"/>
  <c r="G230" i="4"/>
  <c r="F230" i="4"/>
  <c r="E230" i="4"/>
  <c r="H207" i="4"/>
  <c r="G207" i="4"/>
  <c r="F207" i="4"/>
  <c r="E207" i="4"/>
  <c r="H198" i="4"/>
  <c r="H197" i="4"/>
  <c r="H195" i="4"/>
  <c r="H194" i="4"/>
  <c r="H193" i="4"/>
  <c r="H192" i="4"/>
  <c r="H191" i="4"/>
  <c r="H190" i="4"/>
  <c r="H189" i="4"/>
  <c r="I166" i="4"/>
  <c r="I165" i="4"/>
  <c r="G165" i="4"/>
  <c r="G197" i="4" s="1"/>
  <c r="F165" i="4"/>
  <c r="F197" i="4" s="1"/>
  <c r="I164" i="4"/>
  <c r="I163" i="4"/>
  <c r="I162" i="4"/>
  <c r="G162" i="4"/>
  <c r="G194" i="4" s="1"/>
  <c r="F162" i="4"/>
  <c r="F194" i="4" s="1"/>
  <c r="I161" i="4"/>
  <c r="I160" i="4"/>
  <c r="I159" i="4"/>
  <c r="I158" i="4"/>
  <c r="I157" i="4"/>
  <c r="G157" i="4"/>
  <c r="G189" i="4" s="1"/>
  <c r="F157" i="4"/>
  <c r="F189" i="4" s="1"/>
  <c r="I156" i="4"/>
  <c r="R135" i="4"/>
  <c r="Q135" i="4"/>
  <c r="P135" i="4"/>
  <c r="O135" i="4"/>
  <c r="N135" i="4"/>
  <c r="M135" i="4"/>
  <c r="L135" i="4"/>
  <c r="K135" i="4"/>
  <c r="J135" i="4"/>
  <c r="I135" i="4"/>
  <c r="H135" i="4"/>
  <c r="G135" i="4"/>
  <c r="G200" i="4" s="1"/>
  <c r="F135" i="4"/>
  <c r="F200" i="4" s="1"/>
  <c r="E135" i="4"/>
  <c r="E200" i="4" s="1"/>
  <c r="R131" i="4"/>
  <c r="Q131" i="4"/>
  <c r="P131" i="4"/>
  <c r="O131" i="4"/>
  <c r="N131" i="4"/>
  <c r="M131" i="4"/>
  <c r="L131" i="4"/>
  <c r="K131" i="4"/>
  <c r="J131" i="4"/>
  <c r="I131" i="4"/>
  <c r="H131" i="4"/>
  <c r="H196" i="4" s="1"/>
  <c r="G131" i="4"/>
  <c r="F131" i="4"/>
  <c r="E131" i="4"/>
  <c r="R123" i="4"/>
  <c r="Q123" i="4"/>
  <c r="P123" i="4"/>
  <c r="O123" i="4"/>
  <c r="N123" i="4"/>
  <c r="M123" i="4"/>
  <c r="L123" i="4"/>
  <c r="K123" i="4"/>
  <c r="J123" i="4"/>
  <c r="I123" i="4"/>
  <c r="H123" i="4"/>
  <c r="H188" i="4" s="1"/>
  <c r="G123" i="4"/>
  <c r="G156" i="4" s="1"/>
  <c r="G188" i="4" s="1"/>
  <c r="F123" i="4"/>
  <c r="F156" i="4" s="1"/>
  <c r="F188" i="4" s="1"/>
  <c r="E123" i="4"/>
  <c r="E156" i="4" s="1"/>
  <c r="E188" i="4" s="1"/>
  <c r="R122" i="4"/>
  <c r="Q122" i="4"/>
  <c r="P122" i="4"/>
  <c r="O122" i="4"/>
  <c r="N122" i="4"/>
  <c r="M122" i="4"/>
  <c r="L122" i="4"/>
  <c r="J122" i="4"/>
  <c r="I122" i="4"/>
  <c r="H122" i="4"/>
  <c r="G122" i="4"/>
  <c r="G155" i="4" s="1"/>
  <c r="G187" i="4" s="1"/>
  <c r="F122" i="4"/>
  <c r="F155" i="4" s="1"/>
  <c r="F187" i="4" s="1"/>
  <c r="E122" i="4"/>
  <c r="E155" i="4" s="1"/>
  <c r="E187" i="4" s="1"/>
  <c r="R121" i="4"/>
  <c r="Q121" i="4"/>
  <c r="P121" i="4"/>
  <c r="O121" i="4"/>
  <c r="N121" i="4"/>
  <c r="M121" i="4"/>
  <c r="L121" i="4"/>
  <c r="K121" i="4"/>
  <c r="J121" i="4"/>
  <c r="I121" i="4"/>
  <c r="H121" i="4"/>
  <c r="G121" i="4"/>
  <c r="F121" i="4"/>
  <c r="E121" i="4"/>
  <c r="R120" i="4"/>
  <c r="Q120" i="4"/>
  <c r="P120" i="4"/>
  <c r="O120" i="4"/>
  <c r="N120" i="4"/>
  <c r="M120" i="4"/>
  <c r="L120" i="4"/>
  <c r="K120" i="4"/>
  <c r="J120" i="4"/>
  <c r="I120" i="4"/>
  <c r="H120" i="4"/>
  <c r="G120" i="4"/>
  <c r="F120" i="4"/>
  <c r="E120" i="4"/>
  <c r="R119" i="4"/>
  <c r="Q119" i="4"/>
  <c r="P119" i="4"/>
  <c r="O119" i="4"/>
  <c r="N119" i="4"/>
  <c r="M119" i="4"/>
  <c r="L119" i="4"/>
  <c r="K119" i="4"/>
  <c r="J119" i="4"/>
  <c r="I119" i="4"/>
  <c r="H119" i="4"/>
  <c r="G119" i="4"/>
  <c r="F119" i="4"/>
  <c r="E119" i="4"/>
  <c r="R118" i="4"/>
  <c r="R151" i="4" s="1"/>
  <c r="R183" i="4" s="1"/>
  <c r="Q118" i="4"/>
  <c r="Q151" i="4" s="1"/>
  <c r="Q183" i="4" s="1"/>
  <c r="P118" i="4"/>
  <c r="P151" i="4" s="1"/>
  <c r="P183" i="4" s="1"/>
  <c r="O118" i="4"/>
  <c r="O151" i="4" s="1"/>
  <c r="O183" i="4" s="1"/>
  <c r="N118" i="4"/>
  <c r="N151" i="4" s="1"/>
  <c r="N183" i="4" s="1"/>
  <c r="M118" i="4"/>
  <c r="M151" i="4" s="1"/>
  <c r="M183" i="4" s="1"/>
  <c r="L118" i="4"/>
  <c r="L151" i="4" s="1"/>
  <c r="L183" i="4" s="1"/>
  <c r="K118" i="4"/>
  <c r="K151" i="4" s="1"/>
  <c r="K183" i="4" s="1"/>
  <c r="J118" i="4"/>
  <c r="J151" i="4" s="1"/>
  <c r="J183" i="4" s="1"/>
  <c r="I118" i="4"/>
  <c r="I151" i="4" s="1"/>
  <c r="I183" i="4" s="1"/>
  <c r="H118" i="4"/>
  <c r="H151" i="4" s="1"/>
  <c r="H183" i="4" s="1"/>
  <c r="G118" i="4"/>
  <c r="F118" i="4"/>
  <c r="E118" i="4"/>
  <c r="R117" i="4"/>
  <c r="Q117" i="4"/>
  <c r="P117" i="4"/>
  <c r="N117" i="4"/>
  <c r="M117" i="4"/>
  <c r="L117" i="4"/>
  <c r="K117" i="4"/>
  <c r="J117" i="4"/>
  <c r="I117" i="4"/>
  <c r="H117" i="4"/>
  <c r="G117" i="4"/>
  <c r="F117" i="4"/>
  <c r="E117" i="4"/>
  <c r="R116" i="4"/>
  <c r="Q116" i="4"/>
  <c r="P116" i="4"/>
  <c r="O116" i="4"/>
  <c r="N116" i="4"/>
  <c r="L116" i="4"/>
  <c r="K116" i="4"/>
  <c r="J116" i="4"/>
  <c r="I116" i="4"/>
  <c r="H116" i="4"/>
  <c r="G116" i="4"/>
  <c r="F116" i="4"/>
  <c r="E116" i="4"/>
  <c r="R114" i="4"/>
  <c r="Q114" i="4"/>
  <c r="P114" i="4"/>
  <c r="O114" i="4"/>
  <c r="N114" i="4"/>
  <c r="M114" i="4"/>
  <c r="L114" i="4"/>
  <c r="K114" i="4"/>
  <c r="J114" i="4"/>
  <c r="I114" i="4"/>
  <c r="H114" i="4"/>
  <c r="G114" i="4"/>
  <c r="F114" i="4"/>
  <c r="E114" i="4"/>
  <c r="R113" i="4"/>
  <c r="Q113" i="4"/>
  <c r="P113" i="4"/>
  <c r="O113" i="4"/>
  <c r="N113" i="4"/>
  <c r="M113" i="4"/>
  <c r="L113" i="4"/>
  <c r="K113" i="4"/>
  <c r="J113" i="4"/>
  <c r="I113" i="4"/>
  <c r="H113" i="4"/>
  <c r="G113" i="4"/>
  <c r="F113" i="4"/>
  <c r="E113" i="4"/>
  <c r="R112" i="4"/>
  <c r="R145" i="4" s="1"/>
  <c r="Q112" i="4"/>
  <c r="Q145" i="4" s="1"/>
  <c r="P112" i="4"/>
  <c r="P145" i="4" s="1"/>
  <c r="O112" i="4"/>
  <c r="O145" i="4" s="1"/>
  <c r="N112" i="4"/>
  <c r="N145" i="4" s="1"/>
  <c r="M112" i="4"/>
  <c r="M145" i="4" s="1"/>
  <c r="L112" i="4"/>
  <c r="L145" i="4" s="1"/>
  <c r="J112" i="4"/>
  <c r="J145" i="4" s="1"/>
  <c r="I112" i="4"/>
  <c r="I145" i="4" s="1"/>
  <c r="H112" i="4"/>
  <c r="H145" i="4" s="1"/>
  <c r="H177" i="4" s="1"/>
  <c r="G112" i="4"/>
  <c r="F112" i="4"/>
  <c r="E112" i="4"/>
  <c r="R111" i="4"/>
  <c r="R144" i="4" s="1"/>
  <c r="Q111" i="4"/>
  <c r="Q144" i="4" s="1"/>
  <c r="P111" i="4"/>
  <c r="P144" i="4" s="1"/>
  <c r="O111" i="4"/>
  <c r="O144" i="4" s="1"/>
  <c r="N111" i="4"/>
  <c r="N144" i="4" s="1"/>
  <c r="M111" i="4"/>
  <c r="M144" i="4" s="1"/>
  <c r="L111" i="4"/>
  <c r="L144" i="4" s="1"/>
  <c r="K111" i="4"/>
  <c r="K144" i="4" s="1"/>
  <c r="J111" i="4"/>
  <c r="J144" i="4" s="1"/>
  <c r="I111" i="4"/>
  <c r="I144" i="4" s="1"/>
  <c r="H111" i="4"/>
  <c r="H144" i="4" s="1"/>
  <c r="H176" i="4" s="1"/>
  <c r="G111" i="4"/>
  <c r="F111" i="4"/>
  <c r="E111" i="4"/>
  <c r="E144" i="4" s="1"/>
  <c r="E176" i="4" s="1"/>
  <c r="R110" i="4"/>
  <c r="Q110" i="4"/>
  <c r="P110" i="4"/>
  <c r="O110" i="4"/>
  <c r="N110" i="4"/>
  <c r="M110" i="4"/>
  <c r="L110" i="4"/>
  <c r="K110" i="4"/>
  <c r="J110" i="4"/>
  <c r="I110" i="4"/>
  <c r="H110" i="4"/>
  <c r="G110" i="4"/>
  <c r="F110" i="4"/>
  <c r="E110" i="4"/>
  <c r="R109" i="4"/>
  <c r="Q109" i="4"/>
  <c r="P109" i="4"/>
  <c r="O109" i="4"/>
  <c r="N109" i="4"/>
  <c r="M109" i="4"/>
  <c r="L109" i="4"/>
  <c r="K109" i="4"/>
  <c r="J109" i="4"/>
  <c r="I109" i="4"/>
  <c r="H109" i="4"/>
  <c r="G109" i="4"/>
  <c r="F109" i="4"/>
  <c r="E109" i="4"/>
  <c r="R107" i="4"/>
  <c r="Q107" i="4"/>
  <c r="P107" i="4"/>
  <c r="O107" i="4"/>
  <c r="N107" i="4"/>
  <c r="M107" i="4"/>
  <c r="L107" i="4"/>
  <c r="K107" i="4"/>
  <c r="J107" i="4"/>
  <c r="I107" i="4"/>
  <c r="H107" i="4"/>
  <c r="G107" i="4"/>
  <c r="F107" i="4"/>
  <c r="E107" i="4"/>
  <c r="R106" i="4"/>
  <c r="Q106" i="4"/>
  <c r="P106" i="4"/>
  <c r="O106" i="4"/>
  <c r="N106" i="4"/>
  <c r="M106" i="4"/>
  <c r="L106" i="4"/>
  <c r="K106" i="4"/>
  <c r="J106" i="4"/>
  <c r="I106" i="4"/>
  <c r="H106" i="4"/>
  <c r="G106" i="4"/>
  <c r="F106" i="4"/>
  <c r="E106" i="4"/>
  <c r="H19" i="4"/>
  <c r="G19" i="4"/>
  <c r="F19" i="4"/>
  <c r="E19" i="4"/>
  <c r="H13" i="4"/>
  <c r="G13" i="4"/>
  <c r="F13" i="4"/>
  <c r="E13" i="4"/>
  <c r="H12" i="4"/>
  <c r="G12" i="4"/>
  <c r="F12" i="4"/>
  <c r="E12" i="4"/>
  <c r="E619" i="3"/>
  <c r="E621" i="3" s="1"/>
  <c r="F526" i="3"/>
  <c r="F525" i="3"/>
  <c r="F524" i="3"/>
  <c r="F523" i="3"/>
  <c r="F522" i="3"/>
  <c r="F521" i="3"/>
  <c r="BE516" i="3"/>
  <c r="BD516" i="3"/>
  <c r="BC516" i="3"/>
  <c r="BB516" i="3"/>
  <c r="BA516" i="3"/>
  <c r="AZ516" i="3"/>
  <c r="AY516" i="3"/>
  <c r="AX516" i="3"/>
  <c r="AW516" i="3"/>
  <c r="AV516" i="3"/>
  <c r="AU516" i="3"/>
  <c r="AT516" i="3"/>
  <c r="AS516" i="3"/>
  <c r="AR516" i="3"/>
  <c r="AQ516" i="3"/>
  <c r="AP516" i="3"/>
  <c r="AO516" i="3"/>
  <c r="AN516" i="3"/>
  <c r="AM516" i="3"/>
  <c r="AL516" i="3"/>
  <c r="AK516" i="3"/>
  <c r="AJ516" i="3"/>
  <c r="AI516" i="3"/>
  <c r="AH516" i="3"/>
  <c r="AG516" i="3"/>
  <c r="AF516" i="3"/>
  <c r="AE516" i="3"/>
  <c r="AD516" i="3"/>
  <c r="AC516" i="3"/>
  <c r="AB516" i="3"/>
  <c r="AA516" i="3"/>
  <c r="Z516" i="3"/>
  <c r="Y516" i="3"/>
  <c r="X516" i="3"/>
  <c r="W516" i="3"/>
  <c r="V516" i="3"/>
  <c r="U516" i="3"/>
  <c r="T516" i="3"/>
  <c r="S516" i="3"/>
  <c r="R516" i="3"/>
  <c r="Q516" i="3"/>
  <c r="P516" i="3"/>
  <c r="O516" i="3"/>
  <c r="N516" i="3"/>
  <c r="M516" i="3"/>
  <c r="L516" i="3"/>
  <c r="K516" i="3"/>
  <c r="J516" i="3"/>
  <c r="I516" i="3"/>
  <c r="H516" i="3"/>
  <c r="G516" i="3"/>
  <c r="F516" i="3"/>
  <c r="E516" i="3"/>
  <c r="BE503" i="3"/>
  <c r="BD503" i="3"/>
  <c r="BC503" i="3"/>
  <c r="BB503" i="3"/>
  <c r="BA503" i="3"/>
  <c r="AZ503" i="3"/>
  <c r="AY503" i="3"/>
  <c r="AX503" i="3"/>
  <c r="AW503" i="3"/>
  <c r="AV503" i="3"/>
  <c r="AU503" i="3"/>
  <c r="AT503" i="3"/>
  <c r="AS503" i="3"/>
  <c r="AR503" i="3"/>
  <c r="AQ503" i="3"/>
  <c r="AP503" i="3"/>
  <c r="AO503" i="3"/>
  <c r="AN503" i="3"/>
  <c r="AM503" i="3"/>
  <c r="AL503" i="3"/>
  <c r="AK503" i="3"/>
  <c r="AJ503" i="3"/>
  <c r="AI503" i="3"/>
  <c r="AH503" i="3"/>
  <c r="AG503" i="3"/>
  <c r="AF503" i="3"/>
  <c r="AE503" i="3"/>
  <c r="AD503" i="3"/>
  <c r="AC503" i="3"/>
  <c r="AB503" i="3"/>
  <c r="AA503" i="3"/>
  <c r="Z503" i="3"/>
  <c r="Y503" i="3"/>
  <c r="X503" i="3"/>
  <c r="W503" i="3"/>
  <c r="V503" i="3"/>
  <c r="U503" i="3"/>
  <c r="T503" i="3"/>
  <c r="S503" i="3"/>
  <c r="R503" i="3"/>
  <c r="Q503" i="3"/>
  <c r="P503" i="3"/>
  <c r="O503" i="3"/>
  <c r="N503" i="3"/>
  <c r="M503" i="3"/>
  <c r="L503" i="3"/>
  <c r="K503" i="3"/>
  <c r="J503" i="3"/>
  <c r="I503" i="3"/>
  <c r="H500" i="3"/>
  <c r="G500" i="3"/>
  <c r="F500" i="3"/>
  <c r="E500" i="3"/>
  <c r="H489" i="3"/>
  <c r="G489" i="3"/>
  <c r="F489" i="3"/>
  <c r="E489" i="3"/>
  <c r="H488" i="3"/>
  <c r="G488" i="3"/>
  <c r="F488" i="3"/>
  <c r="E488" i="3"/>
  <c r="I485" i="3"/>
  <c r="J485" i="3" s="1"/>
  <c r="K485" i="3" s="1"/>
  <c r="L485" i="3" s="1"/>
  <c r="M485" i="3" s="1"/>
  <c r="N485" i="3" s="1"/>
  <c r="O485" i="3" s="1"/>
  <c r="P485" i="3" s="1"/>
  <c r="Q485" i="3" s="1"/>
  <c r="R485" i="3" s="1"/>
  <c r="S485" i="3" s="1"/>
  <c r="T485" i="3" s="1"/>
  <c r="U485" i="3" s="1"/>
  <c r="V485" i="3" s="1"/>
  <c r="W485" i="3" s="1"/>
  <c r="X485" i="3" s="1"/>
  <c r="Y485" i="3" s="1"/>
  <c r="Z485" i="3" s="1"/>
  <c r="AA485" i="3" s="1"/>
  <c r="AB485" i="3" s="1"/>
  <c r="AC485" i="3" s="1"/>
  <c r="AD485" i="3" s="1"/>
  <c r="AE485" i="3" s="1"/>
  <c r="AF485" i="3" s="1"/>
  <c r="AG485" i="3" s="1"/>
  <c r="AH485" i="3" s="1"/>
  <c r="AI485" i="3" s="1"/>
  <c r="AJ485" i="3" s="1"/>
  <c r="AK485" i="3" s="1"/>
  <c r="AL485" i="3" s="1"/>
  <c r="AM485" i="3" s="1"/>
  <c r="AN485" i="3" s="1"/>
  <c r="AO485" i="3" s="1"/>
  <c r="AP485" i="3" s="1"/>
  <c r="AQ485" i="3" s="1"/>
  <c r="AR485" i="3" s="1"/>
  <c r="AS485" i="3" s="1"/>
  <c r="AT485" i="3" s="1"/>
  <c r="AU485" i="3" s="1"/>
  <c r="AV485" i="3" s="1"/>
  <c r="AW485" i="3" s="1"/>
  <c r="AX485" i="3" s="1"/>
  <c r="AY485" i="3" s="1"/>
  <c r="AZ485" i="3" s="1"/>
  <c r="BA485" i="3" s="1"/>
  <c r="BB485" i="3" s="1"/>
  <c r="BC485" i="3" s="1"/>
  <c r="BD485" i="3" s="1"/>
  <c r="BE485" i="3" s="1"/>
  <c r="AL484" i="3"/>
  <c r="AM484" i="3" s="1"/>
  <c r="AN484" i="3" s="1"/>
  <c r="AO484" i="3" s="1"/>
  <c r="AP484" i="3" s="1"/>
  <c r="AQ484" i="3" s="1"/>
  <c r="AR484" i="3" s="1"/>
  <c r="AS484" i="3" s="1"/>
  <c r="AT484" i="3" s="1"/>
  <c r="AU484" i="3" s="1"/>
  <c r="AV484" i="3" s="1"/>
  <c r="AW484" i="3" s="1"/>
  <c r="AX484" i="3" s="1"/>
  <c r="AY484" i="3" s="1"/>
  <c r="AZ484" i="3" s="1"/>
  <c r="BA484" i="3" s="1"/>
  <c r="BB484" i="3" s="1"/>
  <c r="BC484" i="3" s="1"/>
  <c r="BD484" i="3" s="1"/>
  <c r="BE484" i="3" s="1"/>
  <c r="J482" i="3"/>
  <c r="K482" i="3" s="1"/>
  <c r="L482" i="3" s="1"/>
  <c r="M482" i="3" s="1"/>
  <c r="N482" i="3" s="1"/>
  <c r="O482" i="3" s="1"/>
  <c r="P482" i="3" s="1"/>
  <c r="Q482" i="3" s="1"/>
  <c r="R482" i="3" s="1"/>
  <c r="S482" i="3" s="1"/>
  <c r="T482" i="3" s="1"/>
  <c r="U482" i="3" s="1"/>
  <c r="V482" i="3" s="1"/>
  <c r="W482" i="3" s="1"/>
  <c r="X482" i="3" s="1"/>
  <c r="Y482" i="3" s="1"/>
  <c r="Z482" i="3" s="1"/>
  <c r="AA482" i="3" s="1"/>
  <c r="AB482" i="3" s="1"/>
  <c r="AC482" i="3" s="1"/>
  <c r="AD482" i="3" s="1"/>
  <c r="AE482" i="3" s="1"/>
  <c r="AF482" i="3" s="1"/>
  <c r="AG482" i="3" s="1"/>
  <c r="AH482" i="3" s="1"/>
  <c r="AI482" i="3" s="1"/>
  <c r="AJ482" i="3" s="1"/>
  <c r="AK482" i="3" s="1"/>
  <c r="AL482" i="3" s="1"/>
  <c r="AM482" i="3" s="1"/>
  <c r="AN482" i="3" s="1"/>
  <c r="AO482" i="3" s="1"/>
  <c r="AP482" i="3" s="1"/>
  <c r="AQ482" i="3" s="1"/>
  <c r="AR482" i="3" s="1"/>
  <c r="AS482" i="3" s="1"/>
  <c r="AT482" i="3" s="1"/>
  <c r="AU482" i="3" s="1"/>
  <c r="AV482" i="3" s="1"/>
  <c r="AW482" i="3" s="1"/>
  <c r="AX482" i="3" s="1"/>
  <c r="AY482" i="3" s="1"/>
  <c r="AZ482" i="3" s="1"/>
  <c r="BA482" i="3" s="1"/>
  <c r="BB482" i="3" s="1"/>
  <c r="BC482" i="3" s="1"/>
  <c r="BD482" i="3" s="1"/>
  <c r="BE482" i="3" s="1"/>
  <c r="I481" i="3"/>
  <c r="J481" i="3" s="1"/>
  <c r="K481" i="3" s="1"/>
  <c r="L481" i="3" s="1"/>
  <c r="M481" i="3" s="1"/>
  <c r="N481" i="3" s="1"/>
  <c r="O481" i="3" s="1"/>
  <c r="P481" i="3" s="1"/>
  <c r="Q481" i="3" s="1"/>
  <c r="R481" i="3" s="1"/>
  <c r="S481" i="3" s="1"/>
  <c r="T481" i="3" s="1"/>
  <c r="U481" i="3" s="1"/>
  <c r="V481" i="3" s="1"/>
  <c r="W481" i="3" s="1"/>
  <c r="X481" i="3" s="1"/>
  <c r="Y481" i="3" s="1"/>
  <c r="Z481" i="3" s="1"/>
  <c r="AA481" i="3" s="1"/>
  <c r="AB481" i="3" s="1"/>
  <c r="AC481" i="3" s="1"/>
  <c r="AD481" i="3" s="1"/>
  <c r="AE481" i="3" s="1"/>
  <c r="AF481" i="3" s="1"/>
  <c r="AG481" i="3" s="1"/>
  <c r="AH481" i="3" s="1"/>
  <c r="AI481" i="3" s="1"/>
  <c r="AJ481" i="3" s="1"/>
  <c r="AK481" i="3" s="1"/>
  <c r="AL481" i="3" s="1"/>
  <c r="AM481" i="3" s="1"/>
  <c r="AN481" i="3" s="1"/>
  <c r="AO481" i="3" s="1"/>
  <c r="AP481" i="3" s="1"/>
  <c r="AQ481" i="3" s="1"/>
  <c r="AR481" i="3" s="1"/>
  <c r="AS481" i="3" s="1"/>
  <c r="AT481" i="3" s="1"/>
  <c r="AU481" i="3" s="1"/>
  <c r="AV481" i="3" s="1"/>
  <c r="AW481" i="3" s="1"/>
  <c r="AX481" i="3" s="1"/>
  <c r="AY481" i="3" s="1"/>
  <c r="AZ481" i="3" s="1"/>
  <c r="BA481" i="3" s="1"/>
  <c r="BB481" i="3" s="1"/>
  <c r="BC481" i="3" s="1"/>
  <c r="BD481" i="3" s="1"/>
  <c r="BE481" i="3" s="1"/>
  <c r="H471" i="3"/>
  <c r="G471" i="3"/>
  <c r="F471" i="3"/>
  <c r="E471" i="3"/>
  <c r="H468" i="3"/>
  <c r="G468" i="3"/>
  <c r="F468" i="3"/>
  <c r="E468" i="3"/>
  <c r="H464" i="3"/>
  <c r="G464" i="3"/>
  <c r="F464" i="3"/>
  <c r="E464" i="3"/>
  <c r="H463" i="3"/>
  <c r="G463" i="3"/>
  <c r="F463" i="3"/>
  <c r="E463" i="3"/>
  <c r="H429" i="3"/>
  <c r="H610" i="3" s="1"/>
  <c r="G429" i="3"/>
  <c r="G610" i="3" s="1"/>
  <c r="F429" i="3"/>
  <c r="F610" i="3" s="1"/>
  <c r="E429" i="3"/>
  <c r="E610" i="3" s="1"/>
  <c r="H427" i="3"/>
  <c r="H608" i="3" s="1"/>
  <c r="G427" i="3"/>
  <c r="G608" i="3" s="1"/>
  <c r="F427" i="3"/>
  <c r="F608" i="3" s="1"/>
  <c r="E427" i="3"/>
  <c r="E608" i="3" s="1"/>
  <c r="H425" i="3"/>
  <c r="H606" i="3" s="1"/>
  <c r="G425" i="3"/>
  <c r="G606" i="3" s="1"/>
  <c r="F425" i="3"/>
  <c r="F606" i="3" s="1"/>
  <c r="E425" i="3"/>
  <c r="E606" i="3" s="1"/>
  <c r="H423" i="3"/>
  <c r="H604" i="3" s="1"/>
  <c r="G423" i="3"/>
  <c r="G604" i="3" s="1"/>
  <c r="F423" i="3"/>
  <c r="F604" i="3" s="1"/>
  <c r="E423" i="3"/>
  <c r="E604" i="3" s="1"/>
  <c r="H418" i="3"/>
  <c r="H599" i="3" s="1"/>
  <c r="G418" i="3"/>
  <c r="G599" i="3" s="1"/>
  <c r="F418" i="3"/>
  <c r="F599" i="3" s="1"/>
  <c r="E418" i="3"/>
  <c r="E599" i="3" s="1"/>
  <c r="H412" i="3"/>
  <c r="H593" i="3" s="1"/>
  <c r="G412" i="3"/>
  <c r="G593" i="3" s="1"/>
  <c r="F412" i="3"/>
  <c r="F593" i="3" s="1"/>
  <c r="E412" i="3"/>
  <c r="E593" i="3" s="1"/>
  <c r="H410" i="3"/>
  <c r="H591" i="3" s="1"/>
  <c r="G410" i="3"/>
  <c r="G591" i="3" s="1"/>
  <c r="F410" i="3"/>
  <c r="F591" i="3" s="1"/>
  <c r="E410" i="3"/>
  <c r="E591" i="3" s="1"/>
  <c r="H408" i="3"/>
  <c r="H589" i="3" s="1"/>
  <c r="G408" i="3"/>
  <c r="G589" i="3" s="1"/>
  <c r="F408" i="3"/>
  <c r="F589" i="3" s="1"/>
  <c r="E408" i="3"/>
  <c r="E589" i="3" s="1"/>
  <c r="H400" i="3"/>
  <c r="H581" i="3" s="1"/>
  <c r="G400" i="3"/>
  <c r="G581" i="3" s="1"/>
  <c r="F400" i="3"/>
  <c r="F581" i="3" s="1"/>
  <c r="E400" i="3"/>
  <c r="E581" i="3" s="1"/>
  <c r="H397" i="3"/>
  <c r="H578" i="3" s="1"/>
  <c r="G397" i="3"/>
  <c r="G578" i="3" s="1"/>
  <c r="F397" i="3"/>
  <c r="F578" i="3" s="1"/>
  <c r="E397" i="3"/>
  <c r="E578" i="3" s="1"/>
  <c r="H392" i="3"/>
  <c r="H573" i="3" s="1"/>
  <c r="G392" i="3"/>
  <c r="G573" i="3" s="1"/>
  <c r="F392" i="3"/>
  <c r="F573" i="3" s="1"/>
  <c r="E392" i="3"/>
  <c r="E573" i="3" s="1"/>
  <c r="H386" i="3"/>
  <c r="H566" i="3" s="1"/>
  <c r="G386" i="3"/>
  <c r="G566" i="3" s="1"/>
  <c r="F386" i="3"/>
  <c r="F566" i="3" s="1"/>
  <c r="E386" i="3"/>
  <c r="E566" i="3" s="1"/>
  <c r="H383" i="3"/>
  <c r="H563" i="3" s="1"/>
  <c r="G383" i="3"/>
  <c r="G563" i="3" s="1"/>
  <c r="F383" i="3"/>
  <c r="F563" i="3" s="1"/>
  <c r="E383" i="3"/>
  <c r="E563" i="3" s="1"/>
  <c r="H380" i="3"/>
  <c r="H560" i="3" s="1"/>
  <c r="G380" i="3"/>
  <c r="G560" i="3" s="1"/>
  <c r="F380" i="3"/>
  <c r="F560" i="3" s="1"/>
  <c r="E380" i="3"/>
  <c r="E560" i="3" s="1"/>
  <c r="H379" i="3"/>
  <c r="H559" i="3" s="1"/>
  <c r="G379" i="3"/>
  <c r="G559" i="3" s="1"/>
  <c r="F379" i="3"/>
  <c r="F559" i="3" s="1"/>
  <c r="E379" i="3"/>
  <c r="E559" i="3" s="1"/>
  <c r="H376" i="3"/>
  <c r="H556" i="3" s="1"/>
  <c r="G376" i="3"/>
  <c r="G556" i="3" s="1"/>
  <c r="F376" i="3"/>
  <c r="F556" i="3" s="1"/>
  <c r="E376" i="3"/>
  <c r="E556" i="3" s="1"/>
  <c r="H374" i="3"/>
  <c r="H554" i="3" s="1"/>
  <c r="G374" i="3"/>
  <c r="G554" i="3" s="1"/>
  <c r="F374" i="3"/>
  <c r="F554" i="3" s="1"/>
  <c r="E374" i="3"/>
  <c r="E554" i="3" s="1"/>
  <c r="H351" i="3"/>
  <c r="H531" i="3" s="1"/>
  <c r="G351" i="3"/>
  <c r="G531" i="3" s="1"/>
  <c r="F351" i="3"/>
  <c r="F531" i="3" s="1"/>
  <c r="E351" i="3"/>
  <c r="E531" i="3" s="1"/>
  <c r="H330" i="3"/>
  <c r="G330" i="3"/>
  <c r="F330" i="3"/>
  <c r="E330" i="3"/>
  <c r="H328" i="3"/>
  <c r="G328" i="3"/>
  <c r="F328" i="3"/>
  <c r="E328" i="3"/>
  <c r="H323" i="3"/>
  <c r="G323" i="3"/>
  <c r="F323" i="3"/>
  <c r="E323" i="3"/>
  <c r="H322" i="3"/>
  <c r="G322" i="3"/>
  <c r="F322" i="3"/>
  <c r="E322" i="3"/>
  <c r="H321" i="3"/>
  <c r="G321" i="3"/>
  <c r="F321" i="3"/>
  <c r="F319" i="3" s="1"/>
  <c r="E321" i="3"/>
  <c r="E319" i="3" s="1"/>
  <c r="H319" i="3"/>
  <c r="G319" i="3"/>
  <c r="H318" i="3"/>
  <c r="G318" i="3"/>
  <c r="F318" i="3"/>
  <c r="E318" i="3"/>
  <c r="H317" i="3"/>
  <c r="G317" i="3"/>
  <c r="F317" i="3"/>
  <c r="E317" i="3"/>
  <c r="H316" i="3"/>
  <c r="G316" i="3"/>
  <c r="F316" i="3"/>
  <c r="E316" i="3"/>
  <c r="H315" i="3"/>
  <c r="G315" i="3"/>
  <c r="G269" i="2" s="1"/>
  <c r="F315" i="3"/>
  <c r="F269" i="2" s="1"/>
  <c r="E315" i="3"/>
  <c r="E269" i="2" s="1"/>
  <c r="H313" i="3"/>
  <c r="G313" i="3"/>
  <c r="F313" i="3"/>
  <c r="E313" i="3"/>
  <c r="H311" i="3"/>
  <c r="H309" i="3" s="1"/>
  <c r="G311" i="3"/>
  <c r="G309" i="3" s="1"/>
  <c r="F311" i="3"/>
  <c r="F309" i="3" s="1"/>
  <c r="E311" i="3"/>
  <c r="E309" i="3" s="1"/>
  <c r="AL307" i="3"/>
  <c r="AM307" i="3" s="1"/>
  <c r="AN307" i="3" s="1"/>
  <c r="AO307" i="3" s="1"/>
  <c r="AP307" i="3" s="1"/>
  <c r="AQ307" i="3" s="1"/>
  <c r="AR307" i="3" s="1"/>
  <c r="AS307" i="3" s="1"/>
  <c r="AT307" i="3" s="1"/>
  <c r="AU307" i="3" s="1"/>
  <c r="AV307" i="3" s="1"/>
  <c r="AW307" i="3" s="1"/>
  <c r="AX307" i="3" s="1"/>
  <c r="AY307" i="3" s="1"/>
  <c r="AZ307" i="3" s="1"/>
  <c r="BA307" i="3" s="1"/>
  <c r="BB307" i="3" s="1"/>
  <c r="BC307" i="3" s="1"/>
  <c r="BD307" i="3" s="1"/>
  <c r="BE307" i="3" s="1"/>
  <c r="H307" i="3"/>
  <c r="H305" i="3" s="1"/>
  <c r="G307" i="3"/>
  <c r="G305" i="3" s="1"/>
  <c r="F307" i="3"/>
  <c r="E307" i="3"/>
  <c r="AL306" i="3"/>
  <c r="AM306" i="3" s="1"/>
  <c r="AN306" i="3" s="1"/>
  <c r="AO306" i="3" s="1"/>
  <c r="AP306" i="3" s="1"/>
  <c r="AQ306" i="3" s="1"/>
  <c r="AR306" i="3" s="1"/>
  <c r="AS306" i="3" s="1"/>
  <c r="AT306" i="3" s="1"/>
  <c r="AU306" i="3" s="1"/>
  <c r="AV306" i="3" s="1"/>
  <c r="AW306" i="3" s="1"/>
  <c r="AX306" i="3" s="1"/>
  <c r="AY306" i="3" s="1"/>
  <c r="AZ306" i="3" s="1"/>
  <c r="BA306" i="3" s="1"/>
  <c r="BB306" i="3" s="1"/>
  <c r="BC306" i="3" s="1"/>
  <c r="BD306" i="3" s="1"/>
  <c r="BE306" i="3" s="1"/>
  <c r="H306" i="3"/>
  <c r="G306" i="3"/>
  <c r="F306" i="3"/>
  <c r="F305" i="3" s="1"/>
  <c r="E306" i="3"/>
  <c r="E305" i="3" s="1"/>
  <c r="H304" i="3"/>
  <c r="G304" i="3"/>
  <c r="F304" i="3"/>
  <c r="E304" i="3"/>
  <c r="H303" i="3"/>
  <c r="G303" i="3"/>
  <c r="F303" i="3"/>
  <c r="E303" i="3"/>
  <c r="AL301" i="3"/>
  <c r="AM301" i="3" s="1"/>
  <c r="AN301" i="3" s="1"/>
  <c r="AO301" i="3" s="1"/>
  <c r="AP301" i="3" s="1"/>
  <c r="AQ301" i="3" s="1"/>
  <c r="AR301" i="3" s="1"/>
  <c r="AS301" i="3" s="1"/>
  <c r="AT301" i="3" s="1"/>
  <c r="AU301" i="3" s="1"/>
  <c r="AV301" i="3" s="1"/>
  <c r="AW301" i="3" s="1"/>
  <c r="AX301" i="3" s="1"/>
  <c r="AY301" i="3" s="1"/>
  <c r="AZ301" i="3" s="1"/>
  <c r="BA301" i="3" s="1"/>
  <c r="BB301" i="3" s="1"/>
  <c r="BC301" i="3" s="1"/>
  <c r="BD301" i="3" s="1"/>
  <c r="BE301" i="3" s="1"/>
  <c r="H301" i="3"/>
  <c r="G301" i="3"/>
  <c r="F301" i="3"/>
  <c r="E301" i="3"/>
  <c r="AL300" i="3"/>
  <c r="AM300" i="3" s="1"/>
  <c r="AN300" i="3" s="1"/>
  <c r="AO300" i="3" s="1"/>
  <c r="AP300" i="3" s="1"/>
  <c r="AQ300" i="3" s="1"/>
  <c r="AR300" i="3" s="1"/>
  <c r="AS300" i="3" s="1"/>
  <c r="AT300" i="3" s="1"/>
  <c r="AU300" i="3" s="1"/>
  <c r="AV300" i="3" s="1"/>
  <c r="AW300" i="3" s="1"/>
  <c r="AX300" i="3" s="1"/>
  <c r="AY300" i="3" s="1"/>
  <c r="AZ300" i="3" s="1"/>
  <c r="BA300" i="3" s="1"/>
  <c r="BB300" i="3" s="1"/>
  <c r="BC300" i="3" s="1"/>
  <c r="BD300" i="3" s="1"/>
  <c r="BE300" i="3" s="1"/>
  <c r="H300" i="3"/>
  <c r="H298" i="3" s="1"/>
  <c r="H297" i="3" s="1"/>
  <c r="G300" i="3"/>
  <c r="G298" i="3" s="1"/>
  <c r="G297" i="3" s="1"/>
  <c r="F300" i="3"/>
  <c r="F298" i="3" s="1"/>
  <c r="F297" i="3" s="1"/>
  <c r="E300" i="3"/>
  <c r="E298" i="3" s="1"/>
  <c r="E297" i="3" s="1"/>
  <c r="AL296" i="3"/>
  <c r="AM296" i="3" s="1"/>
  <c r="AN296" i="3" s="1"/>
  <c r="AO296" i="3" s="1"/>
  <c r="AP296" i="3" s="1"/>
  <c r="AQ296" i="3" s="1"/>
  <c r="AR296" i="3" s="1"/>
  <c r="AS296" i="3" s="1"/>
  <c r="AT296" i="3" s="1"/>
  <c r="AU296" i="3" s="1"/>
  <c r="AV296" i="3" s="1"/>
  <c r="AW296" i="3" s="1"/>
  <c r="AX296" i="3" s="1"/>
  <c r="AY296" i="3" s="1"/>
  <c r="AZ296" i="3" s="1"/>
  <c r="BA296" i="3" s="1"/>
  <c r="BB296" i="3" s="1"/>
  <c r="BC296" i="3" s="1"/>
  <c r="BD296" i="3" s="1"/>
  <c r="BE296" i="3" s="1"/>
  <c r="H296" i="3"/>
  <c r="G296" i="3"/>
  <c r="G295" i="3" s="1"/>
  <c r="F296" i="3"/>
  <c r="F295" i="3" s="1"/>
  <c r="E296" i="3"/>
  <c r="E295" i="3" s="1"/>
  <c r="H295" i="3"/>
  <c r="H290" i="3"/>
  <c r="G290" i="3"/>
  <c r="F290" i="3"/>
  <c r="E290" i="3"/>
  <c r="H289" i="3"/>
  <c r="G289" i="3"/>
  <c r="F289" i="3"/>
  <c r="E289" i="3"/>
  <c r="H288" i="3"/>
  <c r="G288" i="3"/>
  <c r="F288" i="3"/>
  <c r="E288" i="3"/>
  <c r="H286" i="3"/>
  <c r="G286" i="3"/>
  <c r="F286" i="3"/>
  <c r="E286" i="3"/>
  <c r="H285" i="3"/>
  <c r="G285" i="3"/>
  <c r="F285" i="3"/>
  <c r="E285" i="3"/>
  <c r="H283" i="3"/>
  <c r="G283" i="3"/>
  <c r="F283" i="3"/>
  <c r="E283" i="3"/>
  <c r="H282" i="3"/>
  <c r="G282" i="3"/>
  <c r="F282" i="3"/>
  <c r="E282" i="3"/>
  <c r="H279" i="3"/>
  <c r="G279" i="3"/>
  <c r="F279" i="3"/>
  <c r="E279" i="3"/>
  <c r="H278" i="3"/>
  <c r="G278" i="3"/>
  <c r="F278" i="3"/>
  <c r="E278" i="3"/>
  <c r="H276" i="3"/>
  <c r="H274" i="3" s="1"/>
  <c r="G276" i="3"/>
  <c r="F276" i="3"/>
  <c r="E276" i="3"/>
  <c r="E274" i="3" s="1"/>
  <c r="G274" i="3"/>
  <c r="F274" i="3"/>
  <c r="H273" i="3"/>
  <c r="G273" i="3"/>
  <c r="F273" i="3"/>
  <c r="E273" i="3"/>
  <c r="H272" i="3"/>
  <c r="G272" i="3"/>
  <c r="F272" i="3"/>
  <c r="E272" i="3"/>
  <c r="H271" i="3"/>
  <c r="G271" i="3"/>
  <c r="G270" i="2" s="1"/>
  <c r="F271" i="3"/>
  <c r="F270" i="2" s="1"/>
  <c r="E271" i="3"/>
  <c r="E270" i="2" s="1"/>
  <c r="H270" i="3"/>
  <c r="H269" i="3" s="1"/>
  <c r="G270" i="3"/>
  <c r="F270" i="3"/>
  <c r="E270" i="3"/>
  <c r="E269" i="3" s="1"/>
  <c r="H268" i="3"/>
  <c r="G268" i="3"/>
  <c r="F268" i="3"/>
  <c r="E268" i="3"/>
  <c r="H267" i="3"/>
  <c r="G267" i="3"/>
  <c r="F267" i="3"/>
  <c r="E267" i="3"/>
  <c r="H266" i="3"/>
  <c r="G266" i="3"/>
  <c r="G275" i="2" s="1"/>
  <c r="F266" i="3"/>
  <c r="F264" i="3" s="1"/>
  <c r="E266" i="3"/>
  <c r="E275" i="2" s="1"/>
  <c r="H265" i="3"/>
  <c r="H264" i="3" s="1"/>
  <c r="G265" i="3"/>
  <c r="F265" i="3"/>
  <c r="E265" i="3"/>
  <c r="E264" i="3" s="1"/>
  <c r="H262" i="3"/>
  <c r="G262" i="3"/>
  <c r="F262" i="3"/>
  <c r="E262" i="3"/>
  <c r="H261" i="3"/>
  <c r="G261" i="3"/>
  <c r="G259" i="3" s="1"/>
  <c r="F261" i="3"/>
  <c r="F255" i="3" s="1"/>
  <c r="E261" i="3"/>
  <c r="H260" i="3"/>
  <c r="H259" i="3" s="1"/>
  <c r="G260" i="3"/>
  <c r="F260" i="3"/>
  <c r="E260" i="3"/>
  <c r="E259" i="3" s="1"/>
  <c r="H258" i="3"/>
  <c r="G258" i="3"/>
  <c r="F258" i="3"/>
  <c r="E258" i="3"/>
  <c r="H257" i="3"/>
  <c r="G257" i="3"/>
  <c r="G255" i="3" s="1"/>
  <c r="F257" i="3"/>
  <c r="E257" i="3"/>
  <c r="E255" i="3" s="1"/>
  <c r="H256" i="3"/>
  <c r="G256" i="3"/>
  <c r="F256" i="3"/>
  <c r="E256" i="3"/>
  <c r="H255" i="3"/>
  <c r="H254" i="3"/>
  <c r="G254" i="3"/>
  <c r="F254" i="3"/>
  <c r="E254" i="3"/>
  <c r="H253" i="3"/>
  <c r="G253" i="3"/>
  <c r="F253" i="3"/>
  <c r="E253" i="3"/>
  <c r="H251" i="3"/>
  <c r="H350" i="3" s="1"/>
  <c r="G251" i="3"/>
  <c r="G350" i="3" s="1"/>
  <c r="F251" i="3"/>
  <c r="E251" i="3"/>
  <c r="E350" i="3" s="1"/>
  <c r="E244" i="3"/>
  <c r="E242" i="3"/>
  <c r="E241" i="3"/>
  <c r="E239" i="3"/>
  <c r="J230" i="3" s="1"/>
  <c r="E237" i="3"/>
  <c r="E236" i="3"/>
  <c r="E235" i="3"/>
  <c r="G235" i="3" s="1"/>
  <c r="J226" i="3" s="1"/>
  <c r="E232" i="3"/>
  <c r="E229" i="3"/>
  <c r="E228" i="3"/>
  <c r="E227" i="3"/>
  <c r="E226" i="3"/>
  <c r="E224" i="3"/>
  <c r="E222" i="3"/>
  <c r="E221" i="3"/>
  <c r="E220" i="3"/>
  <c r="J219" i="3"/>
  <c r="E219" i="3"/>
  <c r="E218" i="3"/>
  <c r="J211" i="3" s="1"/>
  <c r="E217" i="3"/>
  <c r="J214" i="3" s="1"/>
  <c r="E216" i="3"/>
  <c r="J215" i="3"/>
  <c r="H168" i="4" s="1"/>
  <c r="H200" i="4" s="1"/>
  <c r="E215" i="3"/>
  <c r="J212" i="3" s="1"/>
  <c r="E214" i="3"/>
  <c r="J213" i="3"/>
  <c r="E213" i="3"/>
  <c r="F209" i="3"/>
  <c r="F208" i="3"/>
  <c r="F207" i="3"/>
  <c r="F206" i="3"/>
  <c r="F205" i="3"/>
  <c r="F203" i="3"/>
  <c r="F202" i="3"/>
  <c r="F201" i="3"/>
  <c r="F200" i="3"/>
  <c r="F199" i="3"/>
  <c r="F198" i="3"/>
  <c r="F197" i="3"/>
  <c r="F196" i="3"/>
  <c r="F195" i="3"/>
  <c r="F194" i="3"/>
  <c r="L151" i="3"/>
  <c r="K151" i="3"/>
  <c r="J151" i="3"/>
  <c r="L141" i="3"/>
  <c r="K141" i="3"/>
  <c r="P136" i="3"/>
  <c r="F136" i="3"/>
  <c r="M132" i="3"/>
  <c r="K132" i="3"/>
  <c r="M131" i="3"/>
  <c r="K131" i="3"/>
  <c r="K130" i="3"/>
  <c r="O129" i="3"/>
  <c r="N129" i="3"/>
  <c r="N136" i="3" s="1"/>
  <c r="M128" i="3"/>
  <c r="M136" i="3" s="1"/>
  <c r="K128" i="3"/>
  <c r="K124" i="3"/>
  <c r="J124" i="3"/>
  <c r="K123" i="3"/>
  <c r="L120" i="3"/>
  <c r="L119" i="3"/>
  <c r="K119" i="3"/>
  <c r="I119" i="3"/>
  <c r="O117" i="3"/>
  <c r="K116" i="3"/>
  <c r="J116" i="3"/>
  <c r="H136" i="3"/>
  <c r="G136" i="3"/>
  <c r="R136" i="3"/>
  <c r="Q114" i="3"/>
  <c r="Q136" i="3" s="1"/>
  <c r="L112" i="3"/>
  <c r="L136" i="3" s="1"/>
  <c r="K112" i="3"/>
  <c r="J110" i="3"/>
  <c r="I109" i="3"/>
  <c r="I136" i="3" s="1"/>
  <c r="E136" i="3"/>
  <c r="O107" i="3"/>
  <c r="O136" i="3" s="1"/>
  <c r="H100" i="3"/>
  <c r="G100" i="3"/>
  <c r="F100" i="3"/>
  <c r="E100" i="3"/>
  <c r="H99" i="3"/>
  <c r="G99" i="3"/>
  <c r="F99" i="3"/>
  <c r="E99" i="3"/>
  <c r="H98" i="3"/>
  <c r="G98" i="3"/>
  <c r="F98" i="3"/>
  <c r="E98" i="3"/>
  <c r="H97" i="3"/>
  <c r="G97" i="3"/>
  <c r="F97" i="3"/>
  <c r="E97" i="3"/>
  <c r="H96" i="3"/>
  <c r="G96" i="3"/>
  <c r="F96" i="3"/>
  <c r="E96" i="3"/>
  <c r="H95" i="3"/>
  <c r="G95" i="3"/>
  <c r="F95" i="3"/>
  <c r="E95" i="3"/>
  <c r="H94" i="3"/>
  <c r="G94" i="3"/>
  <c r="F94" i="3"/>
  <c r="E94" i="3"/>
  <c r="H93" i="3"/>
  <c r="G93" i="3"/>
  <c r="F93" i="3"/>
  <c r="E93" i="3"/>
  <c r="H92" i="3"/>
  <c r="G92" i="3"/>
  <c r="F92" i="3"/>
  <c r="E92" i="3"/>
  <c r="H85" i="3"/>
  <c r="H66" i="4" s="1"/>
  <c r="G85" i="3"/>
  <c r="G66" i="4" s="1"/>
  <c r="F85" i="3"/>
  <c r="F66" i="4" s="1"/>
  <c r="E85" i="3"/>
  <c r="E66" i="4" s="1"/>
  <c r="H83" i="3"/>
  <c r="H55" i="4" s="1"/>
  <c r="G83" i="3"/>
  <c r="G55" i="4" s="1"/>
  <c r="F83" i="3"/>
  <c r="F55" i="4" s="1"/>
  <c r="E83" i="3"/>
  <c r="E55" i="4" s="1"/>
  <c r="H81" i="3"/>
  <c r="H50" i="4" s="1"/>
  <c r="G81" i="3"/>
  <c r="G50" i="4" s="1"/>
  <c r="F81" i="3"/>
  <c r="F50" i="4" s="1"/>
  <c r="E81" i="3"/>
  <c r="E50" i="4" s="1"/>
  <c r="H79" i="3"/>
  <c r="G79" i="3"/>
  <c r="F79" i="3"/>
  <c r="E79" i="3"/>
  <c r="H78" i="3"/>
  <c r="H60" i="4" s="1"/>
  <c r="G78" i="3"/>
  <c r="G60" i="4" s="1"/>
  <c r="F78" i="3"/>
  <c r="F60" i="4" s="1"/>
  <c r="E78" i="3"/>
  <c r="E60" i="4" s="1"/>
  <c r="H77" i="3"/>
  <c r="H68" i="4" s="1"/>
  <c r="G77" i="3"/>
  <c r="G68" i="4" s="1"/>
  <c r="F77" i="3"/>
  <c r="F68" i="4" s="1"/>
  <c r="E77" i="3"/>
  <c r="E68" i="4" s="1"/>
  <c r="H76" i="3"/>
  <c r="H63" i="4" s="1"/>
  <c r="G76" i="3"/>
  <c r="G63" i="4" s="1"/>
  <c r="F76" i="3"/>
  <c r="F63" i="4" s="1"/>
  <c r="E76" i="3"/>
  <c r="E63" i="4" s="1"/>
  <c r="H74" i="3"/>
  <c r="G74" i="3"/>
  <c r="F74" i="3"/>
  <c r="E74" i="3"/>
  <c r="H73" i="3"/>
  <c r="H67" i="4" s="1"/>
  <c r="G73" i="3"/>
  <c r="G67" i="4" s="1"/>
  <c r="F73" i="3"/>
  <c r="F67" i="4" s="1"/>
  <c r="E73" i="3"/>
  <c r="E67" i="4" s="1"/>
  <c r="H72" i="3"/>
  <c r="H61" i="4" s="1"/>
  <c r="G72" i="3"/>
  <c r="G61" i="4" s="1"/>
  <c r="F72" i="3"/>
  <c r="F61" i="4" s="1"/>
  <c r="E72" i="3"/>
  <c r="E61" i="4" s="1"/>
  <c r="H71" i="3"/>
  <c r="H64" i="4" s="1"/>
  <c r="G71" i="3"/>
  <c r="G64" i="4" s="1"/>
  <c r="F71" i="3"/>
  <c r="F64" i="4" s="1"/>
  <c r="E71" i="3"/>
  <c r="E64" i="4" s="1"/>
  <c r="H70" i="3"/>
  <c r="H59" i="4" s="1"/>
  <c r="G70" i="3"/>
  <c r="G59" i="4" s="1"/>
  <c r="F70" i="3"/>
  <c r="F59" i="4" s="1"/>
  <c r="E70" i="3"/>
  <c r="E59" i="4" s="1"/>
  <c r="H68" i="3"/>
  <c r="H41" i="4" s="1"/>
  <c r="G68" i="3"/>
  <c r="G41" i="4" s="1"/>
  <c r="F68" i="3"/>
  <c r="F41" i="4" s="1"/>
  <c r="E68" i="3"/>
  <c r="E41" i="4" s="1"/>
  <c r="H66" i="3"/>
  <c r="H49" i="4" s="1"/>
  <c r="G66" i="3"/>
  <c r="G49" i="4" s="1"/>
  <c r="F66" i="3"/>
  <c r="F49" i="4" s="1"/>
  <c r="E66" i="3"/>
  <c r="E49" i="4" s="1"/>
  <c r="H64" i="3"/>
  <c r="G64" i="3"/>
  <c r="F64" i="3"/>
  <c r="E64" i="3"/>
  <c r="H63" i="3"/>
  <c r="G63" i="3"/>
  <c r="F63" i="3"/>
  <c r="E63" i="3"/>
  <c r="H62" i="3"/>
  <c r="H47" i="4" s="1"/>
  <c r="G62" i="3"/>
  <c r="G47" i="4" s="1"/>
  <c r="F62" i="3"/>
  <c r="F47" i="4" s="1"/>
  <c r="E62" i="3"/>
  <c r="E47" i="4" s="1"/>
  <c r="H61" i="3"/>
  <c r="H42" i="4" s="1"/>
  <c r="G61" i="3"/>
  <c r="G42" i="4" s="1"/>
  <c r="F61" i="3"/>
  <c r="F42" i="4" s="1"/>
  <c r="E61" i="3"/>
  <c r="E42" i="4" s="1"/>
  <c r="H60" i="3"/>
  <c r="G60" i="3"/>
  <c r="F60" i="3"/>
  <c r="E60" i="3"/>
  <c r="H59" i="3"/>
  <c r="H54" i="4" s="1"/>
  <c r="G59" i="3"/>
  <c r="G54" i="4" s="1"/>
  <c r="F59" i="3"/>
  <c r="F54" i="4" s="1"/>
  <c r="E59" i="3"/>
  <c r="E54" i="4" s="1"/>
  <c r="H58" i="3"/>
  <c r="H53" i="4" s="1"/>
  <c r="G58" i="3"/>
  <c r="G53" i="4" s="1"/>
  <c r="F58" i="3"/>
  <c r="F53" i="4" s="1"/>
  <c r="E58" i="3"/>
  <c r="E53" i="4" s="1"/>
  <c r="H56" i="3"/>
  <c r="H46" i="4" s="1"/>
  <c r="G56" i="3"/>
  <c r="G46" i="4" s="1"/>
  <c r="F56" i="3"/>
  <c r="F46" i="4" s="1"/>
  <c r="E56" i="3"/>
  <c r="E46" i="4" s="1"/>
  <c r="H55" i="3"/>
  <c r="H45" i="4" s="1"/>
  <c r="G55" i="3"/>
  <c r="G45" i="4" s="1"/>
  <c r="F55" i="3"/>
  <c r="F45" i="4" s="1"/>
  <c r="E55" i="3"/>
  <c r="E45" i="4" s="1"/>
  <c r="H53" i="3"/>
  <c r="G53" i="3"/>
  <c r="F53" i="3"/>
  <c r="E53" i="3"/>
  <c r="H52" i="3"/>
  <c r="G52" i="3"/>
  <c r="F52" i="3"/>
  <c r="E52" i="3"/>
  <c r="H51" i="3"/>
  <c r="H40" i="4" s="1"/>
  <c r="G51" i="3"/>
  <c r="G40" i="4" s="1"/>
  <c r="F51" i="3"/>
  <c r="F40" i="4" s="1"/>
  <c r="E51" i="3"/>
  <c r="E40" i="4" s="1"/>
  <c r="H50" i="3"/>
  <c r="H87" i="3" s="1"/>
  <c r="G50" i="3"/>
  <c r="G87" i="3" s="1"/>
  <c r="F50" i="3"/>
  <c r="F87" i="3" s="1"/>
  <c r="E50" i="3"/>
  <c r="H45" i="3"/>
  <c r="H22" i="4" s="1"/>
  <c r="G45" i="3"/>
  <c r="G22" i="4" s="1"/>
  <c r="F45" i="3"/>
  <c r="F22" i="4" s="1"/>
  <c r="E45" i="3"/>
  <c r="E22" i="4" s="1"/>
  <c r="H44" i="3"/>
  <c r="H21" i="4" s="1"/>
  <c r="G44" i="3"/>
  <c r="G21" i="4" s="1"/>
  <c r="F44" i="3"/>
  <c r="F21" i="4" s="1"/>
  <c r="E44" i="3"/>
  <c r="E21" i="4" s="1"/>
  <c r="H43" i="3"/>
  <c r="H20" i="4" s="1"/>
  <c r="G43" i="3"/>
  <c r="G20" i="4" s="1"/>
  <c r="F43" i="3"/>
  <c r="F20" i="4" s="1"/>
  <c r="E43" i="3"/>
  <c r="E20" i="4" s="1"/>
  <c r="H41" i="3"/>
  <c r="H18" i="4" s="1"/>
  <c r="G41" i="3"/>
  <c r="G18" i="4" s="1"/>
  <c r="F41" i="3"/>
  <c r="F18" i="4" s="1"/>
  <c r="E41" i="3"/>
  <c r="E18" i="4" s="1"/>
  <c r="H40" i="3"/>
  <c r="H17" i="4" s="1"/>
  <c r="G40" i="3"/>
  <c r="G17" i="4" s="1"/>
  <c r="F40" i="3"/>
  <c r="F17" i="4" s="1"/>
  <c r="E40" i="3"/>
  <c r="E17" i="4" s="1"/>
  <c r="H38" i="3"/>
  <c r="H15" i="4" s="1"/>
  <c r="G38" i="3"/>
  <c r="G15" i="4" s="1"/>
  <c r="F38" i="3"/>
  <c r="F15" i="4" s="1"/>
  <c r="E38" i="3"/>
  <c r="E15" i="4" s="1"/>
  <c r="H37" i="3"/>
  <c r="H14" i="4" s="1"/>
  <c r="G37" i="3"/>
  <c r="G14" i="4" s="1"/>
  <c r="F37" i="3"/>
  <c r="F14" i="4" s="1"/>
  <c r="E37" i="3"/>
  <c r="E14" i="4" s="1"/>
  <c r="H34" i="3"/>
  <c r="H11" i="4" s="1"/>
  <c r="G34" i="3"/>
  <c r="G11" i="4" s="1"/>
  <c r="F34" i="3"/>
  <c r="F11" i="4" s="1"/>
  <c r="E34" i="3"/>
  <c r="E11" i="4" s="1"/>
  <c r="H33" i="3"/>
  <c r="H10" i="4" s="1"/>
  <c r="G33" i="3"/>
  <c r="G10" i="4" s="1"/>
  <c r="F33" i="3"/>
  <c r="F10" i="4" s="1"/>
  <c r="E33" i="3"/>
  <c r="E10" i="4" s="1"/>
  <c r="H31" i="3"/>
  <c r="G31" i="3"/>
  <c r="F31" i="3"/>
  <c r="E31" i="3"/>
  <c r="H29" i="3"/>
  <c r="H35" i="4" s="1"/>
  <c r="G29" i="3"/>
  <c r="G35" i="4" s="1"/>
  <c r="G167" i="4" s="1"/>
  <c r="G199" i="4" s="1"/>
  <c r="F29" i="3"/>
  <c r="F35" i="4" s="1"/>
  <c r="F167" i="4" s="1"/>
  <c r="F199" i="4" s="1"/>
  <c r="E29" i="3"/>
  <c r="E35" i="4" s="1"/>
  <c r="E167" i="4" s="1"/>
  <c r="E199" i="4" s="1"/>
  <c r="H28" i="3"/>
  <c r="H34" i="4" s="1"/>
  <c r="G28" i="3"/>
  <c r="G34" i="4" s="1"/>
  <c r="G166" i="4" s="1"/>
  <c r="G198" i="4" s="1"/>
  <c r="F28" i="3"/>
  <c r="F34" i="4" s="1"/>
  <c r="F166" i="4" s="1"/>
  <c r="F198" i="4" s="1"/>
  <c r="E28" i="3"/>
  <c r="E34" i="4" s="1"/>
  <c r="E166" i="4" s="1"/>
  <c r="E198" i="4" s="1"/>
  <c r="H27" i="3"/>
  <c r="G27" i="3"/>
  <c r="F27" i="3"/>
  <c r="E27" i="3"/>
  <c r="H26" i="3"/>
  <c r="H32" i="4" s="1"/>
  <c r="G26" i="3"/>
  <c r="G32" i="4" s="1"/>
  <c r="F26" i="3"/>
  <c r="F32" i="4" s="1"/>
  <c r="E26" i="3"/>
  <c r="E32" i="4" s="1"/>
  <c r="H25" i="3"/>
  <c r="H31" i="4" s="1"/>
  <c r="G25" i="3"/>
  <c r="G31" i="4" s="1"/>
  <c r="G163" i="4" s="1"/>
  <c r="G195" i="4" s="1"/>
  <c r="F25" i="3"/>
  <c r="F31" i="4" s="1"/>
  <c r="F163" i="4" s="1"/>
  <c r="F195" i="4" s="1"/>
  <c r="E25" i="3"/>
  <c r="E31" i="4" s="1"/>
  <c r="E163" i="4" s="1"/>
  <c r="E195" i="4" s="1"/>
  <c r="H24" i="3"/>
  <c r="G24" i="3"/>
  <c r="F24" i="3"/>
  <c r="E24" i="3"/>
  <c r="H23" i="3"/>
  <c r="H29" i="4" s="1"/>
  <c r="G23" i="3"/>
  <c r="G29" i="4" s="1"/>
  <c r="G161" i="4" s="1"/>
  <c r="G193" i="4" s="1"/>
  <c r="F23" i="3"/>
  <c r="F29" i="4" s="1"/>
  <c r="F161" i="4" s="1"/>
  <c r="F193" i="4" s="1"/>
  <c r="E23" i="3"/>
  <c r="E29" i="4" s="1"/>
  <c r="E161" i="4" s="1"/>
  <c r="E193" i="4" s="1"/>
  <c r="H22" i="3"/>
  <c r="H28" i="4" s="1"/>
  <c r="G22" i="3"/>
  <c r="G28" i="4" s="1"/>
  <c r="G160" i="4" s="1"/>
  <c r="G192" i="4" s="1"/>
  <c r="F22" i="3"/>
  <c r="F28" i="4" s="1"/>
  <c r="F160" i="4" s="1"/>
  <c r="F192" i="4" s="1"/>
  <c r="E22" i="3"/>
  <c r="E28" i="4" s="1"/>
  <c r="E160" i="4" s="1"/>
  <c r="E192" i="4" s="1"/>
  <c r="H21" i="3"/>
  <c r="H27" i="4" s="1"/>
  <c r="G21" i="3"/>
  <c r="G27" i="4" s="1"/>
  <c r="G159" i="4" s="1"/>
  <c r="G191" i="4" s="1"/>
  <c r="F21" i="3"/>
  <c r="F27" i="4" s="1"/>
  <c r="F159" i="4" s="1"/>
  <c r="F191" i="4" s="1"/>
  <c r="E21" i="3"/>
  <c r="E27" i="4" s="1"/>
  <c r="E159" i="4" s="1"/>
  <c r="E191" i="4" s="1"/>
  <c r="H20" i="3"/>
  <c r="H26" i="4" s="1"/>
  <c r="G20" i="3"/>
  <c r="G26" i="4" s="1"/>
  <c r="G158" i="4" s="1"/>
  <c r="G190" i="4" s="1"/>
  <c r="F20" i="3"/>
  <c r="F26" i="4" s="1"/>
  <c r="F158" i="4" s="1"/>
  <c r="F190" i="4" s="1"/>
  <c r="E20" i="3"/>
  <c r="E26" i="4" s="1"/>
  <c r="E158" i="4" s="1"/>
  <c r="E190" i="4" s="1"/>
  <c r="H19" i="3"/>
  <c r="G19" i="3"/>
  <c r="F19" i="3"/>
  <c r="E19" i="3"/>
  <c r="H18" i="3"/>
  <c r="G18" i="3"/>
  <c r="F18" i="3"/>
  <c r="E18" i="3"/>
  <c r="H17" i="3"/>
  <c r="G17" i="3"/>
  <c r="F17" i="3"/>
  <c r="E17" i="3"/>
  <c r="H16" i="3"/>
  <c r="G16" i="3"/>
  <c r="F16" i="3"/>
  <c r="E16" i="3"/>
  <c r="H15" i="3"/>
  <c r="G15" i="3"/>
  <c r="F15" i="3"/>
  <c r="E15" i="3"/>
  <c r="H14" i="3"/>
  <c r="G14" i="3"/>
  <c r="F14" i="3"/>
  <c r="E14" i="3"/>
  <c r="H13" i="3"/>
  <c r="G13" i="3"/>
  <c r="F13" i="3"/>
  <c r="E13" i="3"/>
  <c r="H12" i="3"/>
  <c r="G12" i="3"/>
  <c r="F12" i="3"/>
  <c r="E12" i="3"/>
  <c r="H11" i="3"/>
  <c r="G11" i="3"/>
  <c r="F11" i="3"/>
  <c r="E11" i="3"/>
  <c r="H10" i="3"/>
  <c r="G10" i="3"/>
  <c r="F10" i="3"/>
  <c r="E10" i="3"/>
  <c r="H9" i="3"/>
  <c r="H8" i="4" s="1"/>
  <c r="G9" i="3"/>
  <c r="G8" i="4" s="1"/>
  <c r="F9" i="3"/>
  <c r="F8" i="4" s="1"/>
  <c r="E9" i="3"/>
  <c r="E8" i="4" s="1"/>
  <c r="H8" i="3"/>
  <c r="G8" i="3"/>
  <c r="F8" i="3"/>
  <c r="E8" i="3"/>
  <c r="H6" i="3"/>
  <c r="G6" i="3"/>
  <c r="F6" i="3"/>
  <c r="E6" i="3"/>
  <c r="BE367" i="2"/>
  <c r="BD367" i="2"/>
  <c r="BC367" i="2"/>
  <c r="BB367" i="2"/>
  <c r="BA367" i="2"/>
  <c r="AZ367" i="2"/>
  <c r="AY367" i="2"/>
  <c r="AX367" i="2"/>
  <c r="AW367" i="2"/>
  <c r="AV367" i="2"/>
  <c r="AU367" i="2"/>
  <c r="AT367" i="2"/>
  <c r="AS367" i="2"/>
  <c r="AR367" i="2"/>
  <c r="AQ367" i="2"/>
  <c r="AP367" i="2"/>
  <c r="AO367" i="2"/>
  <c r="AN367" i="2"/>
  <c r="AM367" i="2"/>
  <c r="AL367" i="2"/>
  <c r="AK365" i="2"/>
  <c r="AJ365" i="2"/>
  <c r="AI365" i="2"/>
  <c r="AH365" i="2"/>
  <c r="AG365" i="2"/>
  <c r="AF365" i="2"/>
  <c r="AE365" i="2"/>
  <c r="AD365" i="2"/>
  <c r="AC365" i="2"/>
  <c r="AB365" i="2"/>
  <c r="AA365" i="2"/>
  <c r="Z365" i="2"/>
  <c r="Y365" i="2"/>
  <c r="X365" i="2"/>
  <c r="W365" i="2"/>
  <c r="V365" i="2"/>
  <c r="U365" i="2"/>
  <c r="T365" i="2"/>
  <c r="S365" i="2"/>
  <c r="R365" i="2"/>
  <c r="Q365" i="2"/>
  <c r="P365" i="2"/>
  <c r="O365" i="2"/>
  <c r="N365" i="2"/>
  <c r="M365" i="2"/>
  <c r="L365" i="2"/>
  <c r="K365" i="2"/>
  <c r="J365" i="2"/>
  <c r="I365" i="2"/>
  <c r="AK364" i="2"/>
  <c r="AJ364" i="2"/>
  <c r="AI364" i="2"/>
  <c r="AH364" i="2"/>
  <c r="AG364" i="2"/>
  <c r="AF364" i="2"/>
  <c r="AE364" i="2"/>
  <c r="AD364" i="2"/>
  <c r="AC364" i="2"/>
  <c r="AB364" i="2"/>
  <c r="AA364" i="2"/>
  <c r="Z364" i="2"/>
  <c r="Y364" i="2"/>
  <c r="X364" i="2"/>
  <c r="W364" i="2"/>
  <c r="V364" i="2"/>
  <c r="U364" i="2"/>
  <c r="T364" i="2"/>
  <c r="S364" i="2"/>
  <c r="R364" i="2"/>
  <c r="Q364" i="2"/>
  <c r="P364" i="2"/>
  <c r="O364" i="2"/>
  <c r="N364" i="2"/>
  <c r="M364" i="2"/>
  <c r="L364" i="2"/>
  <c r="K364" i="2"/>
  <c r="J364" i="2"/>
  <c r="I364" i="2"/>
  <c r="H364" i="2"/>
  <c r="F364" i="2"/>
  <c r="E364" i="2"/>
  <c r="AK363" i="2"/>
  <c r="AJ363" i="2"/>
  <c r="AI363" i="2"/>
  <c r="AH363" i="2"/>
  <c r="AG363" i="2"/>
  <c r="AF363" i="2"/>
  <c r="AE363" i="2"/>
  <c r="AD363" i="2"/>
  <c r="AC363" i="2"/>
  <c r="AB363" i="2"/>
  <c r="AA363" i="2"/>
  <c r="Z363" i="2"/>
  <c r="Y363" i="2"/>
  <c r="X363" i="2"/>
  <c r="W363" i="2"/>
  <c r="V363" i="2"/>
  <c r="U363" i="2"/>
  <c r="T363" i="2"/>
  <c r="S363" i="2"/>
  <c r="R363" i="2"/>
  <c r="Q363" i="2"/>
  <c r="P363" i="2"/>
  <c r="O363" i="2"/>
  <c r="N363" i="2"/>
  <c r="M363" i="2"/>
  <c r="L363" i="2"/>
  <c r="K363" i="2"/>
  <c r="J363" i="2"/>
  <c r="I363" i="2"/>
  <c r="AK362" i="2"/>
  <c r="AJ362" i="2"/>
  <c r="AI362" i="2"/>
  <c r="AH362" i="2"/>
  <c r="AG362" i="2"/>
  <c r="AF362" i="2"/>
  <c r="AE362" i="2"/>
  <c r="AD362" i="2"/>
  <c r="AC362" i="2"/>
  <c r="AB362" i="2"/>
  <c r="AA362" i="2"/>
  <c r="Z362" i="2"/>
  <c r="Y362" i="2"/>
  <c r="X362" i="2"/>
  <c r="W362" i="2"/>
  <c r="V362" i="2"/>
  <c r="U362" i="2"/>
  <c r="T362" i="2"/>
  <c r="S362" i="2"/>
  <c r="R362" i="2"/>
  <c r="Q362" i="2"/>
  <c r="P362" i="2"/>
  <c r="O362" i="2"/>
  <c r="N362" i="2"/>
  <c r="M362" i="2"/>
  <c r="L362" i="2"/>
  <c r="K362" i="2"/>
  <c r="J362" i="2"/>
  <c r="I362" i="2"/>
  <c r="AK361" i="2"/>
  <c r="AJ361" i="2"/>
  <c r="AI361" i="2"/>
  <c r="AH361" i="2"/>
  <c r="AG361" i="2"/>
  <c r="AF361" i="2"/>
  <c r="AE361" i="2"/>
  <c r="AD361" i="2"/>
  <c r="AC361" i="2"/>
  <c r="AB361" i="2"/>
  <c r="AA361" i="2"/>
  <c r="Z361" i="2"/>
  <c r="Y361" i="2"/>
  <c r="X361" i="2"/>
  <c r="W361" i="2"/>
  <c r="V361" i="2"/>
  <c r="U361" i="2"/>
  <c r="T361" i="2"/>
  <c r="S361" i="2"/>
  <c r="R361" i="2"/>
  <c r="Q361" i="2"/>
  <c r="P361" i="2"/>
  <c r="O361" i="2"/>
  <c r="N361" i="2"/>
  <c r="M361" i="2"/>
  <c r="L361" i="2"/>
  <c r="K361" i="2"/>
  <c r="J361" i="2"/>
  <c r="I361" i="2"/>
  <c r="AK360" i="2"/>
  <c r="AJ360" i="2"/>
  <c r="AI360" i="2"/>
  <c r="AH360" i="2"/>
  <c r="AG360" i="2"/>
  <c r="AF360" i="2"/>
  <c r="AE360" i="2"/>
  <c r="AD360" i="2"/>
  <c r="AC360" i="2"/>
  <c r="AB360" i="2"/>
  <c r="AA360" i="2"/>
  <c r="Z360" i="2"/>
  <c r="Y360" i="2"/>
  <c r="P360" i="2"/>
  <c r="O360" i="2"/>
  <c r="N360" i="2"/>
  <c r="M360" i="2"/>
  <c r="L360" i="2"/>
  <c r="K360" i="2"/>
  <c r="J360" i="2"/>
  <c r="I360" i="2"/>
  <c r="AK359" i="2"/>
  <c r="AJ359" i="2"/>
  <c r="AI359" i="2"/>
  <c r="AH359" i="2"/>
  <c r="AG359" i="2"/>
  <c r="AF359" i="2"/>
  <c r="AE359" i="2"/>
  <c r="AD359" i="2"/>
  <c r="AC359" i="2"/>
  <c r="AB359" i="2"/>
  <c r="AA359" i="2"/>
  <c r="Z359" i="2"/>
  <c r="P359" i="2"/>
  <c r="O359" i="2"/>
  <c r="N359" i="2"/>
  <c r="M359" i="2"/>
  <c r="L359" i="2"/>
  <c r="K359" i="2"/>
  <c r="J359" i="2"/>
  <c r="I359" i="2"/>
  <c r="H359" i="2"/>
  <c r="G359" i="2"/>
  <c r="F359" i="2"/>
  <c r="E359" i="2"/>
  <c r="BE355" i="2"/>
  <c r="BD355" i="2"/>
  <c r="BC355" i="2"/>
  <c r="BB355" i="2"/>
  <c r="BA355" i="2"/>
  <c r="AZ355" i="2"/>
  <c r="AY355" i="2"/>
  <c r="AX355" i="2"/>
  <c r="AW355" i="2"/>
  <c r="AV355" i="2"/>
  <c r="AU355" i="2"/>
  <c r="AT355" i="2"/>
  <c r="AS355" i="2"/>
  <c r="AR355" i="2"/>
  <c r="AQ355" i="2"/>
  <c r="AP355" i="2"/>
  <c r="AO355" i="2"/>
  <c r="AN355" i="2"/>
  <c r="AM355" i="2"/>
  <c r="AL355" i="2"/>
  <c r="AK353" i="2"/>
  <c r="AJ353" i="2"/>
  <c r="AI353" i="2"/>
  <c r="AH353" i="2"/>
  <c r="AG353" i="2"/>
  <c r="AF353" i="2"/>
  <c r="AE353" i="2"/>
  <c r="AD353" i="2"/>
  <c r="AC353" i="2"/>
  <c r="AB353" i="2"/>
  <c r="AA353" i="2"/>
  <c r="Z353" i="2"/>
  <c r="Y353" i="2"/>
  <c r="X353" i="2"/>
  <c r="W353" i="2"/>
  <c r="V353" i="2"/>
  <c r="U353" i="2"/>
  <c r="T353" i="2"/>
  <c r="S353" i="2"/>
  <c r="R353" i="2"/>
  <c r="Q353" i="2"/>
  <c r="P353" i="2"/>
  <c r="O353" i="2"/>
  <c r="N353" i="2"/>
  <c r="M353" i="2"/>
  <c r="L353" i="2"/>
  <c r="K353" i="2"/>
  <c r="J353" i="2"/>
  <c r="I353" i="2"/>
  <c r="AK352" i="2"/>
  <c r="AJ352" i="2"/>
  <c r="AI352" i="2"/>
  <c r="AH352" i="2"/>
  <c r="AG352" i="2"/>
  <c r="AF352" i="2"/>
  <c r="AE352" i="2"/>
  <c r="AD352" i="2"/>
  <c r="AC352" i="2"/>
  <c r="AB352" i="2"/>
  <c r="AA352" i="2"/>
  <c r="Z352" i="2"/>
  <c r="Y352" i="2"/>
  <c r="X352" i="2"/>
  <c r="W352" i="2"/>
  <c r="V352" i="2"/>
  <c r="U352" i="2"/>
  <c r="T352" i="2"/>
  <c r="S352" i="2"/>
  <c r="R352" i="2"/>
  <c r="Q352" i="2"/>
  <c r="P352" i="2"/>
  <c r="O352" i="2"/>
  <c r="N352" i="2"/>
  <c r="M352" i="2"/>
  <c r="L352" i="2"/>
  <c r="K352" i="2"/>
  <c r="J352" i="2"/>
  <c r="I352" i="2"/>
  <c r="H352" i="2"/>
  <c r="F352" i="2"/>
  <c r="E352" i="2"/>
  <c r="AK351" i="2"/>
  <c r="AJ351" i="2"/>
  <c r="AI351" i="2"/>
  <c r="AH351" i="2"/>
  <c r="AG351" i="2"/>
  <c r="AF351" i="2"/>
  <c r="AE351" i="2"/>
  <c r="AD351" i="2"/>
  <c r="AC351" i="2"/>
  <c r="AB351" i="2"/>
  <c r="AA351" i="2"/>
  <c r="Z351" i="2"/>
  <c r="Y351" i="2"/>
  <c r="X351" i="2"/>
  <c r="W351" i="2"/>
  <c r="V351" i="2"/>
  <c r="U351" i="2"/>
  <c r="T351" i="2"/>
  <c r="S351" i="2"/>
  <c r="R351" i="2"/>
  <c r="Q351" i="2"/>
  <c r="P351" i="2"/>
  <c r="O351" i="2"/>
  <c r="N351" i="2"/>
  <c r="M351" i="2"/>
  <c r="L351" i="2"/>
  <c r="K351" i="2"/>
  <c r="J351" i="2"/>
  <c r="I351" i="2"/>
  <c r="AK350" i="2"/>
  <c r="AJ350" i="2"/>
  <c r="AI350" i="2"/>
  <c r="AH350" i="2"/>
  <c r="AG350" i="2"/>
  <c r="AF350" i="2"/>
  <c r="AE350" i="2"/>
  <c r="AD350" i="2"/>
  <c r="AC350" i="2"/>
  <c r="AB350" i="2"/>
  <c r="AA350" i="2"/>
  <c r="Z350" i="2"/>
  <c r="Y350" i="2"/>
  <c r="X350" i="2"/>
  <c r="W350" i="2"/>
  <c r="V350" i="2"/>
  <c r="U350" i="2"/>
  <c r="T350" i="2"/>
  <c r="S350" i="2"/>
  <c r="R350" i="2"/>
  <c r="Q350" i="2"/>
  <c r="P350" i="2"/>
  <c r="O350" i="2"/>
  <c r="N350" i="2"/>
  <c r="M350" i="2"/>
  <c r="L350" i="2"/>
  <c r="K350" i="2"/>
  <c r="J350" i="2"/>
  <c r="I350" i="2"/>
  <c r="AK349" i="2"/>
  <c r="AJ349" i="2"/>
  <c r="AI349" i="2"/>
  <c r="AH349" i="2"/>
  <c r="AG349" i="2"/>
  <c r="AF349" i="2"/>
  <c r="AE349" i="2"/>
  <c r="AD349" i="2"/>
  <c r="AC349" i="2"/>
  <c r="AB349" i="2"/>
  <c r="AA349" i="2"/>
  <c r="Z349" i="2"/>
  <c r="Y349" i="2"/>
  <c r="X349" i="2"/>
  <c r="W349" i="2"/>
  <c r="V349" i="2"/>
  <c r="U349" i="2"/>
  <c r="T349" i="2"/>
  <c r="S349" i="2"/>
  <c r="R349" i="2"/>
  <c r="Q349" i="2"/>
  <c r="P349" i="2"/>
  <c r="O349" i="2"/>
  <c r="N349" i="2"/>
  <c r="M349" i="2"/>
  <c r="L349" i="2"/>
  <c r="K349" i="2"/>
  <c r="J349" i="2"/>
  <c r="I349" i="2"/>
  <c r="AK348" i="2"/>
  <c r="AJ348" i="2"/>
  <c r="AI348" i="2"/>
  <c r="AH348" i="2"/>
  <c r="AG348" i="2"/>
  <c r="AF348" i="2"/>
  <c r="AE348" i="2"/>
  <c r="AD348" i="2"/>
  <c r="AC348" i="2"/>
  <c r="AB348" i="2"/>
  <c r="AA348" i="2"/>
  <c r="Z348" i="2"/>
  <c r="Y348" i="2"/>
  <c r="X348" i="2"/>
  <c r="W348" i="2"/>
  <c r="V348" i="2"/>
  <c r="U348" i="2"/>
  <c r="T348" i="2"/>
  <c r="S348" i="2"/>
  <c r="R348" i="2"/>
  <c r="Q348" i="2"/>
  <c r="P348" i="2"/>
  <c r="O348" i="2"/>
  <c r="N348" i="2"/>
  <c r="M348" i="2"/>
  <c r="L348" i="2"/>
  <c r="K348" i="2"/>
  <c r="J348" i="2"/>
  <c r="I348" i="2"/>
  <c r="AK347" i="2"/>
  <c r="AJ347" i="2"/>
  <c r="AI347" i="2"/>
  <c r="AH347" i="2"/>
  <c r="AG347" i="2"/>
  <c r="AF347" i="2"/>
  <c r="AE347" i="2"/>
  <c r="AD347" i="2"/>
  <c r="AC347" i="2"/>
  <c r="AB347" i="2"/>
  <c r="AA347" i="2"/>
  <c r="Z347" i="2"/>
  <c r="Y347" i="2"/>
  <c r="X347" i="2"/>
  <c r="W347" i="2"/>
  <c r="V347" i="2"/>
  <c r="U347" i="2"/>
  <c r="T347" i="2"/>
  <c r="S347" i="2"/>
  <c r="R347" i="2"/>
  <c r="Q347" i="2"/>
  <c r="O347" i="2"/>
  <c r="N347" i="2"/>
  <c r="M347" i="2"/>
  <c r="L347" i="2"/>
  <c r="K347" i="2"/>
  <c r="J347" i="2"/>
  <c r="I347" i="2"/>
  <c r="H347" i="2"/>
  <c r="G347" i="2"/>
  <c r="F347" i="2"/>
  <c r="E347" i="2"/>
  <c r="AL331" i="2"/>
  <c r="AM331" i="2" s="1"/>
  <c r="AN331" i="2" s="1"/>
  <c r="AO331" i="2" s="1"/>
  <c r="AP331" i="2" s="1"/>
  <c r="AQ331" i="2" s="1"/>
  <c r="AR331" i="2" s="1"/>
  <c r="AS331" i="2" s="1"/>
  <c r="AT331" i="2" s="1"/>
  <c r="AU331" i="2" s="1"/>
  <c r="AV331" i="2" s="1"/>
  <c r="AW331" i="2" s="1"/>
  <c r="AX331" i="2" s="1"/>
  <c r="AY331" i="2" s="1"/>
  <c r="AZ331" i="2" s="1"/>
  <c r="BA331" i="2" s="1"/>
  <c r="BB331" i="2" s="1"/>
  <c r="BC331" i="2" s="1"/>
  <c r="BD331" i="2" s="1"/>
  <c r="BE331" i="2" s="1"/>
  <c r="AL330" i="2"/>
  <c r="AL329" i="2"/>
  <c r="AL328" i="2"/>
  <c r="AL327" i="2"/>
  <c r="AL326" i="2"/>
  <c r="AL325" i="2"/>
  <c r="AL324" i="2"/>
  <c r="AL323" i="2"/>
  <c r="E305" i="2"/>
  <c r="H111" i="2" s="1"/>
  <c r="E302" i="2"/>
  <c r="E299" i="2"/>
  <c r="G278" i="2"/>
  <c r="F278" i="2"/>
  <c r="E278" i="2"/>
  <c r="G277" i="2"/>
  <c r="F277" i="2"/>
  <c r="E277" i="2"/>
  <c r="G271" i="2"/>
  <c r="F271" i="2"/>
  <c r="E271" i="2"/>
  <c r="H263" i="2"/>
  <c r="G263" i="2"/>
  <c r="F263" i="2"/>
  <c r="E263" i="2"/>
  <c r="BE153" i="2"/>
  <c r="BD153" i="2"/>
  <c r="BC153" i="2"/>
  <c r="BB153" i="2"/>
  <c r="BA153" i="2"/>
  <c r="AZ153"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AL151" i="2"/>
  <c r="AM151" i="2" s="1"/>
  <c r="AN151" i="2" s="1"/>
  <c r="AO151" i="2" s="1"/>
  <c r="AP151" i="2" s="1"/>
  <c r="AQ151" i="2" s="1"/>
  <c r="AR151" i="2" s="1"/>
  <c r="AS151" i="2" s="1"/>
  <c r="AT151" i="2" s="1"/>
  <c r="AU151" i="2" s="1"/>
  <c r="AV151" i="2" s="1"/>
  <c r="AW151" i="2" s="1"/>
  <c r="AX151" i="2" s="1"/>
  <c r="AY151" i="2" s="1"/>
  <c r="AZ151" i="2" s="1"/>
  <c r="BA151" i="2" s="1"/>
  <c r="BB151" i="2" s="1"/>
  <c r="BC151" i="2" s="1"/>
  <c r="BD151" i="2" s="1"/>
  <c r="BE151" i="2" s="1"/>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E263" i="3" l="1"/>
  <c r="H263" i="3"/>
  <c r="F275" i="2"/>
  <c r="E151" i="4"/>
  <c r="E183" i="4" s="1"/>
  <c r="J136" i="3"/>
  <c r="F350" i="3"/>
  <c r="F530" i="3" s="1"/>
  <c r="E503" i="3"/>
  <c r="E517" i="3" s="1"/>
  <c r="H503" i="3"/>
  <c r="H517" i="3" s="1"/>
  <c r="K136" i="3"/>
  <c r="G503" i="3"/>
  <c r="G517" i="3" s="1"/>
  <c r="F259" i="3"/>
  <c r="F269" i="3"/>
  <c r="F263" i="3" s="1"/>
  <c r="G264" i="3"/>
  <c r="G219" i="4" s="1"/>
  <c r="G269" i="3"/>
  <c r="G368" i="3" s="1"/>
  <c r="G548" i="3" s="1"/>
  <c r="G326" i="3"/>
  <c r="G281" i="4" s="1"/>
  <c r="F326" i="3"/>
  <c r="H326" i="3"/>
  <c r="E326" i="3"/>
  <c r="F503" i="3"/>
  <c r="F517" i="3" s="1"/>
  <c r="E145" i="4"/>
  <c r="E177" i="4" s="1"/>
  <c r="E87" i="3"/>
  <c r="D96" i="9"/>
  <c r="G113" i="9"/>
  <c r="E96" i="9"/>
  <c r="F96" i="9"/>
  <c r="G103" i="9"/>
  <c r="AM323" i="2"/>
  <c r="AL335" i="2"/>
  <c r="AM324" i="2"/>
  <c r="AL336" i="2"/>
  <c r="AM325" i="2"/>
  <c r="AL337" i="2"/>
  <c r="AM326" i="2"/>
  <c r="AL338" i="2"/>
  <c r="AM327" i="2"/>
  <c r="AL339" i="2"/>
  <c r="AM328" i="2"/>
  <c r="AL340" i="2"/>
  <c r="AM329" i="2"/>
  <c r="AL341" i="2"/>
  <c r="AM330" i="2"/>
  <c r="AL342" i="2"/>
  <c r="E293" i="2"/>
  <c r="E24" i="2"/>
  <c r="E140" i="4"/>
  <c r="E172" i="4" s="1"/>
  <c r="E143" i="4"/>
  <c r="E175" i="4" s="1"/>
  <c r="E146" i="4"/>
  <c r="E178" i="4" s="1"/>
  <c r="E147" i="4"/>
  <c r="E179" i="4" s="1"/>
  <c r="E149" i="4"/>
  <c r="E181" i="4" s="1"/>
  <c r="E150" i="4"/>
  <c r="E182" i="4" s="1"/>
  <c r="E152" i="4"/>
  <c r="E184" i="4" s="1"/>
  <c r="E153" i="4"/>
  <c r="E185" i="4" s="1"/>
  <c r="E154" i="4"/>
  <c r="E186" i="4" s="1"/>
  <c r="E164" i="4"/>
  <c r="E196" i="4" s="1"/>
  <c r="E142" i="4"/>
  <c r="E174" i="4" s="1"/>
  <c r="G96" i="9"/>
  <c r="N133" i="9"/>
  <c r="D132" i="9" s="1"/>
  <c r="D57" i="9"/>
  <c r="G69" i="9"/>
  <c r="E57" i="9"/>
  <c r="D69" i="9"/>
  <c r="F57" i="9"/>
  <c r="F69" i="9"/>
  <c r="D113" i="9"/>
  <c r="E113" i="9"/>
  <c r="G49" i="2"/>
  <c r="G364" i="2" s="1"/>
  <c r="F97" i="2"/>
  <c r="F82" i="2"/>
  <c r="E124" i="2"/>
  <c r="H68" i="2"/>
  <c r="P355" i="2"/>
  <c r="E189" i="2"/>
  <c r="G179" i="2"/>
  <c r="F6" i="2"/>
  <c r="G24" i="2"/>
  <c r="G311" i="2" s="1"/>
  <c r="F50" i="2"/>
  <c r="F365" i="2" s="1"/>
  <c r="F69" i="2"/>
  <c r="G87" i="2"/>
  <c r="F101" i="2"/>
  <c r="F130" i="2"/>
  <c r="G6" i="2"/>
  <c r="H24" i="2"/>
  <c r="G50" i="2"/>
  <c r="E78" i="2"/>
  <c r="E88" i="2"/>
  <c r="H101" i="2"/>
  <c r="H130" i="2"/>
  <c r="G254" i="2"/>
  <c r="G284" i="2" s="1"/>
  <c r="E255" i="2"/>
  <c r="E285" i="2" s="1"/>
  <c r="G257" i="2"/>
  <c r="G287" i="2" s="1"/>
  <c r="E258" i="2"/>
  <c r="E288" i="2" s="1"/>
  <c r="G260" i="2"/>
  <c r="G290" i="2" s="1"/>
  <c r="E69" i="2"/>
  <c r="H125" i="2"/>
  <c r="H6" i="2"/>
  <c r="G78" i="2"/>
  <c r="E131" i="2"/>
  <c r="H45" i="2"/>
  <c r="H360" i="2" s="1"/>
  <c r="E60" i="2"/>
  <c r="E90" i="2"/>
  <c r="H132" i="2"/>
  <c r="E46" i="2"/>
  <c r="E349" i="2" s="1"/>
  <c r="G60" i="2"/>
  <c r="E79" i="2"/>
  <c r="F107" i="2"/>
  <c r="F145" i="2"/>
  <c r="F79" i="2"/>
  <c r="H107" i="2"/>
  <c r="H145" i="2"/>
  <c r="H14" i="2"/>
  <c r="G46" i="2"/>
  <c r="E61" i="2"/>
  <c r="E81" i="2"/>
  <c r="F91" i="2"/>
  <c r="E109" i="2"/>
  <c r="F146" i="2"/>
  <c r="E261" i="2"/>
  <c r="E291" i="2" s="1"/>
  <c r="F24" i="2"/>
  <c r="E50" i="2"/>
  <c r="E365" i="2" s="1"/>
  <c r="F100" i="2"/>
  <c r="E105" i="2"/>
  <c r="H13" i="2"/>
  <c r="H78" i="2"/>
  <c r="H106" i="2"/>
  <c r="F14" i="2"/>
  <c r="G90" i="2"/>
  <c r="G14" i="2"/>
  <c r="H60" i="2"/>
  <c r="G19" i="2"/>
  <c r="H46" i="2"/>
  <c r="H349" i="2" s="1"/>
  <c r="F61" i="2"/>
  <c r="E96" i="2"/>
  <c r="E151" i="2"/>
  <c r="H19" i="2"/>
  <c r="G48" i="2"/>
  <c r="G363" i="2" s="1"/>
  <c r="E68" i="2"/>
  <c r="H81" i="2"/>
  <c r="G96" i="2"/>
  <c r="F111" i="2"/>
  <c r="G151" i="2"/>
  <c r="E14" i="2"/>
  <c r="E87" i="2"/>
  <c r="G45" i="2"/>
  <c r="G360" i="2" s="1"/>
  <c r="F88" i="2"/>
  <c r="F46" i="2"/>
  <c r="F349" i="2" s="1"/>
  <c r="E91" i="2"/>
  <c r="G81" i="2"/>
  <c r="H110" i="2"/>
  <c r="H23" i="2"/>
  <c r="H315" i="2" s="1"/>
  <c r="H48" i="2"/>
  <c r="H363" i="2" s="1"/>
  <c r="G68" i="2"/>
  <c r="E82" i="2"/>
  <c r="E97" i="2"/>
  <c r="G18" i="2"/>
  <c r="AF367" i="2"/>
  <c r="T367" i="2"/>
  <c r="AB355" i="2"/>
  <c r="V367" i="2"/>
  <c r="F81" i="5"/>
  <c r="E73" i="5"/>
  <c r="F29" i="5"/>
  <c r="E42" i="5"/>
  <c r="G68" i="5"/>
  <c r="G16" i="5"/>
  <c r="H55" i="5"/>
  <c r="E68" i="5"/>
  <c r="G29" i="5"/>
  <c r="F42" i="5"/>
  <c r="E55" i="5"/>
  <c r="H68" i="5"/>
  <c r="H73" i="5"/>
  <c r="E16" i="5"/>
  <c r="H29" i="5"/>
  <c r="G42" i="5"/>
  <c r="F55" i="5"/>
  <c r="E29" i="5"/>
  <c r="F68" i="5"/>
  <c r="F73" i="5"/>
  <c r="E81" i="5"/>
  <c r="G81" i="5"/>
  <c r="F16" i="5"/>
  <c r="H42" i="5"/>
  <c r="G55" i="5"/>
  <c r="H16" i="5"/>
  <c r="Y367" i="2"/>
  <c r="U367" i="2"/>
  <c r="H260" i="2"/>
  <c r="E20" i="2"/>
  <c r="F293" i="2"/>
  <c r="Q355" i="2"/>
  <c r="AG367" i="2"/>
  <c r="S367" i="2"/>
  <c r="AH367" i="2"/>
  <c r="E7" i="2"/>
  <c r="G293" i="2"/>
  <c r="T355" i="2"/>
  <c r="I355" i="2"/>
  <c r="U355" i="2"/>
  <c r="AG355" i="2"/>
  <c r="W367" i="2"/>
  <c r="Q367" i="2"/>
  <c r="X367" i="2"/>
  <c r="J355" i="2"/>
  <c r="V355" i="2"/>
  <c r="AH355" i="2"/>
  <c r="K355" i="2"/>
  <c r="W355" i="2"/>
  <c r="AI355" i="2"/>
  <c r="I367" i="2"/>
  <c r="AA367" i="2"/>
  <c r="R367" i="2"/>
  <c r="H18" i="2"/>
  <c r="J367" i="2"/>
  <c r="E19" i="2"/>
  <c r="F19" i="2"/>
  <c r="G189" i="2"/>
  <c r="G255" i="2"/>
  <c r="G285" i="2" s="1"/>
  <c r="G258" i="2"/>
  <c r="G288" i="2" s="1"/>
  <c r="G261" i="2"/>
  <c r="G291" i="2" s="1"/>
  <c r="AE367" i="2"/>
  <c r="H189" i="2"/>
  <c r="H255" i="2"/>
  <c r="H261" i="2"/>
  <c r="E41" i="2"/>
  <c r="G82" i="2"/>
  <c r="G97" i="2"/>
  <c r="H146" i="2"/>
  <c r="E191" i="2"/>
  <c r="E259" i="2"/>
  <c r="E262" i="2"/>
  <c r="E292" i="2" s="1"/>
  <c r="F15" i="2"/>
  <c r="E47" i="2"/>
  <c r="E362" i="2" s="1"/>
  <c r="G61" i="2"/>
  <c r="F124" i="2"/>
  <c r="X355" i="2"/>
  <c r="AJ355" i="2"/>
  <c r="E15" i="2"/>
  <c r="F20" i="2"/>
  <c r="G69" i="2"/>
  <c r="G88" i="2"/>
  <c r="F105" i="2"/>
  <c r="F131" i="2"/>
  <c r="E178" i="2"/>
  <c r="E256" i="2"/>
  <c r="E286" i="2" s="1"/>
  <c r="G15" i="2"/>
  <c r="F41" i="2"/>
  <c r="H69" i="2"/>
  <c r="H70" i="2" s="1"/>
  <c r="H82" i="2"/>
  <c r="H341" i="2" s="1"/>
  <c r="H97" i="2"/>
  <c r="G109" i="2"/>
  <c r="G131" i="2"/>
  <c r="F256" i="2"/>
  <c r="F286" i="2" s="1"/>
  <c r="L355" i="2"/>
  <c r="H7" i="2"/>
  <c r="H15" i="2"/>
  <c r="H20" i="2"/>
  <c r="G41" i="2"/>
  <c r="G47" i="2"/>
  <c r="G362" i="2" s="1"/>
  <c r="E57" i="2"/>
  <c r="E65" i="2"/>
  <c r="E77" i="2"/>
  <c r="E80" i="2"/>
  <c r="E83" i="2"/>
  <c r="E89" i="2"/>
  <c r="E92" i="2"/>
  <c r="E99" i="2"/>
  <c r="H105" i="2"/>
  <c r="H109" i="2"/>
  <c r="H124" i="2"/>
  <c r="H131" i="2"/>
  <c r="E149" i="2"/>
  <c r="G178" i="2"/>
  <c r="G183" i="2" s="1"/>
  <c r="G191" i="2"/>
  <c r="G256" i="2"/>
  <c r="G286" i="2" s="1"/>
  <c r="G259" i="2"/>
  <c r="G262" i="2"/>
  <c r="G292" i="2" s="1"/>
  <c r="M355" i="2"/>
  <c r="Y355" i="2"/>
  <c r="AK355" i="2"/>
  <c r="K367" i="2"/>
  <c r="AI367" i="2"/>
  <c r="H258" i="2"/>
  <c r="H50" i="2"/>
  <c r="H365" i="2" s="1"/>
  <c r="G7" i="2"/>
  <c r="G20" i="2"/>
  <c r="F47" i="2"/>
  <c r="F350" i="2" s="1"/>
  <c r="H61" i="2"/>
  <c r="H79" i="2"/>
  <c r="H88" i="2"/>
  <c r="H91" i="2"/>
  <c r="G105" i="2"/>
  <c r="G124" i="2"/>
  <c r="F147" i="2"/>
  <c r="F178" i="2"/>
  <c r="F191" i="2"/>
  <c r="F259" i="2"/>
  <c r="F262" i="2"/>
  <c r="F292" i="2" s="1"/>
  <c r="E13" i="2"/>
  <c r="E18" i="2"/>
  <c r="E23" i="2"/>
  <c r="E315" i="2" s="1"/>
  <c r="H41" i="2"/>
  <c r="H47" i="2"/>
  <c r="H362" i="2" s="1"/>
  <c r="F57" i="2"/>
  <c r="F65" i="2"/>
  <c r="F77" i="2"/>
  <c r="F80" i="2"/>
  <c r="F83" i="2"/>
  <c r="F89" i="2"/>
  <c r="F92" i="2"/>
  <c r="F99" i="2"/>
  <c r="E106" i="2"/>
  <c r="E110" i="2"/>
  <c r="E125" i="2"/>
  <c r="E132" i="2"/>
  <c r="F149" i="2"/>
  <c r="H178" i="2"/>
  <c r="H191" i="2"/>
  <c r="H256" i="2"/>
  <c r="H259" i="2"/>
  <c r="H262" i="2"/>
  <c r="N355" i="2"/>
  <c r="Z355" i="2"/>
  <c r="L367" i="2"/>
  <c r="AJ367" i="2"/>
  <c r="F7" i="2"/>
  <c r="G79" i="2"/>
  <c r="F109" i="2"/>
  <c r="E48" i="2"/>
  <c r="E351" i="2" s="1"/>
  <c r="O355" i="2"/>
  <c r="AA355" i="2"/>
  <c r="M367" i="2"/>
  <c r="AK367" i="2"/>
  <c r="G91" i="2"/>
  <c r="F13" i="2"/>
  <c r="F18" i="2"/>
  <c r="F23" i="2"/>
  <c r="F27" i="2" s="1"/>
  <c r="E45" i="2"/>
  <c r="E348" i="2" s="1"/>
  <c r="G57" i="2"/>
  <c r="G65" i="2"/>
  <c r="G77" i="2"/>
  <c r="G80" i="2"/>
  <c r="G83" i="2"/>
  <c r="G89" i="2"/>
  <c r="G92" i="2"/>
  <c r="G99" i="2"/>
  <c r="F106" i="2"/>
  <c r="F110" i="2"/>
  <c r="F125" i="2"/>
  <c r="F132" i="2"/>
  <c r="G149" i="2"/>
  <c r="E179" i="2"/>
  <c r="E254" i="2"/>
  <c r="E284" i="2" s="1"/>
  <c r="E257" i="2"/>
  <c r="E287" i="2" s="1"/>
  <c r="E260" i="2"/>
  <c r="E290" i="2" s="1"/>
  <c r="G13" i="2"/>
  <c r="G23" i="2"/>
  <c r="G310" i="2" s="1"/>
  <c r="F45" i="2"/>
  <c r="F360" i="2" s="1"/>
  <c r="F48" i="2"/>
  <c r="F363" i="2" s="1"/>
  <c r="H57" i="2"/>
  <c r="H65" i="2"/>
  <c r="H77" i="2"/>
  <c r="H80" i="2"/>
  <c r="H83" i="2"/>
  <c r="H89" i="2"/>
  <c r="H92" i="2"/>
  <c r="H99" i="2"/>
  <c r="G106" i="2"/>
  <c r="G110" i="2"/>
  <c r="G125" i="2"/>
  <c r="G132" i="2"/>
  <c r="H149" i="2"/>
  <c r="F179" i="2"/>
  <c r="F254" i="2"/>
  <c r="F284" i="2" s="1"/>
  <c r="F257" i="2"/>
  <c r="F287" i="2" s="1"/>
  <c r="F260" i="2"/>
  <c r="F290" i="2" s="1"/>
  <c r="F296" i="2"/>
  <c r="N367" i="2"/>
  <c r="Z367" i="2"/>
  <c r="AC355" i="2"/>
  <c r="O367" i="2"/>
  <c r="E6" i="2"/>
  <c r="F60" i="2"/>
  <c r="F68" i="2"/>
  <c r="F78" i="2"/>
  <c r="F81" i="2"/>
  <c r="F87" i="2"/>
  <c r="F90" i="2"/>
  <c r="F96" i="2"/>
  <c r="E101" i="2"/>
  <c r="E340" i="2" s="1"/>
  <c r="E107" i="2"/>
  <c r="E111" i="2"/>
  <c r="E130" i="2"/>
  <c r="E145" i="2"/>
  <c r="F151" i="2"/>
  <c r="H179" i="2"/>
  <c r="H254" i="2"/>
  <c r="H257" i="2"/>
  <c r="R355" i="2"/>
  <c r="AD355" i="2"/>
  <c r="P367" i="2"/>
  <c r="AB367" i="2"/>
  <c r="S355" i="2"/>
  <c r="AE355" i="2"/>
  <c r="AC367" i="2"/>
  <c r="H87" i="2"/>
  <c r="H90" i="2"/>
  <c r="H96" i="2"/>
  <c r="G101" i="2"/>
  <c r="G107" i="2"/>
  <c r="G111" i="2"/>
  <c r="G130" i="2"/>
  <c r="G145" i="2"/>
  <c r="H151" i="2"/>
  <c r="F189" i="2"/>
  <c r="F255" i="2"/>
  <c r="F285" i="2" s="1"/>
  <c r="F258" i="2"/>
  <c r="F288" i="2" s="1"/>
  <c r="F261" i="2"/>
  <c r="F291" i="2" s="1"/>
  <c r="AF355" i="2"/>
  <c r="AD367" i="2"/>
  <c r="E58" i="4"/>
  <c r="H48" i="4"/>
  <c r="O117" i="4"/>
  <c r="O136" i="4" s="1"/>
  <c r="H16" i="4"/>
  <c r="E9" i="4"/>
  <c r="F58" i="4"/>
  <c r="G9" i="4"/>
  <c r="G58" i="4"/>
  <c r="H136" i="4"/>
  <c r="G16" i="4"/>
  <c r="G48" i="4"/>
  <c r="L136" i="4"/>
  <c r="M136" i="4"/>
  <c r="N136" i="4"/>
  <c r="P136" i="4"/>
  <c r="Q136" i="4"/>
  <c r="R136" i="4"/>
  <c r="F9" i="4"/>
  <c r="H9" i="4"/>
  <c r="H58" i="4"/>
  <c r="I136" i="4"/>
  <c r="E16" i="4"/>
  <c r="E48" i="4"/>
  <c r="J136" i="4"/>
  <c r="F16" i="4"/>
  <c r="F48" i="4"/>
  <c r="K136" i="4"/>
  <c r="E311" i="2"/>
  <c r="F311" i="2"/>
  <c r="H311" i="2"/>
  <c r="H361" i="2"/>
  <c r="G365" i="2"/>
  <c r="G353" i="2"/>
  <c r="E7" i="4"/>
  <c r="E139" i="4" s="1"/>
  <c r="E171" i="4" s="1"/>
  <c r="E46" i="3"/>
  <c r="F7" i="4"/>
  <c r="F46" i="3"/>
  <c r="G7" i="4"/>
  <c r="G46" i="3"/>
  <c r="H7" i="4"/>
  <c r="H46" i="3"/>
  <c r="H167" i="4"/>
  <c r="H199" i="4" s="1"/>
  <c r="E62" i="4"/>
  <c r="F62" i="4"/>
  <c r="G62" i="4"/>
  <c r="H62" i="4"/>
  <c r="E65" i="4"/>
  <c r="F65" i="4"/>
  <c r="G65" i="4"/>
  <c r="H65" i="4"/>
  <c r="I168" i="4"/>
  <c r="G232" i="3"/>
  <c r="J223" i="3" s="1"/>
  <c r="F232" i="3"/>
  <c r="J216" i="3" s="1"/>
  <c r="G236" i="3"/>
  <c r="J227" i="3" s="1"/>
  <c r="F236" i="3"/>
  <c r="J220" i="3" s="1"/>
  <c r="G237" i="3"/>
  <c r="J228" i="3" s="1"/>
  <c r="F237" i="3"/>
  <c r="J221" i="3" s="1"/>
  <c r="E206" i="4"/>
  <c r="E530" i="3"/>
  <c r="E335" i="3"/>
  <c r="E291" i="3"/>
  <c r="F206" i="4"/>
  <c r="F335" i="3"/>
  <c r="G206" i="4"/>
  <c r="G530" i="3"/>
  <c r="G335" i="3"/>
  <c r="H206" i="4"/>
  <c r="H530" i="3"/>
  <c r="H335" i="3"/>
  <c r="H291" i="3"/>
  <c r="H246" i="4" s="1"/>
  <c r="P322" i="4" s="1"/>
  <c r="E208" i="4"/>
  <c r="E352" i="3"/>
  <c r="E532" i="3" s="1"/>
  <c r="F208" i="4"/>
  <c r="F352" i="3"/>
  <c r="F532" i="3" s="1"/>
  <c r="G208" i="4"/>
  <c r="G352" i="3"/>
  <c r="G532" i="3" s="1"/>
  <c r="H208" i="4"/>
  <c r="H352" i="3"/>
  <c r="H532" i="3" s="1"/>
  <c r="E209" i="4"/>
  <c r="E353" i="3"/>
  <c r="E533" i="3" s="1"/>
  <c r="E336" i="3"/>
  <c r="F209" i="4"/>
  <c r="F353" i="3"/>
  <c r="F533" i="3" s="1"/>
  <c r="F336" i="3"/>
  <c r="G209" i="4"/>
  <c r="G353" i="3"/>
  <c r="G533" i="3" s="1"/>
  <c r="G336" i="3"/>
  <c r="H209" i="4"/>
  <c r="H353" i="3"/>
  <c r="H533" i="3" s="1"/>
  <c r="H336" i="3"/>
  <c r="H378" i="4" s="1"/>
  <c r="E210" i="4"/>
  <c r="E354" i="3"/>
  <c r="E534" i="3" s="1"/>
  <c r="F210" i="4"/>
  <c r="F354" i="3"/>
  <c r="F534" i="3" s="1"/>
  <c r="G210" i="4"/>
  <c r="G354" i="3"/>
  <c r="G534" i="3" s="1"/>
  <c r="H210" i="4"/>
  <c r="H354" i="3"/>
  <c r="H534" i="3" s="1"/>
  <c r="E211" i="4"/>
  <c r="E355" i="3"/>
  <c r="E535" i="3" s="1"/>
  <c r="E338" i="3"/>
  <c r="F211" i="4"/>
  <c r="F355" i="3"/>
  <c r="F535" i="3" s="1"/>
  <c r="F338" i="3"/>
  <c r="G211" i="4"/>
  <c r="G355" i="3"/>
  <c r="G535" i="3" s="1"/>
  <c r="G338" i="3"/>
  <c r="H211" i="4"/>
  <c r="H355" i="3"/>
  <c r="H535" i="3" s="1"/>
  <c r="H338" i="3"/>
  <c r="E212" i="4"/>
  <c r="E356" i="3"/>
  <c r="E536" i="3" s="1"/>
  <c r="F212" i="4"/>
  <c r="F356" i="3"/>
  <c r="F536" i="3" s="1"/>
  <c r="G212" i="4"/>
  <c r="G356" i="3"/>
  <c r="G536" i="3" s="1"/>
  <c r="H212" i="4"/>
  <c r="H356" i="3"/>
  <c r="H536" i="3" s="1"/>
  <c r="E213" i="4"/>
  <c r="E357" i="3"/>
  <c r="E537" i="3" s="1"/>
  <c r="F213" i="4"/>
  <c r="F357" i="3"/>
  <c r="F537" i="3" s="1"/>
  <c r="G213" i="4"/>
  <c r="G357" i="3"/>
  <c r="G537" i="3" s="1"/>
  <c r="H213" i="4"/>
  <c r="H357" i="3"/>
  <c r="H537" i="3" s="1"/>
  <c r="E214" i="4"/>
  <c r="E358" i="3"/>
  <c r="E538" i="3" s="1"/>
  <c r="E339" i="3"/>
  <c r="F214" i="4"/>
  <c r="F358" i="3"/>
  <c r="F538" i="3" s="1"/>
  <c r="F339" i="3"/>
  <c r="G214" i="4"/>
  <c r="G358" i="3"/>
  <c r="G538" i="3" s="1"/>
  <c r="G339" i="3"/>
  <c r="H214" i="4"/>
  <c r="H358" i="3"/>
  <c r="H538" i="3" s="1"/>
  <c r="H339" i="3"/>
  <c r="H381" i="4" s="1"/>
  <c r="E215" i="4"/>
  <c r="E359" i="3"/>
  <c r="E539" i="3" s="1"/>
  <c r="F215" i="4"/>
  <c r="F359" i="3"/>
  <c r="F539" i="3" s="1"/>
  <c r="G215" i="4"/>
  <c r="G359" i="3"/>
  <c r="G539" i="3" s="1"/>
  <c r="H215" i="4"/>
  <c r="H359" i="3"/>
  <c r="H539" i="3" s="1"/>
  <c r="E216" i="4"/>
  <c r="E360" i="3"/>
  <c r="E540" i="3" s="1"/>
  <c r="F216" i="4"/>
  <c r="F360" i="3"/>
  <c r="F540" i="3" s="1"/>
  <c r="G216" i="4"/>
  <c r="G360" i="3"/>
  <c r="G540" i="3" s="1"/>
  <c r="H216" i="4"/>
  <c r="H360" i="3"/>
  <c r="H540" i="3" s="1"/>
  <c r="E217" i="4"/>
  <c r="E361" i="3"/>
  <c r="E541" i="3" s="1"/>
  <c r="E340" i="3"/>
  <c r="F217" i="4"/>
  <c r="F361" i="3"/>
  <c r="F541" i="3" s="1"/>
  <c r="F340" i="3"/>
  <c r="G217" i="4"/>
  <c r="G361" i="3"/>
  <c r="G541" i="3" s="1"/>
  <c r="G340" i="3"/>
  <c r="H217" i="4"/>
  <c r="H361" i="3"/>
  <c r="H541" i="3" s="1"/>
  <c r="H340" i="3"/>
  <c r="H382" i="4" s="1"/>
  <c r="E218" i="4"/>
  <c r="E362" i="3"/>
  <c r="E542" i="3" s="1"/>
  <c r="H218" i="4"/>
  <c r="H362" i="3"/>
  <c r="H542" i="3" s="1"/>
  <c r="E219" i="4"/>
  <c r="E363" i="3"/>
  <c r="E543" i="3" s="1"/>
  <c r="E342" i="3"/>
  <c r="F219" i="4"/>
  <c r="F363" i="3"/>
  <c r="F543" i="3" s="1"/>
  <c r="F342" i="3"/>
  <c r="H219" i="4"/>
  <c r="H363" i="3"/>
  <c r="H543" i="3" s="1"/>
  <c r="H342" i="3"/>
  <c r="E220" i="4"/>
  <c r="E364" i="3"/>
  <c r="E544" i="3" s="1"/>
  <c r="F220" i="4"/>
  <c r="F364" i="3"/>
  <c r="F544" i="3" s="1"/>
  <c r="G220" i="4"/>
  <c r="G364" i="3"/>
  <c r="G544" i="3" s="1"/>
  <c r="H220" i="4"/>
  <c r="H364" i="3"/>
  <c r="H544" i="3" s="1"/>
  <c r="E221" i="4"/>
  <c r="E365" i="3"/>
  <c r="E545" i="3" s="1"/>
  <c r="F221" i="4"/>
  <c r="F365" i="3"/>
  <c r="F545" i="3" s="1"/>
  <c r="G221" i="4"/>
  <c r="G365" i="3"/>
  <c r="G545" i="3" s="1"/>
  <c r="H221" i="4"/>
  <c r="H365" i="3"/>
  <c r="H545" i="3" s="1"/>
  <c r="E222" i="4"/>
  <c r="E366" i="3"/>
  <c r="E546" i="3" s="1"/>
  <c r="F222" i="4"/>
  <c r="F366" i="3"/>
  <c r="F546" i="3" s="1"/>
  <c r="G222" i="4"/>
  <c r="G366" i="3"/>
  <c r="G546" i="3" s="1"/>
  <c r="H222" i="4"/>
  <c r="H366" i="3"/>
  <c r="H546" i="3" s="1"/>
  <c r="E223" i="4"/>
  <c r="E367" i="3"/>
  <c r="E547" i="3" s="1"/>
  <c r="F223" i="4"/>
  <c r="F367" i="3"/>
  <c r="F547" i="3" s="1"/>
  <c r="G223" i="4"/>
  <c r="G367" i="3"/>
  <c r="G547" i="3" s="1"/>
  <c r="H223" i="4"/>
  <c r="H367" i="3"/>
  <c r="H547" i="3" s="1"/>
  <c r="E224" i="4"/>
  <c r="E368" i="3"/>
  <c r="E548" i="3" s="1"/>
  <c r="E343" i="3"/>
  <c r="H224" i="4"/>
  <c r="H368" i="3"/>
  <c r="H548" i="3" s="1"/>
  <c r="H343" i="3"/>
  <c r="H385" i="4" s="1"/>
  <c r="E225" i="4"/>
  <c r="E369" i="3"/>
  <c r="E549" i="3" s="1"/>
  <c r="F225" i="4"/>
  <c r="F369" i="3"/>
  <c r="F549" i="3" s="1"/>
  <c r="G225" i="4"/>
  <c r="G369" i="3"/>
  <c r="G549" i="3" s="1"/>
  <c r="H225" i="4"/>
  <c r="H369" i="3"/>
  <c r="H549" i="3" s="1"/>
  <c r="E226" i="4"/>
  <c r="E370" i="3"/>
  <c r="E550" i="3" s="1"/>
  <c r="F226" i="4"/>
  <c r="F370" i="3"/>
  <c r="F550" i="3" s="1"/>
  <c r="G226" i="4"/>
  <c r="G370" i="3"/>
  <c r="G550" i="3" s="1"/>
  <c r="H226" i="4"/>
  <c r="H370" i="3"/>
  <c r="H550" i="3" s="1"/>
  <c r="E227" i="4"/>
  <c r="E371" i="3"/>
  <c r="E551" i="3" s="1"/>
  <c r="F227" i="4"/>
  <c r="F371" i="3"/>
  <c r="F551" i="3" s="1"/>
  <c r="G227" i="4"/>
  <c r="G371" i="3"/>
  <c r="G551" i="3" s="1"/>
  <c r="H227" i="4"/>
  <c r="H371" i="3"/>
  <c r="H551" i="3" s="1"/>
  <c r="E228" i="4"/>
  <c r="E372" i="3"/>
  <c r="E552" i="3" s="1"/>
  <c r="F228" i="4"/>
  <c r="F372" i="3"/>
  <c r="F552" i="3" s="1"/>
  <c r="G228" i="4"/>
  <c r="G372" i="3"/>
  <c r="G552" i="3" s="1"/>
  <c r="H228" i="4"/>
  <c r="H372" i="3"/>
  <c r="H552" i="3" s="1"/>
  <c r="E229" i="4"/>
  <c r="E373" i="3"/>
  <c r="E553" i="3" s="1"/>
  <c r="E345" i="3"/>
  <c r="F229" i="4"/>
  <c r="F373" i="3"/>
  <c r="F553" i="3" s="1"/>
  <c r="F345" i="3"/>
  <c r="G229" i="4"/>
  <c r="G373" i="3"/>
  <c r="G553" i="3" s="1"/>
  <c r="G345" i="3"/>
  <c r="H229" i="4"/>
  <c r="H373" i="3"/>
  <c r="H553" i="3" s="1"/>
  <c r="H345" i="3"/>
  <c r="H387" i="4" s="1"/>
  <c r="E231" i="4"/>
  <c r="E375" i="3"/>
  <c r="E555" i="3" s="1"/>
  <c r="F231" i="4"/>
  <c r="F375" i="3"/>
  <c r="F555" i="3" s="1"/>
  <c r="G231" i="4"/>
  <c r="G375" i="3"/>
  <c r="G555" i="3" s="1"/>
  <c r="H231" i="4"/>
  <c r="H375" i="3"/>
  <c r="H555" i="3" s="1"/>
  <c r="E233" i="4"/>
  <c r="E377" i="3"/>
  <c r="E557" i="3" s="1"/>
  <c r="F233" i="4"/>
  <c r="F377" i="3"/>
  <c r="F557" i="3" s="1"/>
  <c r="G233" i="4"/>
  <c r="G377" i="3"/>
  <c r="G557" i="3" s="1"/>
  <c r="H233" i="4"/>
  <c r="H377" i="3"/>
  <c r="H557" i="3" s="1"/>
  <c r="E234" i="4"/>
  <c r="E378" i="3"/>
  <c r="E558" i="3" s="1"/>
  <c r="F234" i="4"/>
  <c r="F378" i="3"/>
  <c r="F558" i="3" s="1"/>
  <c r="G234" i="4"/>
  <c r="G378" i="3"/>
  <c r="G558" i="3" s="1"/>
  <c r="H234" i="4"/>
  <c r="H378" i="3"/>
  <c r="H558" i="3" s="1"/>
  <c r="E237" i="4"/>
  <c r="E381" i="3"/>
  <c r="E561" i="3" s="1"/>
  <c r="F237" i="4"/>
  <c r="F381" i="3"/>
  <c r="F561" i="3" s="1"/>
  <c r="G237" i="4"/>
  <c r="G381" i="3"/>
  <c r="G561" i="3" s="1"/>
  <c r="H237" i="4"/>
  <c r="H381" i="3"/>
  <c r="H561" i="3" s="1"/>
  <c r="E238" i="4"/>
  <c r="E382" i="3"/>
  <c r="E562" i="3" s="1"/>
  <c r="F238" i="4"/>
  <c r="F323" i="4" s="1"/>
  <c r="F382" i="3"/>
  <c r="F562" i="3" s="1"/>
  <c r="G238" i="4"/>
  <c r="G382" i="3"/>
  <c r="G562" i="3" s="1"/>
  <c r="H238" i="4"/>
  <c r="H382" i="3"/>
  <c r="H562" i="3" s="1"/>
  <c r="E240" i="4"/>
  <c r="E384" i="3"/>
  <c r="E564" i="3" s="1"/>
  <c r="F240" i="4"/>
  <c r="F384" i="3"/>
  <c r="F564" i="3" s="1"/>
  <c r="G240" i="4"/>
  <c r="G384" i="3"/>
  <c r="G564" i="3" s="1"/>
  <c r="H240" i="4"/>
  <c r="H384" i="3"/>
  <c r="H564" i="3" s="1"/>
  <c r="E241" i="4"/>
  <c r="E385" i="3"/>
  <c r="E565" i="3" s="1"/>
  <c r="F241" i="4"/>
  <c r="F385" i="3"/>
  <c r="F565" i="3" s="1"/>
  <c r="G241" i="4"/>
  <c r="G385" i="3"/>
  <c r="G565" i="3" s="1"/>
  <c r="H241" i="4"/>
  <c r="H385" i="3"/>
  <c r="E243" i="4"/>
  <c r="E387" i="3"/>
  <c r="E567" i="3" s="1"/>
  <c r="F243" i="4"/>
  <c r="F387" i="3"/>
  <c r="F567" i="3" s="1"/>
  <c r="G243" i="4"/>
  <c r="G387" i="3"/>
  <c r="G567" i="3" s="1"/>
  <c r="H243" i="4"/>
  <c r="H387" i="3"/>
  <c r="H567" i="3" s="1"/>
  <c r="E244" i="4"/>
  <c r="E388" i="3"/>
  <c r="E568" i="3" s="1"/>
  <c r="F244" i="4"/>
  <c r="F388" i="3"/>
  <c r="F568" i="3" s="1"/>
  <c r="G244" i="4"/>
  <c r="G388" i="3"/>
  <c r="G568" i="3" s="1"/>
  <c r="H244" i="4"/>
  <c r="H388" i="3"/>
  <c r="H568" i="3" s="1"/>
  <c r="E245" i="4"/>
  <c r="E389" i="3"/>
  <c r="E569" i="3" s="1"/>
  <c r="F245" i="4"/>
  <c r="F389" i="3"/>
  <c r="F569" i="3" s="1"/>
  <c r="G245" i="4"/>
  <c r="G389" i="3"/>
  <c r="G569" i="3" s="1"/>
  <c r="H245" i="4"/>
  <c r="H389" i="3"/>
  <c r="H569" i="3" s="1"/>
  <c r="E250" i="4"/>
  <c r="E393" i="3"/>
  <c r="E574" i="3" s="1"/>
  <c r="F250" i="4"/>
  <c r="F393" i="3"/>
  <c r="F574" i="3" s="1"/>
  <c r="G250" i="4"/>
  <c r="G393" i="3"/>
  <c r="G574" i="3" s="1"/>
  <c r="H250" i="4"/>
  <c r="H393" i="3"/>
  <c r="H574" i="3" s="1"/>
  <c r="E251" i="4"/>
  <c r="E394" i="3"/>
  <c r="E575" i="3" s="1"/>
  <c r="F251" i="4"/>
  <c r="F394" i="3"/>
  <c r="F575" i="3" s="1"/>
  <c r="G251" i="4"/>
  <c r="G394" i="3"/>
  <c r="G575" i="3" s="1"/>
  <c r="H251" i="4"/>
  <c r="H394" i="3"/>
  <c r="H575" i="3" s="1"/>
  <c r="E252" i="4"/>
  <c r="E395" i="3"/>
  <c r="E576" i="3" s="1"/>
  <c r="F252" i="4"/>
  <c r="F395" i="3"/>
  <c r="F576" i="3" s="1"/>
  <c r="G252" i="4"/>
  <c r="G395" i="3"/>
  <c r="G576" i="3" s="1"/>
  <c r="H252" i="4"/>
  <c r="H395" i="3"/>
  <c r="H576" i="3" s="1"/>
  <c r="E253" i="4"/>
  <c r="E396" i="3"/>
  <c r="E577" i="3" s="1"/>
  <c r="F253" i="4"/>
  <c r="F396" i="3"/>
  <c r="F577" i="3" s="1"/>
  <c r="G253" i="4"/>
  <c r="G396" i="3"/>
  <c r="G577" i="3" s="1"/>
  <c r="H253" i="4"/>
  <c r="H396" i="3"/>
  <c r="H577" i="3" s="1"/>
  <c r="E255" i="4"/>
  <c r="E398" i="3"/>
  <c r="E579" i="3" s="1"/>
  <c r="F255" i="4"/>
  <c r="F398" i="3"/>
  <c r="F579" i="3" s="1"/>
  <c r="G255" i="4"/>
  <c r="G398" i="3"/>
  <c r="G579" i="3" s="1"/>
  <c r="H255" i="4"/>
  <c r="H398" i="3"/>
  <c r="H579" i="3" s="1"/>
  <c r="E256" i="4"/>
  <c r="E399" i="3"/>
  <c r="E580" i="3" s="1"/>
  <c r="F256" i="4"/>
  <c r="F399" i="3"/>
  <c r="F580" i="3" s="1"/>
  <c r="G256" i="4"/>
  <c r="G399" i="3"/>
  <c r="G580" i="3" s="1"/>
  <c r="H256" i="4"/>
  <c r="H399" i="3"/>
  <c r="H580" i="3" s="1"/>
  <c r="E258" i="4"/>
  <c r="E401" i="3"/>
  <c r="E582" i="3" s="1"/>
  <c r="F258" i="4"/>
  <c r="F401" i="3"/>
  <c r="F582" i="3" s="1"/>
  <c r="G258" i="4"/>
  <c r="G401" i="3"/>
  <c r="G582" i="3" s="1"/>
  <c r="H258" i="4"/>
  <c r="H401" i="3"/>
  <c r="H582" i="3" s="1"/>
  <c r="E259" i="4"/>
  <c r="E402" i="3"/>
  <c r="E583" i="3" s="1"/>
  <c r="F259" i="4"/>
  <c r="F402" i="3"/>
  <c r="F583" i="3" s="1"/>
  <c r="G259" i="4"/>
  <c r="G402" i="3"/>
  <c r="G583" i="3" s="1"/>
  <c r="H259" i="4"/>
  <c r="H402" i="3"/>
  <c r="H583" i="3" s="1"/>
  <c r="E260" i="4"/>
  <c r="E403" i="3"/>
  <c r="E584" i="3" s="1"/>
  <c r="F260" i="4"/>
  <c r="F403" i="3"/>
  <c r="F584" i="3" s="1"/>
  <c r="G260" i="4"/>
  <c r="G403" i="3"/>
  <c r="G584" i="3" s="1"/>
  <c r="H260" i="4"/>
  <c r="H403" i="3"/>
  <c r="H584" i="3" s="1"/>
  <c r="E261" i="4"/>
  <c r="E404" i="3"/>
  <c r="E585" i="3" s="1"/>
  <c r="F261" i="4"/>
  <c r="F404" i="3"/>
  <c r="F585" i="3" s="1"/>
  <c r="G261" i="4"/>
  <c r="G404" i="3"/>
  <c r="G585" i="3" s="1"/>
  <c r="H261" i="4"/>
  <c r="H404" i="3"/>
  <c r="H585" i="3" s="1"/>
  <c r="E262" i="4"/>
  <c r="E405" i="3"/>
  <c r="E586" i="3" s="1"/>
  <c r="F262" i="4"/>
  <c r="F405" i="3"/>
  <c r="F586" i="3" s="1"/>
  <c r="G262" i="4"/>
  <c r="G405" i="3"/>
  <c r="G586" i="3" s="1"/>
  <c r="H262" i="4"/>
  <c r="H405" i="3"/>
  <c r="H586" i="3" s="1"/>
  <c r="E264" i="4"/>
  <c r="E407" i="3"/>
  <c r="E588" i="3" s="1"/>
  <c r="F264" i="4"/>
  <c r="F407" i="3"/>
  <c r="F588" i="3" s="1"/>
  <c r="G264" i="4"/>
  <c r="G407" i="3"/>
  <c r="G588" i="3" s="1"/>
  <c r="H264" i="4"/>
  <c r="H407" i="3"/>
  <c r="H588" i="3" s="1"/>
  <c r="E266" i="4"/>
  <c r="E409" i="3"/>
  <c r="E590" i="3" s="1"/>
  <c r="F266" i="4"/>
  <c r="F409" i="3"/>
  <c r="F590" i="3" s="1"/>
  <c r="G266" i="4"/>
  <c r="G409" i="3"/>
  <c r="G590" i="3" s="1"/>
  <c r="H266" i="4"/>
  <c r="H409" i="3"/>
  <c r="H590" i="3" s="1"/>
  <c r="E268" i="4"/>
  <c r="E411" i="3"/>
  <c r="E592" i="3" s="1"/>
  <c r="F268" i="4"/>
  <c r="F411" i="3"/>
  <c r="F592" i="3" s="1"/>
  <c r="G268" i="4"/>
  <c r="G411" i="3"/>
  <c r="G592" i="3" s="1"/>
  <c r="H268" i="4"/>
  <c r="H411" i="3"/>
  <c r="H592" i="3" s="1"/>
  <c r="E270" i="4"/>
  <c r="E413" i="3"/>
  <c r="E594" i="3" s="1"/>
  <c r="F270" i="4"/>
  <c r="F413" i="3"/>
  <c r="F594" i="3" s="1"/>
  <c r="G270" i="4"/>
  <c r="G413" i="3"/>
  <c r="G594" i="3" s="1"/>
  <c r="H270" i="4"/>
  <c r="H413" i="3"/>
  <c r="H594" i="3" s="1"/>
  <c r="E271" i="4"/>
  <c r="E414" i="3"/>
  <c r="F271" i="4"/>
  <c r="F414" i="3"/>
  <c r="G271" i="4"/>
  <c r="G414" i="3"/>
  <c r="H271" i="4"/>
  <c r="H414" i="3"/>
  <c r="E272" i="4"/>
  <c r="E415" i="3"/>
  <c r="E596" i="3" s="1"/>
  <c r="F272" i="4"/>
  <c r="F415" i="3"/>
  <c r="F596" i="3" s="1"/>
  <c r="G272" i="4"/>
  <c r="G415" i="3"/>
  <c r="G596" i="3" s="1"/>
  <c r="H272" i="4"/>
  <c r="H415" i="3"/>
  <c r="H596" i="3" s="1"/>
  <c r="E273" i="4"/>
  <c r="E416" i="3"/>
  <c r="E597" i="3" s="1"/>
  <c r="F273" i="4"/>
  <c r="F416" i="3"/>
  <c r="F597" i="3" s="1"/>
  <c r="G273" i="4"/>
  <c r="G416" i="3"/>
  <c r="G597" i="3" s="1"/>
  <c r="H273" i="4"/>
  <c r="H416" i="3"/>
  <c r="H597" i="3" s="1"/>
  <c r="E274" i="4"/>
  <c r="E417" i="3"/>
  <c r="E598" i="3" s="1"/>
  <c r="F274" i="4"/>
  <c r="F417" i="3"/>
  <c r="F598" i="3" s="1"/>
  <c r="G274" i="4"/>
  <c r="G417" i="3"/>
  <c r="G598" i="3" s="1"/>
  <c r="H274" i="4"/>
  <c r="H417" i="3"/>
  <c r="H598" i="3" s="1"/>
  <c r="E276" i="4"/>
  <c r="E419" i="3"/>
  <c r="E600" i="3" s="1"/>
  <c r="F276" i="4"/>
  <c r="F419" i="3"/>
  <c r="F600" i="3" s="1"/>
  <c r="G276" i="4"/>
  <c r="G419" i="3"/>
  <c r="G600" i="3" s="1"/>
  <c r="H276" i="4"/>
  <c r="H419" i="3"/>
  <c r="H600" i="3" s="1"/>
  <c r="E277" i="4"/>
  <c r="E420" i="3"/>
  <c r="E601" i="3" s="1"/>
  <c r="F277" i="4"/>
  <c r="F420" i="3"/>
  <c r="F601" i="3" s="1"/>
  <c r="G277" i="4"/>
  <c r="G420" i="3"/>
  <c r="G601" i="3" s="1"/>
  <c r="H277" i="4"/>
  <c r="H420" i="3"/>
  <c r="H601" i="3" s="1"/>
  <c r="E278" i="4"/>
  <c r="E421" i="3"/>
  <c r="E602" i="3" s="1"/>
  <c r="F278" i="4"/>
  <c r="F421" i="3"/>
  <c r="F602" i="3" s="1"/>
  <c r="G278" i="4"/>
  <c r="G421" i="3"/>
  <c r="G602" i="3" s="1"/>
  <c r="H278" i="4"/>
  <c r="H421" i="3"/>
  <c r="H602" i="3" s="1"/>
  <c r="E281" i="4"/>
  <c r="E424" i="3"/>
  <c r="E605" i="3" s="1"/>
  <c r="F281" i="4"/>
  <c r="H281" i="4"/>
  <c r="E283" i="4"/>
  <c r="E426" i="3"/>
  <c r="E607" i="3" s="1"/>
  <c r="F283" i="4"/>
  <c r="F426" i="3"/>
  <c r="F607" i="3" s="1"/>
  <c r="G283" i="4"/>
  <c r="G426" i="3"/>
  <c r="G607" i="3" s="1"/>
  <c r="H283" i="4"/>
  <c r="H426" i="3"/>
  <c r="H607" i="3" s="1"/>
  <c r="E285" i="4"/>
  <c r="E428" i="3"/>
  <c r="E609" i="3" s="1"/>
  <c r="F285" i="4"/>
  <c r="F428" i="3"/>
  <c r="F609" i="3" s="1"/>
  <c r="G285" i="4"/>
  <c r="G428" i="3"/>
  <c r="G609" i="3" s="1"/>
  <c r="H285" i="4"/>
  <c r="H428" i="3"/>
  <c r="H609" i="3" s="1"/>
  <c r="E467" i="3"/>
  <c r="E470" i="3" s="1"/>
  <c r="E465" i="3"/>
  <c r="F467" i="3"/>
  <c r="F470" i="3" s="1"/>
  <c r="F465" i="3"/>
  <c r="G467" i="3"/>
  <c r="G470" i="3" s="1"/>
  <c r="G465" i="3"/>
  <c r="H467" i="3"/>
  <c r="H470" i="3" s="1"/>
  <c r="H465" i="3"/>
  <c r="I517" i="3"/>
  <c r="J517" i="3"/>
  <c r="K517" i="3"/>
  <c r="L517" i="3"/>
  <c r="M517" i="3"/>
  <c r="N517" i="3"/>
  <c r="O517" i="3"/>
  <c r="P517" i="3"/>
  <c r="Q517" i="3"/>
  <c r="R517" i="3"/>
  <c r="S517" i="3"/>
  <c r="T517" i="3"/>
  <c r="U517" i="3"/>
  <c r="V517" i="3"/>
  <c r="W517" i="3"/>
  <c r="X517" i="3"/>
  <c r="Y517" i="3"/>
  <c r="Z517" i="3"/>
  <c r="AA517" i="3"/>
  <c r="AB517" i="3"/>
  <c r="AC517" i="3"/>
  <c r="AD517" i="3"/>
  <c r="AE517" i="3"/>
  <c r="AF517" i="3"/>
  <c r="AG517" i="3"/>
  <c r="AH517" i="3"/>
  <c r="AI517" i="3"/>
  <c r="AJ517" i="3"/>
  <c r="AK517" i="3"/>
  <c r="E136" i="4"/>
  <c r="F136" i="4"/>
  <c r="G136" i="4"/>
  <c r="F140" i="4"/>
  <c r="F172" i="4" s="1"/>
  <c r="G140" i="4"/>
  <c r="F142" i="4"/>
  <c r="F174" i="4" s="1"/>
  <c r="G142" i="4"/>
  <c r="F143" i="4"/>
  <c r="F175" i="4" s="1"/>
  <c r="G143" i="4"/>
  <c r="F144" i="4"/>
  <c r="F176" i="4" s="1"/>
  <c r="G144" i="4"/>
  <c r="G176" i="4" s="1"/>
  <c r="F145" i="4"/>
  <c r="F177" i="4" s="1"/>
  <c r="G145" i="4"/>
  <c r="G177" i="4" s="1"/>
  <c r="F146" i="4"/>
  <c r="F178" i="4" s="1"/>
  <c r="G146" i="4"/>
  <c r="F147" i="4"/>
  <c r="F179" i="4" s="1"/>
  <c r="G147" i="4"/>
  <c r="F149" i="4"/>
  <c r="F181" i="4" s="1"/>
  <c r="G149" i="4"/>
  <c r="G181" i="4" s="1"/>
  <c r="F150" i="4"/>
  <c r="F182" i="4" s="1"/>
  <c r="G150" i="4"/>
  <c r="G182" i="4" s="1"/>
  <c r="F151" i="4"/>
  <c r="F183" i="4" s="1"/>
  <c r="G151" i="4"/>
  <c r="G183" i="4" s="1"/>
  <c r="F152" i="4"/>
  <c r="F184" i="4" s="1"/>
  <c r="G152" i="4"/>
  <c r="G184" i="4" s="1"/>
  <c r="F153" i="4"/>
  <c r="F185" i="4" s="1"/>
  <c r="G153" i="4"/>
  <c r="G185" i="4" s="1"/>
  <c r="F154" i="4"/>
  <c r="F186" i="4" s="1"/>
  <c r="G154" i="4"/>
  <c r="G186" i="4" s="1"/>
  <c r="H155" i="4"/>
  <c r="H187" i="4" s="1"/>
  <c r="F164" i="4"/>
  <c r="F196" i="4" s="1"/>
  <c r="G164" i="4"/>
  <c r="G196" i="4" s="1"/>
  <c r="I188" i="4"/>
  <c r="J156" i="4"/>
  <c r="I189" i="4"/>
  <c r="J157" i="4"/>
  <c r="I190" i="4"/>
  <c r="J158" i="4"/>
  <c r="I191" i="4"/>
  <c r="J159" i="4"/>
  <c r="I192" i="4"/>
  <c r="J160" i="4"/>
  <c r="I193" i="4"/>
  <c r="J161" i="4"/>
  <c r="I194" i="4"/>
  <c r="J162" i="4"/>
  <c r="I195" i="4"/>
  <c r="J163" i="4"/>
  <c r="I196" i="4"/>
  <c r="J164" i="4"/>
  <c r="I197" i="4"/>
  <c r="J165" i="4"/>
  <c r="I198" i="4"/>
  <c r="J166" i="4"/>
  <c r="E402" i="4"/>
  <c r="F402" i="4"/>
  <c r="G402" i="4"/>
  <c r="H402" i="4"/>
  <c r="E425" i="4"/>
  <c r="F425" i="4"/>
  <c r="G425" i="4"/>
  <c r="H425" i="4"/>
  <c r="E430" i="4"/>
  <c r="F430" i="4"/>
  <c r="G430" i="4"/>
  <c r="H430" i="4"/>
  <c r="S430" i="4"/>
  <c r="T235" i="4"/>
  <c r="E431" i="4"/>
  <c r="F431" i="4"/>
  <c r="G431" i="4"/>
  <c r="H431" i="4"/>
  <c r="E434" i="4"/>
  <c r="F434" i="4"/>
  <c r="G434" i="4"/>
  <c r="H434" i="4"/>
  <c r="E437" i="4"/>
  <c r="F437" i="4"/>
  <c r="G437" i="4"/>
  <c r="H437" i="4"/>
  <c r="E444" i="4"/>
  <c r="F444" i="4"/>
  <c r="G444" i="4"/>
  <c r="H444" i="4"/>
  <c r="E449" i="4"/>
  <c r="F449" i="4"/>
  <c r="G449" i="4"/>
  <c r="H449" i="4"/>
  <c r="E452" i="4"/>
  <c r="F452" i="4"/>
  <c r="G452" i="4"/>
  <c r="H452" i="4"/>
  <c r="AL453" i="4"/>
  <c r="AM258" i="4"/>
  <c r="AL454" i="4"/>
  <c r="AM259" i="4"/>
  <c r="E460" i="4"/>
  <c r="F460" i="4"/>
  <c r="G460" i="4"/>
  <c r="H460" i="4"/>
  <c r="E462" i="4"/>
  <c r="F462" i="4"/>
  <c r="G462" i="4"/>
  <c r="H462" i="4"/>
  <c r="E464" i="4"/>
  <c r="F464" i="4"/>
  <c r="G464" i="4"/>
  <c r="H464" i="4"/>
  <c r="AL465" i="4"/>
  <c r="AM270" i="4"/>
  <c r="AL467" i="4"/>
  <c r="AM272" i="4"/>
  <c r="AL468" i="4"/>
  <c r="AM273" i="4"/>
  <c r="E470" i="4"/>
  <c r="F470" i="4"/>
  <c r="G470" i="4"/>
  <c r="H470" i="4"/>
  <c r="AL471" i="4"/>
  <c r="AM276" i="4"/>
  <c r="AL472" i="4"/>
  <c r="AM277" i="4"/>
  <c r="AL473" i="4"/>
  <c r="AM278" i="4"/>
  <c r="E475" i="4"/>
  <c r="F475" i="4"/>
  <c r="G475" i="4"/>
  <c r="H475" i="4"/>
  <c r="AL476" i="4"/>
  <c r="AM281" i="4"/>
  <c r="E477" i="4"/>
  <c r="F477" i="4"/>
  <c r="G477" i="4"/>
  <c r="H477" i="4"/>
  <c r="AL478" i="4"/>
  <c r="AM283" i="4"/>
  <c r="E479" i="4"/>
  <c r="F479" i="4"/>
  <c r="G479" i="4"/>
  <c r="H479" i="4"/>
  <c r="AL480" i="4"/>
  <c r="AM285" i="4"/>
  <c r="E481" i="4"/>
  <c r="F481" i="4"/>
  <c r="G481" i="4"/>
  <c r="H481" i="4"/>
  <c r="G13" i="6"/>
  <c r="H6" i="6"/>
  <c r="H7" i="6"/>
  <c r="H8" i="6"/>
  <c r="H9" i="6"/>
  <c r="H10" i="6"/>
  <c r="G13" i="7"/>
  <c r="H6" i="7"/>
  <c r="H7" i="7"/>
  <c r="H8" i="7"/>
  <c r="H9" i="7"/>
  <c r="H10" i="7"/>
  <c r="D122" i="9"/>
  <c r="D79" i="9"/>
  <c r="E122" i="9"/>
  <c r="E79" i="9"/>
  <c r="F122" i="9"/>
  <c r="F79" i="9"/>
  <c r="F116" i="9" s="1"/>
  <c r="G122" i="9"/>
  <c r="G79" i="9"/>
  <c r="D164" i="13"/>
  <c r="I6" i="15"/>
  <c r="G16" i="15"/>
  <c r="H7" i="15"/>
  <c r="I19" i="15"/>
  <c r="G29" i="15"/>
  <c r="H20" i="15"/>
  <c r="G42" i="15"/>
  <c r="H32" i="15"/>
  <c r="I45" i="15"/>
  <c r="G55" i="15"/>
  <c r="H48" i="15"/>
  <c r="I58" i="15"/>
  <c r="G68" i="15"/>
  <c r="H59" i="15"/>
  <c r="G73" i="15"/>
  <c r="H71" i="15"/>
  <c r="G78" i="15"/>
  <c r="H76" i="15"/>
  <c r="H107" i="15"/>
  <c r="I97" i="15"/>
  <c r="D91" i="17"/>
  <c r="D47" i="17"/>
  <c r="E91" i="17"/>
  <c r="E47" i="17"/>
  <c r="F91" i="17"/>
  <c r="F47" i="17"/>
  <c r="G91" i="17"/>
  <c r="G47" i="17"/>
  <c r="D92" i="17"/>
  <c r="E91" i="3" s="1"/>
  <c r="D88" i="17"/>
  <c r="E92" i="17"/>
  <c r="F91" i="3" s="1"/>
  <c r="E88" i="17"/>
  <c r="F92" i="17"/>
  <c r="G91" i="3" s="1"/>
  <c r="F88" i="17"/>
  <c r="G92" i="17"/>
  <c r="H91" i="3" s="1"/>
  <c r="G88" i="17"/>
  <c r="D294" i="17"/>
  <c r="D250" i="17"/>
  <c r="E294" i="17"/>
  <c r="E250" i="17"/>
  <c r="F294" i="17"/>
  <c r="F250" i="17"/>
  <c r="G294" i="17"/>
  <c r="G250" i="17"/>
  <c r="D295" i="17"/>
  <c r="D291" i="17"/>
  <c r="E295" i="17"/>
  <c r="E291" i="17"/>
  <c r="F295" i="17"/>
  <c r="F291" i="17"/>
  <c r="G295" i="17"/>
  <c r="G291" i="17"/>
  <c r="D115" i="19"/>
  <c r="E115" i="19"/>
  <c r="F115" i="19"/>
  <c r="G115" i="19"/>
  <c r="F218" i="4" l="1"/>
  <c r="F362" i="3"/>
  <c r="F542" i="3" s="1"/>
  <c r="F291" i="3"/>
  <c r="G224" i="4"/>
  <c r="F343" i="3"/>
  <c r="F368" i="3"/>
  <c r="F548" i="3" s="1"/>
  <c r="G342" i="3"/>
  <c r="F224" i="4"/>
  <c r="G363" i="3"/>
  <c r="G543" i="3" s="1"/>
  <c r="P321" i="4"/>
  <c r="G263" i="3"/>
  <c r="G343" i="3"/>
  <c r="G424" i="3"/>
  <c r="G605" i="3" s="1"/>
  <c r="G274" i="2"/>
  <c r="G324" i="3"/>
  <c r="G289" i="2"/>
  <c r="E324" i="3"/>
  <c r="E274" i="2"/>
  <c r="E289" i="2" s="1"/>
  <c r="H289" i="2" s="1"/>
  <c r="G36" i="4"/>
  <c r="H424" i="3"/>
  <c r="H605" i="3" s="1"/>
  <c r="H324" i="3"/>
  <c r="F424" i="3"/>
  <c r="F605" i="3" s="1"/>
  <c r="F274" i="2"/>
  <c r="F289" i="2" s="1"/>
  <c r="F324" i="3"/>
  <c r="G116" i="9"/>
  <c r="E116" i="9"/>
  <c r="D116" i="9"/>
  <c r="H10" i="2"/>
  <c r="E353" i="2"/>
  <c r="F62" i="2"/>
  <c r="G348" i="2"/>
  <c r="H342" i="2"/>
  <c r="F342" i="2"/>
  <c r="H340" i="2"/>
  <c r="H343" i="2" s="1"/>
  <c r="AN328" i="2"/>
  <c r="AM340" i="2"/>
  <c r="G340" i="2"/>
  <c r="E342" i="2"/>
  <c r="AN327" i="2"/>
  <c r="AM339" i="2"/>
  <c r="G341" i="2"/>
  <c r="AN326" i="2"/>
  <c r="AM338" i="2"/>
  <c r="E341" i="2"/>
  <c r="F341" i="2"/>
  <c r="F340" i="2"/>
  <c r="AN325" i="2"/>
  <c r="AM337" i="2"/>
  <c r="G342" i="2"/>
  <c r="AN330" i="2"/>
  <c r="AM342" i="2"/>
  <c r="AN324" i="2"/>
  <c r="AM336" i="2"/>
  <c r="AL343" i="2"/>
  <c r="AN329" i="2"/>
  <c r="AM341" i="2"/>
  <c r="AN323" i="2"/>
  <c r="AM335" i="2"/>
  <c r="AM343" i="2" s="1"/>
  <c r="H310" i="2"/>
  <c r="E376" i="2"/>
  <c r="F70" i="2"/>
  <c r="H27" i="2"/>
  <c r="H329" i="2"/>
  <c r="F329" i="2"/>
  <c r="E378" i="2"/>
  <c r="H378" i="2"/>
  <c r="F378" i="2"/>
  <c r="G378" i="2"/>
  <c r="G10" i="2"/>
  <c r="G352" i="2"/>
  <c r="F325" i="2"/>
  <c r="H351" i="2"/>
  <c r="E70" i="2"/>
  <c r="E361" i="2"/>
  <c r="H62" i="2"/>
  <c r="E84" i="2"/>
  <c r="F72" i="2"/>
  <c r="F199" i="2" s="1"/>
  <c r="D7" i="9"/>
  <c r="D10" i="9"/>
  <c r="K10" i="9" s="1"/>
  <c r="D9" i="9"/>
  <c r="D11" i="9"/>
  <c r="K11" i="9" s="1"/>
  <c r="D8" i="9"/>
  <c r="K8" i="9" s="1"/>
  <c r="H328" i="2"/>
  <c r="E62" i="2"/>
  <c r="G350" i="2"/>
  <c r="F361" i="2"/>
  <c r="H72" i="2"/>
  <c r="H199" i="2" s="1"/>
  <c r="E153" i="2"/>
  <c r="G52" i="2"/>
  <c r="E323" i="2"/>
  <c r="E32" i="2"/>
  <c r="G351" i="2"/>
  <c r="H377" i="2"/>
  <c r="F353" i="2"/>
  <c r="G349" i="2"/>
  <c r="E10" i="2"/>
  <c r="G376" i="2"/>
  <c r="H324" i="2"/>
  <c r="F310" i="2"/>
  <c r="G361" i="2"/>
  <c r="G367" i="2" s="1"/>
  <c r="H134" i="2"/>
  <c r="G27" i="2"/>
  <c r="H348" i="2"/>
  <c r="E372" i="2"/>
  <c r="G62" i="2"/>
  <c r="F327" i="2"/>
  <c r="E327" i="2"/>
  <c r="F10" i="2"/>
  <c r="H373" i="2"/>
  <c r="F328" i="2"/>
  <c r="G70" i="2"/>
  <c r="G375" i="2"/>
  <c r="G374" i="2"/>
  <c r="H127" i="2"/>
  <c r="E31" i="2"/>
  <c r="E38" i="2" s="1"/>
  <c r="H30" i="2"/>
  <c r="H37" i="2" s="1"/>
  <c r="E93" i="2"/>
  <c r="F315" i="2"/>
  <c r="E363" i="2"/>
  <c r="E350" i="2"/>
  <c r="E355" i="2" s="1"/>
  <c r="E360" i="2"/>
  <c r="G323" i="2"/>
  <c r="H327" i="2"/>
  <c r="E379" i="2"/>
  <c r="F376" i="2"/>
  <c r="F373" i="2"/>
  <c r="E52" i="2"/>
  <c r="E134" i="2"/>
  <c r="E140" i="2" s="1"/>
  <c r="G31" i="2"/>
  <c r="G38" i="2" s="1"/>
  <c r="G372" i="2"/>
  <c r="G377" i="2"/>
  <c r="F84" i="2"/>
  <c r="F117" i="2" s="1"/>
  <c r="G324" i="2"/>
  <c r="G153" i="2"/>
  <c r="H374" i="2"/>
  <c r="E325" i="2"/>
  <c r="G373" i="2"/>
  <c r="F30" i="2"/>
  <c r="F37" i="2" s="1"/>
  <c r="F375" i="2"/>
  <c r="G102" i="2"/>
  <c r="G119" i="2" s="1"/>
  <c r="G379" i="2"/>
  <c r="F330" i="2"/>
  <c r="H379" i="2"/>
  <c r="H287" i="2"/>
  <c r="H372" i="2"/>
  <c r="E102" i="2"/>
  <c r="E119" i="2" s="1"/>
  <c r="F134" i="2"/>
  <c r="E330" i="2"/>
  <c r="H367" i="2"/>
  <c r="H31" i="2"/>
  <c r="H38" i="2" s="1"/>
  <c r="F362" i="2"/>
  <c r="G315" i="2"/>
  <c r="F102" i="2"/>
  <c r="F119" i="2" s="1"/>
  <c r="G328" i="2"/>
  <c r="F379" i="2"/>
  <c r="H353" i="2"/>
  <c r="H102" i="2"/>
  <c r="H119" i="2" s="1"/>
  <c r="F93" i="2"/>
  <c r="F118" i="2" s="1"/>
  <c r="G327" i="2"/>
  <c r="E375" i="2"/>
  <c r="E374" i="2"/>
  <c r="H375" i="2"/>
  <c r="E329" i="2"/>
  <c r="H84" i="2"/>
  <c r="H117" i="2" s="1"/>
  <c r="G134" i="2"/>
  <c r="E328" i="2"/>
  <c r="G93" i="2"/>
  <c r="F351" i="2"/>
  <c r="F52" i="2"/>
  <c r="E27" i="2"/>
  <c r="H291" i="2"/>
  <c r="F324" i="2"/>
  <c r="G30" i="2"/>
  <c r="E377" i="2"/>
  <c r="F348" i="2"/>
  <c r="H288" i="2"/>
  <c r="F153" i="2"/>
  <c r="F127" i="2"/>
  <c r="E112" i="2"/>
  <c r="E324" i="2"/>
  <c r="G264" i="2"/>
  <c r="G326" i="2"/>
  <c r="E310" i="2"/>
  <c r="H285" i="2"/>
  <c r="H52" i="2"/>
  <c r="H376" i="2"/>
  <c r="E373" i="2"/>
  <c r="H153" i="2"/>
  <c r="H286" i="2"/>
  <c r="F377" i="2"/>
  <c r="F31" i="2"/>
  <c r="F38" i="2" s="1"/>
  <c r="H292" i="2"/>
  <c r="H325" i="2"/>
  <c r="E127" i="2"/>
  <c r="G84" i="2"/>
  <c r="G117" i="2" s="1"/>
  <c r="H350" i="2"/>
  <c r="H93" i="2"/>
  <c r="H290" i="2"/>
  <c r="G330" i="2"/>
  <c r="H112" i="2"/>
  <c r="H120" i="2" s="1"/>
  <c r="E183" i="2"/>
  <c r="G329" i="2"/>
  <c r="F264" i="2"/>
  <c r="F112" i="2"/>
  <c r="F120" i="2" s="1"/>
  <c r="F372" i="2"/>
  <c r="H264" i="2"/>
  <c r="H330" i="2"/>
  <c r="F326" i="2"/>
  <c r="F183" i="2"/>
  <c r="E264" i="2"/>
  <c r="F374" i="2"/>
  <c r="H326" i="2"/>
  <c r="F323" i="2"/>
  <c r="H323" i="2"/>
  <c r="H183" i="2"/>
  <c r="G127" i="2"/>
  <c r="E326" i="2"/>
  <c r="G325" i="2"/>
  <c r="G112" i="2"/>
  <c r="G178" i="4"/>
  <c r="H146" i="4"/>
  <c r="H178" i="4" s="1"/>
  <c r="G139" i="4"/>
  <c r="P328" i="4"/>
  <c r="G175" i="4"/>
  <c r="H143" i="4"/>
  <c r="H323" i="4"/>
  <c r="H142" i="4"/>
  <c r="H174" i="4" s="1"/>
  <c r="G174" i="4"/>
  <c r="G179" i="4"/>
  <c r="H147" i="4"/>
  <c r="H179" i="4" s="1"/>
  <c r="H140" i="4"/>
  <c r="G172" i="4"/>
  <c r="P325" i="4"/>
  <c r="F36" i="4"/>
  <c r="E323" i="4"/>
  <c r="H317" i="4"/>
  <c r="H294" i="4"/>
  <c r="G323" i="4"/>
  <c r="E36" i="4"/>
  <c r="F139" i="4"/>
  <c r="F171" i="4" s="1"/>
  <c r="H36" i="4"/>
  <c r="G305" i="17"/>
  <c r="F305" i="17"/>
  <c r="E305" i="17"/>
  <c r="D305" i="17"/>
  <c r="G102" i="17"/>
  <c r="H90" i="3"/>
  <c r="H101" i="3" s="1"/>
  <c r="F102" i="17"/>
  <c r="G90" i="3"/>
  <c r="G101" i="3" s="1"/>
  <c r="E102" i="17"/>
  <c r="F90" i="3"/>
  <c r="F101" i="3" s="1"/>
  <c r="D102" i="17"/>
  <c r="E90" i="3"/>
  <c r="E101" i="3" s="1"/>
  <c r="I107" i="15"/>
  <c r="J97" i="15"/>
  <c r="H78" i="15"/>
  <c r="I76" i="15"/>
  <c r="H73" i="15"/>
  <c r="I71" i="15"/>
  <c r="I59" i="15"/>
  <c r="J59" i="15" s="1"/>
  <c r="K59" i="15" s="1"/>
  <c r="L59" i="15" s="1"/>
  <c r="M59" i="15" s="1"/>
  <c r="N59" i="15" s="1"/>
  <c r="O59" i="15" s="1"/>
  <c r="P59" i="15" s="1"/>
  <c r="Q59" i="15" s="1"/>
  <c r="R59" i="15" s="1"/>
  <c r="S59" i="15" s="1"/>
  <c r="T59" i="15" s="1"/>
  <c r="U59" i="15" s="1"/>
  <c r="V59" i="15" s="1"/>
  <c r="W59" i="15" s="1"/>
  <c r="X59" i="15" s="1"/>
  <c r="Y59" i="15" s="1"/>
  <c r="Z59" i="15" s="1"/>
  <c r="AA59" i="15" s="1"/>
  <c r="AB59" i="15" s="1"/>
  <c r="AC59" i="15" s="1"/>
  <c r="AD59" i="15" s="1"/>
  <c r="AE59" i="15" s="1"/>
  <c r="AF59" i="15" s="1"/>
  <c r="AG59" i="15" s="1"/>
  <c r="AH59" i="15" s="1"/>
  <c r="AI59" i="15" s="1"/>
  <c r="AJ59" i="15" s="1"/>
  <c r="H68" i="15"/>
  <c r="I68" i="15"/>
  <c r="J58" i="15"/>
  <c r="I48" i="15"/>
  <c r="J48" i="15" s="1"/>
  <c r="K48" i="15" s="1"/>
  <c r="L48" i="15" s="1"/>
  <c r="M48" i="15" s="1"/>
  <c r="N48" i="15" s="1"/>
  <c r="O48" i="15" s="1"/>
  <c r="P48" i="15" s="1"/>
  <c r="Q48" i="15" s="1"/>
  <c r="R48" i="15" s="1"/>
  <c r="S48" i="15" s="1"/>
  <c r="T48" i="15" s="1"/>
  <c r="U48" i="15" s="1"/>
  <c r="V48" i="15" s="1"/>
  <c r="W48" i="15" s="1"/>
  <c r="X48" i="15" s="1"/>
  <c r="Y48" i="15" s="1"/>
  <c r="Z48" i="15" s="1"/>
  <c r="AA48" i="15" s="1"/>
  <c r="AB48" i="15" s="1"/>
  <c r="AC48" i="15" s="1"/>
  <c r="AD48" i="15" s="1"/>
  <c r="AE48" i="15" s="1"/>
  <c r="AF48" i="15" s="1"/>
  <c r="AG48" i="15" s="1"/>
  <c r="AH48" i="15" s="1"/>
  <c r="AI48" i="15" s="1"/>
  <c r="AJ48" i="15" s="1"/>
  <c r="H55" i="15"/>
  <c r="I55" i="15"/>
  <c r="J45" i="15"/>
  <c r="H42" i="15"/>
  <c r="I32" i="15"/>
  <c r="I20" i="15"/>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AG20" i="15" s="1"/>
  <c r="AH20" i="15" s="1"/>
  <c r="AI20" i="15" s="1"/>
  <c r="AJ20" i="15" s="1"/>
  <c r="H29" i="15"/>
  <c r="I29" i="15"/>
  <c r="J19" i="15"/>
  <c r="I7" i="15"/>
  <c r="J7" i="15" s="1"/>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AG7" i="15" s="1"/>
  <c r="AH7" i="15" s="1"/>
  <c r="AI7" i="15" s="1"/>
  <c r="AJ7" i="15" s="1"/>
  <c r="H16" i="15"/>
  <c r="I16" i="15"/>
  <c r="J6" i="15"/>
  <c r="I10" i="7"/>
  <c r="I9" i="7"/>
  <c r="I8" i="7"/>
  <c r="I7" i="7"/>
  <c r="H13" i="7"/>
  <c r="I6" i="7"/>
  <c r="I10" i="6"/>
  <c r="I9" i="6"/>
  <c r="I8" i="6"/>
  <c r="I7" i="6"/>
  <c r="H13" i="6"/>
  <c r="I6" i="6"/>
  <c r="AM480" i="4"/>
  <c r="AN285" i="4"/>
  <c r="AM478" i="4"/>
  <c r="AN283" i="4"/>
  <c r="AM476" i="4"/>
  <c r="AN281" i="4"/>
  <c r="AM473" i="4"/>
  <c r="AN278" i="4"/>
  <c r="AM472" i="4"/>
  <c r="AN277" i="4"/>
  <c r="AM471" i="4"/>
  <c r="AN276" i="4"/>
  <c r="AM468" i="4"/>
  <c r="AN273" i="4"/>
  <c r="AM467" i="4"/>
  <c r="AN272" i="4"/>
  <c r="AM465" i="4"/>
  <c r="AN270" i="4"/>
  <c r="AM454" i="4"/>
  <c r="AN259" i="4"/>
  <c r="AM453" i="4"/>
  <c r="AN258" i="4"/>
  <c r="T430" i="4"/>
  <c r="U235" i="4"/>
  <c r="J198" i="4"/>
  <c r="K166" i="4"/>
  <c r="J197" i="4"/>
  <c r="K165" i="4"/>
  <c r="J196" i="4"/>
  <c r="K164" i="4"/>
  <c r="J195" i="4"/>
  <c r="K163" i="4"/>
  <c r="J194" i="4"/>
  <c r="K162" i="4"/>
  <c r="J193" i="4"/>
  <c r="K161" i="4"/>
  <c r="J192" i="4"/>
  <c r="K160" i="4"/>
  <c r="J191" i="4"/>
  <c r="K159" i="4"/>
  <c r="J190" i="4"/>
  <c r="K158" i="4"/>
  <c r="J189" i="4"/>
  <c r="K157" i="4"/>
  <c r="J188" i="4"/>
  <c r="K156" i="4"/>
  <c r="I155" i="4"/>
  <c r="I187" i="4" s="1"/>
  <c r="H154" i="4"/>
  <c r="H186" i="4" s="1"/>
  <c r="H153" i="4"/>
  <c r="H185" i="4" s="1"/>
  <c r="H152" i="4"/>
  <c r="H184" i="4" s="1"/>
  <c r="H150" i="4"/>
  <c r="H182" i="4" s="1"/>
  <c r="H149" i="4"/>
  <c r="H181" i="4" s="1"/>
  <c r="H474" i="3"/>
  <c r="H472" i="3"/>
  <c r="G474" i="3"/>
  <c r="G472" i="3" s="1"/>
  <c r="F474" i="3"/>
  <c r="F472" i="3"/>
  <c r="E474" i="3"/>
  <c r="E472" i="3"/>
  <c r="H480" i="4"/>
  <c r="G480" i="4"/>
  <c r="F480" i="4"/>
  <c r="E480" i="4"/>
  <c r="H478" i="4"/>
  <c r="G478" i="4"/>
  <c r="F478" i="4"/>
  <c r="E478" i="4"/>
  <c r="H476" i="4"/>
  <c r="G476" i="4"/>
  <c r="F476" i="4"/>
  <c r="E476" i="4"/>
  <c r="H473" i="4"/>
  <c r="G473" i="4"/>
  <c r="F473" i="4"/>
  <c r="E473" i="4"/>
  <c r="H472" i="4"/>
  <c r="G472" i="4"/>
  <c r="F472" i="4"/>
  <c r="E472" i="4"/>
  <c r="H471" i="4"/>
  <c r="G471" i="4"/>
  <c r="F471" i="4"/>
  <c r="E471" i="4"/>
  <c r="H469" i="4"/>
  <c r="G469" i="4"/>
  <c r="F469" i="4"/>
  <c r="E469" i="4"/>
  <c r="H468" i="4"/>
  <c r="G468" i="4"/>
  <c r="F468" i="4"/>
  <c r="E468" i="4"/>
  <c r="H467" i="4"/>
  <c r="G467" i="4"/>
  <c r="F467" i="4"/>
  <c r="E467" i="4"/>
  <c r="H595" i="3"/>
  <c r="H466" i="4"/>
  <c r="I271" i="4"/>
  <c r="I466" i="4" s="1"/>
  <c r="G595" i="3"/>
  <c r="G466" i="4"/>
  <c r="F595" i="3"/>
  <c r="F466" i="4"/>
  <c r="E595" i="3"/>
  <c r="E466" i="4"/>
  <c r="H465" i="4"/>
  <c r="G465" i="4"/>
  <c r="F465" i="4"/>
  <c r="E465" i="4"/>
  <c r="H463" i="4"/>
  <c r="G463" i="4"/>
  <c r="F463" i="4"/>
  <c r="E463" i="4"/>
  <c r="H461" i="4"/>
  <c r="G461" i="4"/>
  <c r="F461" i="4"/>
  <c r="E461" i="4"/>
  <c r="H459" i="4"/>
  <c r="G459" i="4"/>
  <c r="F459" i="4"/>
  <c r="E459" i="4"/>
  <c r="H457" i="4"/>
  <c r="G457" i="4"/>
  <c r="F457" i="4"/>
  <c r="E457" i="4"/>
  <c r="H456" i="4"/>
  <c r="G456" i="4"/>
  <c r="F456" i="4"/>
  <c r="E456" i="4"/>
  <c r="H455" i="4"/>
  <c r="G455" i="4"/>
  <c r="F455" i="4"/>
  <c r="E455" i="4"/>
  <c r="H454" i="4"/>
  <c r="G454" i="4"/>
  <c r="F454" i="4"/>
  <c r="E454" i="4"/>
  <c r="H453" i="4"/>
  <c r="G453" i="4"/>
  <c r="F453" i="4"/>
  <c r="E453" i="4"/>
  <c r="H451" i="4"/>
  <c r="G451" i="4"/>
  <c r="F451" i="4"/>
  <c r="E451" i="4"/>
  <c r="H450" i="4"/>
  <c r="G450" i="4"/>
  <c r="F450" i="4"/>
  <c r="E450" i="4"/>
  <c r="H448" i="4"/>
  <c r="G448" i="4"/>
  <c r="F448" i="4"/>
  <c r="E448" i="4"/>
  <c r="H447" i="4"/>
  <c r="G447" i="4"/>
  <c r="F447" i="4"/>
  <c r="E447" i="4"/>
  <c r="H446" i="4"/>
  <c r="H287" i="4"/>
  <c r="H337" i="4" s="1"/>
  <c r="G446" i="4"/>
  <c r="G287" i="4"/>
  <c r="G337" i="4" s="1"/>
  <c r="F446" i="4"/>
  <c r="F287" i="4"/>
  <c r="F337" i="4" s="1"/>
  <c r="E446" i="4"/>
  <c r="E287" i="4"/>
  <c r="E337" i="4" s="1"/>
  <c r="H445" i="4"/>
  <c r="G445" i="4"/>
  <c r="F445" i="4"/>
  <c r="E445" i="4"/>
  <c r="H440" i="4"/>
  <c r="H332" i="4"/>
  <c r="P331" i="4"/>
  <c r="G440" i="4"/>
  <c r="G332" i="4"/>
  <c r="F440" i="4"/>
  <c r="F332" i="4"/>
  <c r="E440" i="4"/>
  <c r="E332" i="4"/>
  <c r="H439" i="4"/>
  <c r="H331" i="4"/>
  <c r="P330" i="4"/>
  <c r="G439" i="4"/>
  <c r="G331" i="4"/>
  <c r="F439" i="4"/>
  <c r="F331" i="4"/>
  <c r="E439" i="4"/>
  <c r="E331" i="4"/>
  <c r="H438" i="4"/>
  <c r="H330" i="4"/>
  <c r="P329" i="4"/>
  <c r="G438" i="4"/>
  <c r="G330" i="4"/>
  <c r="F438" i="4"/>
  <c r="F330" i="4"/>
  <c r="E438" i="4"/>
  <c r="E330" i="4"/>
  <c r="H565" i="3"/>
  <c r="I385" i="3"/>
  <c r="J385" i="3" s="1"/>
  <c r="K385" i="3" s="1"/>
  <c r="L385" i="3" s="1"/>
  <c r="M385" i="3" s="1"/>
  <c r="N385" i="3" s="1"/>
  <c r="O385" i="3" s="1"/>
  <c r="P385" i="3" s="1"/>
  <c r="Q385" i="3" s="1"/>
  <c r="R385" i="3" s="1"/>
  <c r="S385" i="3" s="1"/>
  <c r="T385" i="3" s="1"/>
  <c r="U385" i="3" s="1"/>
  <c r="V385" i="3" s="1"/>
  <c r="W385" i="3" s="1"/>
  <c r="X385" i="3" s="1"/>
  <c r="Y385" i="3" s="1"/>
  <c r="Z385" i="3" s="1"/>
  <c r="AA385" i="3" s="1"/>
  <c r="AB385" i="3" s="1"/>
  <c r="AC385" i="3" s="1"/>
  <c r="AD385" i="3" s="1"/>
  <c r="AE385" i="3" s="1"/>
  <c r="AF385" i="3" s="1"/>
  <c r="AG385" i="3" s="1"/>
  <c r="AH385" i="3" s="1"/>
  <c r="AI385" i="3" s="1"/>
  <c r="AJ385" i="3" s="1"/>
  <c r="AK385" i="3" s="1"/>
  <c r="AL385" i="3" s="1"/>
  <c r="AM385" i="3" s="1"/>
  <c r="AN385" i="3" s="1"/>
  <c r="AO385" i="3" s="1"/>
  <c r="AP385" i="3" s="1"/>
  <c r="AQ385" i="3" s="1"/>
  <c r="AR385" i="3" s="1"/>
  <c r="AS385" i="3" s="1"/>
  <c r="AT385" i="3" s="1"/>
  <c r="AU385" i="3" s="1"/>
  <c r="AV385" i="3" s="1"/>
  <c r="AW385" i="3" s="1"/>
  <c r="AX385" i="3" s="1"/>
  <c r="AY385" i="3" s="1"/>
  <c r="AZ385" i="3" s="1"/>
  <c r="BA385" i="3" s="1"/>
  <c r="BB385" i="3" s="1"/>
  <c r="BC385" i="3" s="1"/>
  <c r="BD385" i="3" s="1"/>
  <c r="BE385" i="3" s="1"/>
  <c r="H436" i="4"/>
  <c r="P327" i="4"/>
  <c r="G436" i="4"/>
  <c r="F436" i="4"/>
  <c r="E436" i="4"/>
  <c r="H435" i="4"/>
  <c r="H327" i="4"/>
  <c r="G435" i="4"/>
  <c r="G327" i="4"/>
  <c r="F435" i="4"/>
  <c r="F327" i="4"/>
  <c r="E435" i="4"/>
  <c r="E327" i="4"/>
  <c r="H433" i="4"/>
  <c r="H325" i="4"/>
  <c r="P324" i="4"/>
  <c r="G433" i="4"/>
  <c r="G325" i="4"/>
  <c r="F433" i="4"/>
  <c r="F325" i="4"/>
  <c r="E433" i="4"/>
  <c r="E325" i="4"/>
  <c r="H432" i="4"/>
  <c r="H324" i="4"/>
  <c r="P323" i="4"/>
  <c r="G432" i="4"/>
  <c r="G324" i="4"/>
  <c r="F432" i="4"/>
  <c r="F324" i="4"/>
  <c r="E432" i="4"/>
  <c r="E324" i="4"/>
  <c r="H429" i="4"/>
  <c r="P320" i="4"/>
  <c r="G429" i="4"/>
  <c r="F429" i="4"/>
  <c r="E429" i="4"/>
  <c r="H428" i="4"/>
  <c r="H320" i="4"/>
  <c r="G428" i="4"/>
  <c r="G320" i="4"/>
  <c r="F428" i="4"/>
  <c r="F320" i="4"/>
  <c r="E428" i="4"/>
  <c r="E320" i="4"/>
  <c r="H426" i="4"/>
  <c r="H318" i="4"/>
  <c r="G426" i="4"/>
  <c r="F426" i="4"/>
  <c r="E426" i="4"/>
  <c r="H424" i="4"/>
  <c r="H316" i="4"/>
  <c r="G424" i="4"/>
  <c r="F424" i="4"/>
  <c r="E424" i="4"/>
  <c r="H423" i="4"/>
  <c r="H315" i="4"/>
  <c r="G423" i="4"/>
  <c r="F423" i="4"/>
  <c r="E423" i="4"/>
  <c r="H422" i="4"/>
  <c r="H314" i="4"/>
  <c r="G422" i="4"/>
  <c r="F422" i="4"/>
  <c r="E422" i="4"/>
  <c r="H421" i="4"/>
  <c r="H313" i="4"/>
  <c r="G421" i="4"/>
  <c r="F421" i="4"/>
  <c r="E421" i="4"/>
  <c r="H420" i="4"/>
  <c r="H312" i="4"/>
  <c r="G420" i="4"/>
  <c r="F420" i="4"/>
  <c r="E420" i="4"/>
  <c r="H419" i="4"/>
  <c r="H311" i="4"/>
  <c r="G419" i="4"/>
  <c r="F419" i="4"/>
  <c r="E419" i="4"/>
  <c r="H418" i="4"/>
  <c r="H310" i="4"/>
  <c r="G418" i="4"/>
  <c r="F418" i="4"/>
  <c r="E418" i="4"/>
  <c r="H417" i="4"/>
  <c r="H309" i="4"/>
  <c r="G417" i="4"/>
  <c r="F417" i="4"/>
  <c r="E417" i="4"/>
  <c r="H416" i="4"/>
  <c r="H308" i="4"/>
  <c r="G416" i="4"/>
  <c r="F416" i="4"/>
  <c r="E416" i="4"/>
  <c r="H415" i="4"/>
  <c r="H307" i="4"/>
  <c r="G415" i="4"/>
  <c r="F415" i="4"/>
  <c r="E415" i="4"/>
  <c r="H384" i="4"/>
  <c r="H414" i="4"/>
  <c r="H306" i="4"/>
  <c r="G414" i="4"/>
  <c r="F414" i="4"/>
  <c r="E414" i="4"/>
  <c r="H413" i="4"/>
  <c r="H305" i="4"/>
  <c r="F413" i="4"/>
  <c r="E413" i="4"/>
  <c r="H412" i="4"/>
  <c r="H304" i="4"/>
  <c r="G412" i="4"/>
  <c r="F412" i="4"/>
  <c r="E412" i="4"/>
  <c r="H411" i="4"/>
  <c r="H303" i="4"/>
  <c r="G411" i="4"/>
  <c r="F411" i="4"/>
  <c r="E411" i="4"/>
  <c r="H410" i="4"/>
  <c r="H302" i="4"/>
  <c r="G410" i="4"/>
  <c r="F410" i="4"/>
  <c r="E410" i="4"/>
  <c r="H409" i="4"/>
  <c r="H301" i="4"/>
  <c r="G409" i="4"/>
  <c r="F409" i="4"/>
  <c r="E409" i="4"/>
  <c r="H408" i="4"/>
  <c r="H300" i="4"/>
  <c r="G408" i="4"/>
  <c r="F408" i="4"/>
  <c r="E408" i="4"/>
  <c r="H407" i="4"/>
  <c r="H299" i="4"/>
  <c r="G407" i="4"/>
  <c r="F407" i="4"/>
  <c r="E407" i="4"/>
  <c r="H380" i="4"/>
  <c r="H337" i="3"/>
  <c r="H379" i="4" s="1"/>
  <c r="H406" i="4"/>
  <c r="H298" i="4"/>
  <c r="G337" i="3"/>
  <c r="G406" i="4"/>
  <c r="F337" i="3"/>
  <c r="F406" i="4"/>
  <c r="E337" i="3"/>
  <c r="E406" i="4"/>
  <c r="H405" i="4"/>
  <c r="H333" i="4"/>
  <c r="H297" i="4"/>
  <c r="G405" i="4"/>
  <c r="G333" i="4"/>
  <c r="F405" i="4"/>
  <c r="F333" i="4"/>
  <c r="E405" i="4"/>
  <c r="E333" i="4"/>
  <c r="H404" i="4"/>
  <c r="H296" i="4"/>
  <c r="G404" i="4"/>
  <c r="F404" i="4"/>
  <c r="E404" i="4"/>
  <c r="H403" i="4"/>
  <c r="H295" i="4"/>
  <c r="G403" i="4"/>
  <c r="F403" i="4"/>
  <c r="E403" i="4"/>
  <c r="H377" i="4"/>
  <c r="H570" i="3"/>
  <c r="H401" i="4"/>
  <c r="H293" i="4"/>
  <c r="G401" i="4"/>
  <c r="F570" i="3"/>
  <c r="F401" i="4"/>
  <c r="F246" i="4"/>
  <c r="E570" i="3"/>
  <c r="E401" i="4"/>
  <c r="E246" i="4"/>
  <c r="I200" i="4"/>
  <c r="J168" i="4"/>
  <c r="H70" i="4"/>
  <c r="G70" i="4"/>
  <c r="F70" i="4"/>
  <c r="E70" i="4"/>
  <c r="I167" i="4"/>
  <c r="H284" i="2"/>
  <c r="G362" i="3" l="1"/>
  <c r="G542" i="3" s="1"/>
  <c r="G570" i="3" s="1"/>
  <c r="G218" i="4"/>
  <c r="G291" i="3"/>
  <c r="F279" i="4"/>
  <c r="F474" i="4" s="1"/>
  <c r="F308" i="3"/>
  <c r="F344" i="3"/>
  <c r="F341" i="3" s="1"/>
  <c r="F346" i="3" s="1"/>
  <c r="F422" i="3"/>
  <c r="F603" i="3" s="1"/>
  <c r="E308" i="3"/>
  <c r="E422" i="3"/>
  <c r="E603" i="3" s="1"/>
  <c r="E344" i="3"/>
  <c r="E341" i="3" s="1"/>
  <c r="E346" i="3" s="1"/>
  <c r="E490" i="3" s="1"/>
  <c r="E279" i="4"/>
  <c r="E474" i="4" s="1"/>
  <c r="G344" i="3"/>
  <c r="G341" i="3" s="1"/>
  <c r="G346" i="3" s="1"/>
  <c r="G478" i="3" s="1"/>
  <c r="G308" i="3"/>
  <c r="G422" i="3"/>
  <c r="G603" i="3" s="1"/>
  <c r="G279" i="4"/>
  <c r="G474" i="4" s="1"/>
  <c r="H422" i="3"/>
  <c r="H603" i="3" s="1"/>
  <c r="H308" i="3"/>
  <c r="H344" i="3"/>
  <c r="H279" i="4"/>
  <c r="H474" i="4" s="1"/>
  <c r="O9" i="9"/>
  <c r="K9" i="9"/>
  <c r="O7" i="9"/>
  <c r="K7" i="9"/>
  <c r="AO323" i="2"/>
  <c r="AN335" i="2"/>
  <c r="AO329" i="2"/>
  <c r="AN341" i="2"/>
  <c r="AO326" i="2"/>
  <c r="AN338" i="2"/>
  <c r="AO324" i="2"/>
  <c r="AN336" i="2"/>
  <c r="AO327" i="2"/>
  <c r="AN339" i="2"/>
  <c r="AO330" i="2"/>
  <c r="AN342" i="2"/>
  <c r="AO325" i="2"/>
  <c r="AN337" i="2"/>
  <c r="AO328" i="2"/>
  <c r="AN340" i="2"/>
  <c r="G343" i="2"/>
  <c r="E343" i="2"/>
  <c r="F343" i="2"/>
  <c r="H211" i="2"/>
  <c r="H118" i="2"/>
  <c r="H121" i="2" s="1"/>
  <c r="G120" i="2"/>
  <c r="F211" i="2"/>
  <c r="E120" i="2"/>
  <c r="I120" i="2" s="1"/>
  <c r="E72" i="2"/>
  <c r="E199" i="2" s="1"/>
  <c r="E118" i="2"/>
  <c r="E121" i="2" s="1"/>
  <c r="G118" i="2"/>
  <c r="G72" i="2"/>
  <c r="G199" i="2" s="1"/>
  <c r="H25" i="9"/>
  <c r="F367" i="2"/>
  <c r="G355" i="2"/>
  <c r="E367" i="2"/>
  <c r="H137" i="2"/>
  <c r="H34" i="2"/>
  <c r="G140" i="2"/>
  <c r="F137" i="2"/>
  <c r="F142" i="2"/>
  <c r="E141" i="2"/>
  <c r="H141" i="2"/>
  <c r="E137" i="2"/>
  <c r="E34" i="2"/>
  <c r="F140" i="2"/>
  <c r="G142" i="2"/>
  <c r="H140" i="2"/>
  <c r="F141" i="2"/>
  <c r="H142" i="2"/>
  <c r="E142" i="2"/>
  <c r="G34" i="2"/>
  <c r="G141" i="2"/>
  <c r="F355" i="2"/>
  <c r="G380" i="2"/>
  <c r="G37" i="2"/>
  <c r="H380" i="2"/>
  <c r="G331" i="2"/>
  <c r="G137" i="2"/>
  <c r="I38" i="2"/>
  <c r="E369" i="2"/>
  <c r="E380" i="2"/>
  <c r="H331" i="2"/>
  <c r="F121" i="2"/>
  <c r="F331" i="2"/>
  <c r="F380" i="2"/>
  <c r="E37" i="2"/>
  <c r="E331" i="2"/>
  <c r="H355" i="2"/>
  <c r="F34" i="2"/>
  <c r="I119" i="2"/>
  <c r="I117" i="2"/>
  <c r="I140" i="4"/>
  <c r="J140" i="4" s="1"/>
  <c r="K140" i="4" s="1"/>
  <c r="L140" i="4" s="1"/>
  <c r="M140" i="4" s="1"/>
  <c r="N140" i="4" s="1"/>
  <c r="O140" i="4" s="1"/>
  <c r="P140" i="4" s="1"/>
  <c r="Q140" i="4" s="1"/>
  <c r="R140" i="4" s="1"/>
  <c r="H172" i="4"/>
  <c r="I323" i="4"/>
  <c r="I143" i="4"/>
  <c r="J143" i="4" s="1"/>
  <c r="K143" i="4" s="1"/>
  <c r="L143" i="4" s="1"/>
  <c r="M143" i="4" s="1"/>
  <c r="N143" i="4" s="1"/>
  <c r="O143" i="4" s="1"/>
  <c r="P143" i="4" s="1"/>
  <c r="Q143" i="4" s="1"/>
  <c r="R143" i="4" s="1"/>
  <c r="H175" i="4"/>
  <c r="G171" i="4"/>
  <c r="H139" i="4"/>
  <c r="I331" i="4"/>
  <c r="I325" i="4"/>
  <c r="I330" i="4"/>
  <c r="E482" i="4"/>
  <c r="F482" i="4"/>
  <c r="I324" i="4"/>
  <c r="G482" i="4"/>
  <c r="H482" i="4"/>
  <c r="I332" i="4"/>
  <c r="I199" i="4"/>
  <c r="J167" i="4"/>
  <c r="J200" i="4"/>
  <c r="K168" i="4"/>
  <c r="E289" i="4"/>
  <c r="E294" i="4"/>
  <c r="E317" i="4"/>
  <c r="M321" i="4"/>
  <c r="M322" i="4"/>
  <c r="M325" i="4"/>
  <c r="M328" i="4"/>
  <c r="M331" i="4"/>
  <c r="M330" i="4"/>
  <c r="M329" i="4"/>
  <c r="M327" i="4"/>
  <c r="M324" i="4"/>
  <c r="M323" i="4"/>
  <c r="M320" i="4"/>
  <c r="E318" i="4"/>
  <c r="E316" i="4"/>
  <c r="E315" i="4"/>
  <c r="E314" i="4"/>
  <c r="E313" i="4"/>
  <c r="E312" i="4"/>
  <c r="E311" i="4"/>
  <c r="E310" i="4"/>
  <c r="E309" i="4"/>
  <c r="E308" i="4"/>
  <c r="E307" i="4"/>
  <c r="E306" i="4"/>
  <c r="E305" i="4"/>
  <c r="E304" i="4"/>
  <c r="E303" i="4"/>
  <c r="E302" i="4"/>
  <c r="E301" i="4"/>
  <c r="E300" i="4"/>
  <c r="E299" i="4"/>
  <c r="E298" i="4"/>
  <c r="E297" i="4"/>
  <c r="E296" i="4"/>
  <c r="E295" i="4"/>
  <c r="E293" i="4"/>
  <c r="E478" i="3"/>
  <c r="F294" i="4"/>
  <c r="F317" i="4"/>
  <c r="N321" i="4"/>
  <c r="N322" i="4"/>
  <c r="N325" i="4"/>
  <c r="N328" i="4"/>
  <c r="N331" i="4"/>
  <c r="N330" i="4"/>
  <c r="N329" i="4"/>
  <c r="N327" i="4"/>
  <c r="N324" i="4"/>
  <c r="N323" i="4"/>
  <c r="N320" i="4"/>
  <c r="F318" i="4"/>
  <c r="F316" i="4"/>
  <c r="F315" i="4"/>
  <c r="F314" i="4"/>
  <c r="F313" i="4"/>
  <c r="F312" i="4"/>
  <c r="F311" i="4"/>
  <c r="F310" i="4"/>
  <c r="F309" i="4"/>
  <c r="F308" i="4"/>
  <c r="F307" i="4"/>
  <c r="F306" i="4"/>
  <c r="F305" i="4"/>
  <c r="F304" i="4"/>
  <c r="F303" i="4"/>
  <c r="F302" i="4"/>
  <c r="F301" i="4"/>
  <c r="F300" i="4"/>
  <c r="F299" i="4"/>
  <c r="F298" i="4"/>
  <c r="F297" i="4"/>
  <c r="F296" i="4"/>
  <c r="F295" i="4"/>
  <c r="F293" i="4"/>
  <c r="F490" i="3"/>
  <c r="F478" i="3"/>
  <c r="E441" i="4"/>
  <c r="F441" i="4"/>
  <c r="G441" i="4"/>
  <c r="G485" i="4" s="1"/>
  <c r="G487" i="4" s="1"/>
  <c r="H441" i="4"/>
  <c r="I320" i="4"/>
  <c r="E319" i="4"/>
  <c r="I327" i="4"/>
  <c r="E326" i="4"/>
  <c r="E392" i="4"/>
  <c r="E393" i="4" s="1"/>
  <c r="E374" i="4"/>
  <c r="E336" i="4"/>
  <c r="E341" i="4"/>
  <c r="E344" i="4"/>
  <c r="E352" i="4"/>
  <c r="E354" i="4"/>
  <c r="E356" i="4"/>
  <c r="E362" i="4"/>
  <c r="E367" i="4"/>
  <c r="E369" i="4"/>
  <c r="E371" i="4"/>
  <c r="E373" i="4"/>
  <c r="E372" i="4"/>
  <c r="E370" i="4"/>
  <c r="E368" i="4"/>
  <c r="E365" i="4"/>
  <c r="E364" i="4"/>
  <c r="E363" i="4"/>
  <c r="E361" i="4"/>
  <c r="E360" i="4"/>
  <c r="E359" i="4"/>
  <c r="E358" i="4"/>
  <c r="E357" i="4"/>
  <c r="E355" i="4"/>
  <c r="E353" i="4"/>
  <c r="E351" i="4"/>
  <c r="E349" i="4"/>
  <c r="E348" i="4"/>
  <c r="E347" i="4"/>
  <c r="E346" i="4"/>
  <c r="E345" i="4"/>
  <c r="E343" i="4"/>
  <c r="E342" i="4"/>
  <c r="E340" i="4"/>
  <c r="E339" i="4"/>
  <c r="E338" i="4"/>
  <c r="F392" i="4"/>
  <c r="F393" i="4" s="1"/>
  <c r="F374" i="4"/>
  <c r="F336" i="4"/>
  <c r="F341" i="4"/>
  <c r="F344" i="4"/>
  <c r="F352" i="4"/>
  <c r="F354" i="4"/>
  <c r="F356" i="4"/>
  <c r="F362" i="4"/>
  <c r="F367" i="4"/>
  <c r="F369" i="4"/>
  <c r="F371" i="4"/>
  <c r="F373" i="4"/>
  <c r="F372" i="4"/>
  <c r="F370" i="4"/>
  <c r="F368" i="4"/>
  <c r="F365" i="4"/>
  <c r="F364" i="4"/>
  <c r="F363" i="4"/>
  <c r="F361" i="4"/>
  <c r="F360" i="4"/>
  <c r="F359" i="4"/>
  <c r="F358" i="4"/>
  <c r="F357" i="4"/>
  <c r="F355" i="4"/>
  <c r="F353" i="4"/>
  <c r="F351" i="4"/>
  <c r="F349" i="4"/>
  <c r="F348" i="4"/>
  <c r="F347" i="4"/>
  <c r="F346" i="4"/>
  <c r="F345" i="4"/>
  <c r="F343" i="4"/>
  <c r="F342" i="4"/>
  <c r="F340" i="4"/>
  <c r="F339" i="4"/>
  <c r="F338" i="4"/>
  <c r="G392" i="4"/>
  <c r="G393" i="4" s="1"/>
  <c r="G374" i="4"/>
  <c r="G336" i="4"/>
  <c r="G341" i="4"/>
  <c r="G344" i="4"/>
  <c r="G352" i="4"/>
  <c r="G354" i="4"/>
  <c r="G356" i="4"/>
  <c r="G362" i="4"/>
  <c r="G367" i="4"/>
  <c r="G369" i="4"/>
  <c r="G371" i="4"/>
  <c r="G373" i="4"/>
  <c r="G372" i="4"/>
  <c r="G370" i="4"/>
  <c r="G368" i="4"/>
  <c r="G366" i="4"/>
  <c r="G365" i="4"/>
  <c r="G364" i="4"/>
  <c r="G363" i="4"/>
  <c r="G361" i="4"/>
  <c r="G360" i="4"/>
  <c r="G359" i="4"/>
  <c r="G358" i="4"/>
  <c r="G357" i="4"/>
  <c r="G355" i="4"/>
  <c r="G353" i="4"/>
  <c r="G351" i="4"/>
  <c r="G349" i="4"/>
  <c r="G348" i="4"/>
  <c r="G347" i="4"/>
  <c r="G346" i="4"/>
  <c r="G345" i="4"/>
  <c r="G343" i="4"/>
  <c r="G342" i="4"/>
  <c r="G340" i="4"/>
  <c r="G339" i="4"/>
  <c r="G338" i="4"/>
  <c r="H392" i="4"/>
  <c r="H393" i="4" s="1"/>
  <c r="H374" i="4"/>
  <c r="H336" i="4"/>
  <c r="H341" i="4"/>
  <c r="H344" i="4"/>
  <c r="H352" i="4"/>
  <c r="H354" i="4"/>
  <c r="H356" i="4"/>
  <c r="H362" i="4"/>
  <c r="H367" i="4"/>
  <c r="H369" i="4"/>
  <c r="H371" i="4"/>
  <c r="H373" i="4"/>
  <c r="H372" i="4"/>
  <c r="H370" i="4"/>
  <c r="H368" i="4"/>
  <c r="H366" i="4"/>
  <c r="H365" i="4"/>
  <c r="H364" i="4"/>
  <c r="H363" i="4"/>
  <c r="H361" i="4"/>
  <c r="H360" i="4"/>
  <c r="H359" i="4"/>
  <c r="H358" i="4"/>
  <c r="H357" i="4"/>
  <c r="H355" i="4"/>
  <c r="H353" i="4"/>
  <c r="H351" i="4"/>
  <c r="H349" i="4"/>
  <c r="H348" i="4"/>
  <c r="H347" i="4"/>
  <c r="H346" i="4"/>
  <c r="H345" i="4"/>
  <c r="H343" i="4"/>
  <c r="H342" i="4"/>
  <c r="H340" i="4"/>
  <c r="H339" i="4"/>
  <c r="H338" i="4"/>
  <c r="I482" i="4"/>
  <c r="I287" i="4"/>
  <c r="J271" i="4"/>
  <c r="I264" i="4"/>
  <c r="I142" i="4"/>
  <c r="I174" i="4" s="1"/>
  <c r="I176" i="4"/>
  <c r="I177" i="4"/>
  <c r="I146" i="4"/>
  <c r="I178" i="4" s="1"/>
  <c r="I147" i="4"/>
  <c r="I179" i="4" s="1"/>
  <c r="I149" i="4"/>
  <c r="I181" i="4" s="1"/>
  <c r="I150" i="4"/>
  <c r="I182" i="4" s="1"/>
  <c r="I152" i="4"/>
  <c r="I184" i="4" s="1"/>
  <c r="I153" i="4"/>
  <c r="I185" i="4" s="1"/>
  <c r="I154" i="4"/>
  <c r="I186" i="4" s="1"/>
  <c r="J155" i="4"/>
  <c r="J187" i="4" s="1"/>
  <c r="K188" i="4"/>
  <c r="L156" i="4"/>
  <c r="K189" i="4"/>
  <c r="L157" i="4"/>
  <c r="K190" i="4"/>
  <c r="L158" i="4"/>
  <c r="K191" i="4"/>
  <c r="L159" i="4"/>
  <c r="K192" i="4"/>
  <c r="L160" i="4"/>
  <c r="K193" i="4"/>
  <c r="L161" i="4"/>
  <c r="K194" i="4"/>
  <c r="L162" i="4"/>
  <c r="K195" i="4"/>
  <c r="L163" i="4"/>
  <c r="K196" i="4"/>
  <c r="L164" i="4"/>
  <c r="K197" i="4"/>
  <c r="L165" i="4"/>
  <c r="K198" i="4"/>
  <c r="L166" i="4"/>
  <c r="U430" i="4"/>
  <c r="V235" i="4"/>
  <c r="AN453" i="4"/>
  <c r="AO258" i="4"/>
  <c r="AN454" i="4"/>
  <c r="AO259" i="4"/>
  <c r="AN465" i="4"/>
  <c r="AO270" i="4"/>
  <c r="AN467" i="4"/>
  <c r="AO272" i="4"/>
  <c r="AN468" i="4"/>
  <c r="AO273" i="4"/>
  <c r="AN471" i="4"/>
  <c r="AO276" i="4"/>
  <c r="AN472" i="4"/>
  <c r="AO277" i="4"/>
  <c r="AN473" i="4"/>
  <c r="AO278" i="4"/>
  <c r="AN476" i="4"/>
  <c r="AO281" i="4"/>
  <c r="AN478" i="4"/>
  <c r="AO283" i="4"/>
  <c r="AN480" i="4"/>
  <c r="AO285" i="4"/>
  <c r="I13" i="6"/>
  <c r="J6" i="6"/>
  <c r="J7" i="6"/>
  <c r="J8" i="6"/>
  <c r="J9" i="6"/>
  <c r="J10" i="6"/>
  <c r="I13" i="7"/>
  <c r="J6" i="7"/>
  <c r="J7" i="7"/>
  <c r="J8" i="7"/>
  <c r="J9" i="7"/>
  <c r="J10" i="7"/>
  <c r="J16" i="15"/>
  <c r="K6" i="15"/>
  <c r="J29" i="15"/>
  <c r="K19" i="15"/>
  <c r="I42" i="15"/>
  <c r="J32" i="15"/>
  <c r="J55" i="15"/>
  <c r="K45" i="15"/>
  <c r="J68" i="15"/>
  <c r="K58" i="15"/>
  <c r="I73" i="15"/>
  <c r="J71" i="15"/>
  <c r="I78" i="15"/>
  <c r="J76" i="15"/>
  <c r="J107" i="15"/>
  <c r="K97" i="15"/>
  <c r="E406" i="3" l="1"/>
  <c r="E587" i="3" s="1"/>
  <c r="E263" i="4"/>
  <c r="E332" i="3"/>
  <c r="E475" i="3" s="1"/>
  <c r="G263" i="4"/>
  <c r="G332" i="3"/>
  <c r="G475" i="3" s="1"/>
  <c r="G406" i="3"/>
  <c r="G587" i="3" s="1"/>
  <c r="G490" i="3"/>
  <c r="F406" i="3"/>
  <c r="F587" i="3" s="1"/>
  <c r="F332" i="3"/>
  <c r="F475" i="3" s="1"/>
  <c r="F263" i="4"/>
  <c r="I175" i="4"/>
  <c r="E366" i="4"/>
  <c r="H386" i="4"/>
  <c r="H341" i="3"/>
  <c r="G246" i="4"/>
  <c r="G413" i="4"/>
  <c r="F366" i="4"/>
  <c r="H263" i="4"/>
  <c r="H406" i="3"/>
  <c r="H587" i="3" s="1"/>
  <c r="H332" i="3"/>
  <c r="H475" i="3" s="1"/>
  <c r="AP330" i="2"/>
  <c r="AO342" i="2"/>
  <c r="AP326" i="2"/>
  <c r="AO338" i="2"/>
  <c r="AP328" i="2"/>
  <c r="AO340" i="2"/>
  <c r="AP329" i="2"/>
  <c r="AO341" i="2"/>
  <c r="AN343" i="2"/>
  <c r="AP327" i="2"/>
  <c r="AO339" i="2"/>
  <c r="AP324" i="2"/>
  <c r="AO336" i="2"/>
  <c r="AP325" i="2"/>
  <c r="AO337" i="2"/>
  <c r="AP323" i="2"/>
  <c r="AO335" i="2"/>
  <c r="I118" i="2"/>
  <c r="E211" i="2"/>
  <c r="G121" i="2"/>
  <c r="G211" i="2"/>
  <c r="I172" i="4"/>
  <c r="I141" i="2"/>
  <c r="I140" i="2"/>
  <c r="I137" i="2"/>
  <c r="I142" i="2"/>
  <c r="I37" i="2"/>
  <c r="I121" i="2"/>
  <c r="I139" i="4"/>
  <c r="H171" i="4"/>
  <c r="E485" i="4"/>
  <c r="E487" i="4" s="1"/>
  <c r="H394" i="4"/>
  <c r="H396" i="4" s="1"/>
  <c r="H485" i="4"/>
  <c r="H487" i="4" s="1"/>
  <c r="F485" i="4"/>
  <c r="F487" i="4" s="1"/>
  <c r="K107" i="15"/>
  <c r="L97" i="15"/>
  <c r="J78" i="15"/>
  <c r="K76" i="15"/>
  <c r="J73" i="15"/>
  <c r="K71" i="15"/>
  <c r="K68" i="15"/>
  <c r="L58" i="15"/>
  <c r="K55" i="15"/>
  <c r="L45" i="15"/>
  <c r="J42" i="15"/>
  <c r="K32" i="15"/>
  <c r="K29" i="15"/>
  <c r="L19" i="15"/>
  <c r="K16" i="15"/>
  <c r="L6" i="15"/>
  <c r="K10" i="7"/>
  <c r="K9" i="7"/>
  <c r="K8" i="7"/>
  <c r="K7" i="7"/>
  <c r="J13" i="7"/>
  <c r="K6" i="7"/>
  <c r="K10" i="6"/>
  <c r="K9" i="6"/>
  <c r="K8" i="6"/>
  <c r="K7" i="6"/>
  <c r="J13" i="6"/>
  <c r="K6" i="6"/>
  <c r="AO480" i="4"/>
  <c r="AP285" i="4"/>
  <c r="AO478" i="4"/>
  <c r="AP283" i="4"/>
  <c r="AO476" i="4"/>
  <c r="AP281" i="4"/>
  <c r="AO473" i="4"/>
  <c r="AP278" i="4"/>
  <c r="AO472" i="4"/>
  <c r="AP277" i="4"/>
  <c r="AO471" i="4"/>
  <c r="AP276" i="4"/>
  <c r="AO468" i="4"/>
  <c r="AP273" i="4"/>
  <c r="AO467" i="4"/>
  <c r="AP272" i="4"/>
  <c r="AO465" i="4"/>
  <c r="AP270" i="4"/>
  <c r="AO454" i="4"/>
  <c r="AP259" i="4"/>
  <c r="AO453" i="4"/>
  <c r="AP258" i="4"/>
  <c r="V430" i="4"/>
  <c r="W235" i="4"/>
  <c r="L198" i="4"/>
  <c r="M166" i="4"/>
  <c r="L197" i="4"/>
  <c r="M165" i="4"/>
  <c r="L196" i="4"/>
  <c r="M164" i="4"/>
  <c r="L195" i="4"/>
  <c r="M163" i="4"/>
  <c r="L194" i="4"/>
  <c r="M162" i="4"/>
  <c r="L193" i="4"/>
  <c r="M161" i="4"/>
  <c r="L192" i="4"/>
  <c r="M160" i="4"/>
  <c r="L191" i="4"/>
  <c r="M159" i="4"/>
  <c r="L190" i="4"/>
  <c r="M158" i="4"/>
  <c r="L189" i="4"/>
  <c r="M157" i="4"/>
  <c r="L188" i="4"/>
  <c r="M156" i="4"/>
  <c r="K155" i="4"/>
  <c r="K187" i="4" s="1"/>
  <c r="J154" i="4"/>
  <c r="J186" i="4" s="1"/>
  <c r="J153" i="4"/>
  <c r="J185" i="4" s="1"/>
  <c r="J152" i="4"/>
  <c r="J184" i="4" s="1"/>
  <c r="I242" i="4"/>
  <c r="I437" i="4" s="1"/>
  <c r="I241" i="4"/>
  <c r="I436" i="4" s="1"/>
  <c r="J150" i="4"/>
  <c r="J182" i="4" s="1"/>
  <c r="J149" i="4"/>
  <c r="J181" i="4" s="1"/>
  <c r="J147" i="4"/>
  <c r="J179" i="4" s="1"/>
  <c r="J146" i="4"/>
  <c r="J178" i="4" s="1"/>
  <c r="I236" i="4"/>
  <c r="J177" i="4"/>
  <c r="I235" i="4"/>
  <c r="I430" i="4" s="1"/>
  <c r="J176" i="4"/>
  <c r="I234" i="4"/>
  <c r="I429" i="4" s="1"/>
  <c r="J175" i="4"/>
  <c r="J142" i="4"/>
  <c r="J174" i="4" s="1"/>
  <c r="J172" i="4"/>
  <c r="J466" i="4"/>
  <c r="J482" i="4" s="1"/>
  <c r="J287" i="4"/>
  <c r="K271" i="4"/>
  <c r="J264" i="4"/>
  <c r="I518" i="3"/>
  <c r="H395" i="4"/>
  <c r="G482" i="3"/>
  <c r="G479" i="3"/>
  <c r="G484" i="3" s="1"/>
  <c r="F482" i="3"/>
  <c r="F479" i="3"/>
  <c r="F484" i="3" s="1"/>
  <c r="E482" i="3"/>
  <c r="E479" i="3"/>
  <c r="K200" i="4"/>
  <c r="L168" i="4"/>
  <c r="J199" i="4"/>
  <c r="K167" i="4"/>
  <c r="H383" i="4" l="1"/>
  <c r="H346" i="3"/>
  <c r="H458" i="4"/>
  <c r="H350" i="4"/>
  <c r="O328" i="4"/>
  <c r="Q328" i="4" s="1"/>
  <c r="G305" i="4"/>
  <c r="I305" i="4" s="1"/>
  <c r="O321" i="4"/>
  <c r="Q321" i="4" s="1"/>
  <c r="G306" i="4"/>
  <c r="I306" i="4" s="1"/>
  <c r="O331" i="4"/>
  <c r="Q331" i="4" s="1"/>
  <c r="G304" i="4"/>
  <c r="I304" i="4" s="1"/>
  <c r="G310" i="4"/>
  <c r="I310" i="4" s="1"/>
  <c r="G308" i="4"/>
  <c r="I308" i="4" s="1"/>
  <c r="O330" i="4"/>
  <c r="Q330" i="4" s="1"/>
  <c r="G303" i="4"/>
  <c r="I303" i="4" s="1"/>
  <c r="G307" i="4"/>
  <c r="I307" i="4" s="1"/>
  <c r="O329" i="4"/>
  <c r="Q329" i="4" s="1"/>
  <c r="G302" i="4"/>
  <c r="I302" i="4" s="1"/>
  <c r="G309" i="4"/>
  <c r="I309" i="4" s="1"/>
  <c r="O327" i="4"/>
  <c r="Q327" i="4" s="1"/>
  <c r="G301" i="4"/>
  <c r="I301" i="4" s="1"/>
  <c r="G296" i="4"/>
  <c r="I296" i="4" s="1"/>
  <c r="G311" i="4"/>
  <c r="I311" i="4" s="1"/>
  <c r="O325" i="4"/>
  <c r="Q325" i="4" s="1"/>
  <c r="O324" i="4"/>
  <c r="Q324" i="4" s="1"/>
  <c r="G300" i="4"/>
  <c r="I300" i="4" s="1"/>
  <c r="G317" i="4"/>
  <c r="I317" i="4" s="1"/>
  <c r="O323" i="4"/>
  <c r="Q323" i="4" s="1"/>
  <c r="G299" i="4"/>
  <c r="I299" i="4" s="1"/>
  <c r="G313" i="4"/>
  <c r="I313" i="4" s="1"/>
  <c r="G294" i="4"/>
  <c r="I294" i="4" s="1"/>
  <c r="O320" i="4"/>
  <c r="Q320" i="4" s="1"/>
  <c r="G298" i="4"/>
  <c r="I298" i="4" s="1"/>
  <c r="G316" i="4"/>
  <c r="I316" i="4" s="1"/>
  <c r="G318" i="4"/>
  <c r="I318" i="4" s="1"/>
  <c r="G297" i="4"/>
  <c r="I297" i="4" s="1"/>
  <c r="G312" i="4"/>
  <c r="I312" i="4" s="1"/>
  <c r="G315" i="4"/>
  <c r="I315" i="4" s="1"/>
  <c r="G295" i="4"/>
  <c r="I295" i="4" s="1"/>
  <c r="G314" i="4"/>
  <c r="I314" i="4" s="1"/>
  <c r="G293" i="4"/>
  <c r="I293" i="4" s="1"/>
  <c r="O322" i="4"/>
  <c r="Q322" i="4" s="1"/>
  <c r="G458" i="4"/>
  <c r="G350" i="4"/>
  <c r="F458" i="4"/>
  <c r="F350" i="4"/>
  <c r="E458" i="4"/>
  <c r="E350" i="4"/>
  <c r="E484" i="3"/>
  <c r="E485" i="3" s="1"/>
  <c r="E518" i="3" s="1"/>
  <c r="AQ324" i="2"/>
  <c r="AP336" i="2"/>
  <c r="AQ327" i="2"/>
  <c r="AP339" i="2"/>
  <c r="AO343" i="2"/>
  <c r="AQ328" i="2"/>
  <c r="AP340" i="2"/>
  <c r="AQ329" i="2"/>
  <c r="AP341" i="2"/>
  <c r="AQ323" i="2"/>
  <c r="AP335" i="2"/>
  <c r="AQ326" i="2"/>
  <c r="AP338" i="2"/>
  <c r="AQ325" i="2"/>
  <c r="AP337" i="2"/>
  <c r="AQ330" i="2"/>
  <c r="AP342" i="2"/>
  <c r="F32" i="9"/>
  <c r="I220" i="2"/>
  <c r="I223" i="2"/>
  <c r="I226" i="2"/>
  <c r="I224" i="2"/>
  <c r="H228" i="2"/>
  <c r="F228" i="2"/>
  <c r="J139" i="4"/>
  <c r="I171" i="4"/>
  <c r="I392" i="4"/>
  <c r="I421" i="4" s="1"/>
  <c r="K199" i="4"/>
  <c r="L167" i="4"/>
  <c r="L200" i="4"/>
  <c r="M168" i="4"/>
  <c r="R319" i="4"/>
  <c r="F485" i="3"/>
  <c r="F518" i="3" s="1"/>
  <c r="G485" i="3"/>
  <c r="G518" i="3" s="1"/>
  <c r="K466" i="4"/>
  <c r="K482" i="4" s="1"/>
  <c r="K287" i="4"/>
  <c r="L271" i="4"/>
  <c r="K264" i="4"/>
  <c r="J518" i="3"/>
  <c r="K172" i="4"/>
  <c r="K142" i="4"/>
  <c r="K174" i="4" s="1"/>
  <c r="J234" i="4"/>
  <c r="K175" i="4"/>
  <c r="J235" i="4"/>
  <c r="J430" i="4" s="1"/>
  <c r="K176" i="4"/>
  <c r="J236" i="4"/>
  <c r="K146" i="4"/>
  <c r="K178" i="4" s="1"/>
  <c r="K147" i="4"/>
  <c r="K179" i="4" s="1"/>
  <c r="K149" i="4"/>
  <c r="K181" i="4" s="1"/>
  <c r="J241" i="4"/>
  <c r="J436" i="4" s="1"/>
  <c r="K150" i="4"/>
  <c r="K182" i="4" s="1"/>
  <c r="J242" i="4"/>
  <c r="J437" i="4" s="1"/>
  <c r="K152" i="4"/>
  <c r="K184" i="4" s="1"/>
  <c r="K153" i="4"/>
  <c r="K185" i="4" s="1"/>
  <c r="K154" i="4"/>
  <c r="K186" i="4" s="1"/>
  <c r="L155" i="4"/>
  <c r="L187" i="4" s="1"/>
  <c r="M188" i="4"/>
  <c r="N156" i="4"/>
  <c r="M189" i="4"/>
  <c r="N157" i="4"/>
  <c r="M190" i="4"/>
  <c r="N158" i="4"/>
  <c r="M191" i="4"/>
  <c r="N159" i="4"/>
  <c r="M192" i="4"/>
  <c r="N160" i="4"/>
  <c r="M193" i="4"/>
  <c r="N161" i="4"/>
  <c r="M194" i="4"/>
  <c r="N162" i="4"/>
  <c r="M195" i="4"/>
  <c r="N163" i="4"/>
  <c r="M196" i="4"/>
  <c r="N164" i="4"/>
  <c r="M197" i="4"/>
  <c r="N165" i="4"/>
  <c r="M198" i="4"/>
  <c r="N166" i="4"/>
  <c r="W430" i="4"/>
  <c r="X235" i="4"/>
  <c r="AP453" i="4"/>
  <c r="AQ258" i="4"/>
  <c r="AP454" i="4"/>
  <c r="AQ259" i="4"/>
  <c r="AP465" i="4"/>
  <c r="AQ270" i="4"/>
  <c r="AP467" i="4"/>
  <c r="AQ272" i="4"/>
  <c r="AP468" i="4"/>
  <c r="AQ273" i="4"/>
  <c r="AP471" i="4"/>
  <c r="AQ276" i="4"/>
  <c r="AP472" i="4"/>
  <c r="AQ277" i="4"/>
  <c r="AP473" i="4"/>
  <c r="AQ278" i="4"/>
  <c r="AP476" i="4"/>
  <c r="AQ281" i="4"/>
  <c r="AP478" i="4"/>
  <c r="AQ283" i="4"/>
  <c r="AP480" i="4"/>
  <c r="AQ285" i="4"/>
  <c r="K13" i="6"/>
  <c r="L6" i="6"/>
  <c r="L7" i="6"/>
  <c r="L8" i="6"/>
  <c r="L9" i="6"/>
  <c r="L10" i="6"/>
  <c r="K13" i="7"/>
  <c r="L6" i="7"/>
  <c r="L7" i="7"/>
  <c r="L8" i="7"/>
  <c r="L9" i="7"/>
  <c r="L10" i="7"/>
  <c r="L16" i="15"/>
  <c r="M6" i="15"/>
  <c r="L29" i="15"/>
  <c r="M19" i="15"/>
  <c r="K42" i="15"/>
  <c r="L32" i="15"/>
  <c r="L55" i="15"/>
  <c r="M45" i="15"/>
  <c r="L68" i="15"/>
  <c r="M58" i="15"/>
  <c r="K73" i="15"/>
  <c r="L71" i="15"/>
  <c r="K78" i="15"/>
  <c r="L76" i="15"/>
  <c r="L107" i="15"/>
  <c r="M97" i="15"/>
  <c r="H478" i="3" l="1"/>
  <c r="H490" i="3"/>
  <c r="H388" i="4"/>
  <c r="AP343" i="2"/>
  <c r="AR323" i="2"/>
  <c r="AQ335" i="2"/>
  <c r="AR329" i="2"/>
  <c r="AQ341" i="2"/>
  <c r="AR330" i="2"/>
  <c r="AQ342" i="2"/>
  <c r="AR327" i="2"/>
  <c r="AQ339" i="2"/>
  <c r="AR326" i="2"/>
  <c r="AQ338" i="2"/>
  <c r="AR328" i="2"/>
  <c r="AQ340" i="2"/>
  <c r="AR325" i="2"/>
  <c r="AQ337" i="2"/>
  <c r="I225" i="2"/>
  <c r="AR324" i="2"/>
  <c r="AQ336" i="2"/>
  <c r="I221" i="2"/>
  <c r="I218" i="2"/>
  <c r="I219" i="2"/>
  <c r="I216" i="2"/>
  <c r="I227" i="2"/>
  <c r="E228" i="2"/>
  <c r="F34" i="9"/>
  <c r="I217" i="2"/>
  <c r="I222" i="2"/>
  <c r="G228" i="2"/>
  <c r="K139" i="4"/>
  <c r="J171" i="4"/>
  <c r="I403" i="4"/>
  <c r="I404" i="4"/>
  <c r="I412" i="4"/>
  <c r="I415" i="4"/>
  <c r="I426" i="4"/>
  <c r="I416" i="4"/>
  <c r="I418" i="4"/>
  <c r="I423" i="4"/>
  <c r="I420" i="4"/>
  <c r="M107" i="15"/>
  <c r="N97" i="15"/>
  <c r="L78" i="15"/>
  <c r="M76" i="15"/>
  <c r="L73" i="15"/>
  <c r="M71" i="15"/>
  <c r="M68" i="15"/>
  <c r="N58" i="15"/>
  <c r="M55" i="15"/>
  <c r="N45" i="15"/>
  <c r="L42" i="15"/>
  <c r="M32" i="15"/>
  <c r="M29" i="15"/>
  <c r="N19" i="15"/>
  <c r="M16" i="15"/>
  <c r="N6" i="15"/>
  <c r="M10" i="7"/>
  <c r="M9" i="7"/>
  <c r="M8" i="7"/>
  <c r="M7" i="7"/>
  <c r="L13" i="7"/>
  <c r="M6" i="7"/>
  <c r="M10" i="6"/>
  <c r="M9" i="6"/>
  <c r="M8" i="6"/>
  <c r="M7" i="6"/>
  <c r="L13" i="6"/>
  <c r="M6" i="6"/>
  <c r="AQ480" i="4"/>
  <c r="AR285" i="4"/>
  <c r="AQ478" i="4"/>
  <c r="AR283" i="4"/>
  <c r="AQ476" i="4"/>
  <c r="AR281" i="4"/>
  <c r="AQ473" i="4"/>
  <c r="AR278" i="4"/>
  <c r="AQ472" i="4"/>
  <c r="AR277" i="4"/>
  <c r="AQ471" i="4"/>
  <c r="AR276" i="4"/>
  <c r="AQ468" i="4"/>
  <c r="AR273" i="4"/>
  <c r="AQ467" i="4"/>
  <c r="AR272" i="4"/>
  <c r="AQ465" i="4"/>
  <c r="AR270" i="4"/>
  <c r="AQ454" i="4"/>
  <c r="AR259" i="4"/>
  <c r="AQ453" i="4"/>
  <c r="AR258" i="4"/>
  <c r="X430" i="4"/>
  <c r="Y235" i="4"/>
  <c r="N198" i="4"/>
  <c r="O166" i="4"/>
  <c r="N197" i="4"/>
  <c r="O165" i="4"/>
  <c r="N196" i="4"/>
  <c r="O164" i="4"/>
  <c r="N195" i="4"/>
  <c r="O163" i="4"/>
  <c r="N194" i="4"/>
  <c r="O162" i="4"/>
  <c r="N193" i="4"/>
  <c r="O161" i="4"/>
  <c r="N192" i="4"/>
  <c r="O160" i="4"/>
  <c r="N191" i="4"/>
  <c r="O159" i="4"/>
  <c r="N190" i="4"/>
  <c r="O158" i="4"/>
  <c r="N189" i="4"/>
  <c r="O157" i="4"/>
  <c r="N188" i="4"/>
  <c r="O156" i="4"/>
  <c r="M155" i="4"/>
  <c r="M187" i="4" s="1"/>
  <c r="L154" i="4"/>
  <c r="L186" i="4" s="1"/>
  <c r="L153" i="4"/>
  <c r="L185" i="4" s="1"/>
  <c r="L152" i="4"/>
  <c r="L184" i="4" s="1"/>
  <c r="K242" i="4"/>
  <c r="K437" i="4" s="1"/>
  <c r="K241" i="4"/>
  <c r="K436" i="4" s="1"/>
  <c r="L150" i="4"/>
  <c r="L182" i="4" s="1"/>
  <c r="L149" i="4"/>
  <c r="L181" i="4" s="1"/>
  <c r="L147" i="4"/>
  <c r="L179" i="4" s="1"/>
  <c r="L146" i="4"/>
  <c r="L178" i="4" s="1"/>
  <c r="K236" i="4"/>
  <c r="L177" i="4"/>
  <c r="K235" i="4"/>
  <c r="K430" i="4" s="1"/>
  <c r="L176" i="4"/>
  <c r="K234" i="4"/>
  <c r="K429" i="4" s="1"/>
  <c r="L175" i="4"/>
  <c r="J429" i="4"/>
  <c r="J392" i="4"/>
  <c r="L142" i="4"/>
  <c r="L174" i="4" s="1"/>
  <c r="L172" i="4"/>
  <c r="L466" i="4"/>
  <c r="L482" i="4" s="1"/>
  <c r="L287" i="4"/>
  <c r="M271" i="4"/>
  <c r="L264" i="4"/>
  <c r="K518" i="3"/>
  <c r="M200" i="4"/>
  <c r="N168" i="4"/>
  <c r="L199" i="4"/>
  <c r="M167" i="4"/>
  <c r="H482" i="3" l="1"/>
  <c r="H479" i="3"/>
  <c r="I228" i="2"/>
  <c r="AS326" i="2"/>
  <c r="AR338" i="2"/>
  <c r="AS328" i="2"/>
  <c r="AR340" i="2"/>
  <c r="AS327" i="2"/>
  <c r="AR339" i="2"/>
  <c r="AS324" i="2"/>
  <c r="AR336" i="2"/>
  <c r="AS329" i="2"/>
  <c r="AR341" i="2"/>
  <c r="AQ343" i="2"/>
  <c r="AS330" i="2"/>
  <c r="AR342" i="2"/>
  <c r="AS325" i="2"/>
  <c r="AR337" i="2"/>
  <c r="AS323" i="2"/>
  <c r="AR335" i="2"/>
  <c r="F35" i="9"/>
  <c r="L139" i="4"/>
  <c r="K171" i="4"/>
  <c r="I393" i="4"/>
  <c r="I394" i="4" s="1"/>
  <c r="I395" i="4" s="1"/>
  <c r="I428" i="4" s="1"/>
  <c r="K392" i="4"/>
  <c r="K426" i="4" s="1"/>
  <c r="M199" i="4"/>
  <c r="N167" i="4"/>
  <c r="N200" i="4"/>
  <c r="O168" i="4"/>
  <c r="M466" i="4"/>
  <c r="M482" i="4" s="1"/>
  <c r="M287" i="4"/>
  <c r="N271" i="4"/>
  <c r="M264" i="4"/>
  <c r="L518" i="3"/>
  <c r="M172" i="4"/>
  <c r="M142" i="4"/>
  <c r="M174" i="4" s="1"/>
  <c r="J426" i="4"/>
  <c r="J423" i="4"/>
  <c r="J421" i="4"/>
  <c r="J420" i="4"/>
  <c r="J418" i="4"/>
  <c r="J416" i="4"/>
  <c r="J415" i="4"/>
  <c r="J412" i="4"/>
  <c r="J404" i="4"/>
  <c r="J403" i="4"/>
  <c r="L234" i="4"/>
  <c r="M175" i="4"/>
  <c r="L235" i="4"/>
  <c r="L430" i="4" s="1"/>
  <c r="M176" i="4"/>
  <c r="L236" i="4"/>
  <c r="M177" i="4"/>
  <c r="M146" i="4"/>
  <c r="M178" i="4" s="1"/>
  <c r="M147" i="4"/>
  <c r="M179" i="4" s="1"/>
  <c r="M149" i="4"/>
  <c r="M181" i="4" s="1"/>
  <c r="L241" i="4"/>
  <c r="L436" i="4" s="1"/>
  <c r="M150" i="4"/>
  <c r="M182" i="4" s="1"/>
  <c r="L242" i="4"/>
  <c r="L437" i="4" s="1"/>
  <c r="M152" i="4"/>
  <c r="M184" i="4" s="1"/>
  <c r="M153" i="4"/>
  <c r="M185" i="4" s="1"/>
  <c r="M154" i="4"/>
  <c r="M186" i="4" s="1"/>
  <c r="N155" i="4"/>
  <c r="N187" i="4" s="1"/>
  <c r="O188" i="4"/>
  <c r="P156" i="4"/>
  <c r="O189" i="4"/>
  <c r="P157" i="4"/>
  <c r="O190" i="4"/>
  <c r="P158" i="4"/>
  <c r="O191" i="4"/>
  <c r="P159" i="4"/>
  <c r="O192" i="4"/>
  <c r="P160" i="4"/>
  <c r="O193" i="4"/>
  <c r="P161" i="4"/>
  <c r="O194" i="4"/>
  <c r="P162" i="4"/>
  <c r="O195" i="4"/>
  <c r="P163" i="4"/>
  <c r="O196" i="4"/>
  <c r="P164" i="4"/>
  <c r="O197" i="4"/>
  <c r="P165" i="4"/>
  <c r="O198" i="4"/>
  <c r="P166" i="4"/>
  <c r="Y430" i="4"/>
  <c r="Z235" i="4"/>
  <c r="AR453" i="4"/>
  <c r="AS258" i="4"/>
  <c r="AR454" i="4"/>
  <c r="AS259" i="4"/>
  <c r="AR465" i="4"/>
  <c r="AS270" i="4"/>
  <c r="AR467" i="4"/>
  <c r="AS272" i="4"/>
  <c r="AR468" i="4"/>
  <c r="AS273" i="4"/>
  <c r="AR471" i="4"/>
  <c r="AS276" i="4"/>
  <c r="AR472" i="4"/>
  <c r="AS277" i="4"/>
  <c r="AR473" i="4"/>
  <c r="AS278" i="4"/>
  <c r="AR476" i="4"/>
  <c r="AS281" i="4"/>
  <c r="AR478" i="4"/>
  <c r="AS283" i="4"/>
  <c r="AR480" i="4"/>
  <c r="AS285" i="4"/>
  <c r="M13" i="6"/>
  <c r="N6" i="6"/>
  <c r="N7" i="6"/>
  <c r="N8" i="6"/>
  <c r="N9" i="6"/>
  <c r="N10" i="6"/>
  <c r="M13" i="7"/>
  <c r="N6" i="7"/>
  <c r="N7" i="7"/>
  <c r="N8" i="7"/>
  <c r="N9" i="7"/>
  <c r="N10" i="7"/>
  <c r="N16" i="15"/>
  <c r="O6" i="15"/>
  <c r="N29" i="15"/>
  <c r="O19" i="15"/>
  <c r="M42" i="15"/>
  <c r="N32" i="15"/>
  <c r="N55" i="15"/>
  <c r="O45" i="15"/>
  <c r="N68" i="15"/>
  <c r="O58" i="15"/>
  <c r="M73" i="15"/>
  <c r="N71" i="15"/>
  <c r="M78" i="15"/>
  <c r="N76" i="15"/>
  <c r="N107" i="15"/>
  <c r="O97" i="15"/>
  <c r="H484" i="3" l="1"/>
  <c r="H485" i="3" s="1"/>
  <c r="H518" i="3" s="1"/>
  <c r="AT329" i="2"/>
  <c r="AS341" i="2"/>
  <c r="F36" i="9"/>
  <c r="E45" i="9" s="1"/>
  <c r="F46" i="9" s="1"/>
  <c r="F37" i="9"/>
  <c r="F38" i="9" s="1"/>
  <c r="AR343" i="2"/>
  <c r="AT327" i="2"/>
  <c r="AS339" i="2"/>
  <c r="AT330" i="2"/>
  <c r="AS342" i="2"/>
  <c r="AT324" i="2"/>
  <c r="AS336" i="2"/>
  <c r="AT323" i="2"/>
  <c r="AS335" i="2"/>
  <c r="AT328" i="2"/>
  <c r="AS340" i="2"/>
  <c r="AT325" i="2"/>
  <c r="AS337" i="2"/>
  <c r="AT326" i="2"/>
  <c r="AS338" i="2"/>
  <c r="M139" i="4"/>
  <c r="L171" i="4"/>
  <c r="K403" i="4"/>
  <c r="K415" i="4"/>
  <c r="K416" i="4"/>
  <c r="K418" i="4"/>
  <c r="K404" i="4"/>
  <c r="I432" i="4"/>
  <c r="I431" i="4"/>
  <c r="K420" i="4"/>
  <c r="I396" i="4"/>
  <c r="I439" i="4" s="1"/>
  <c r="J393" i="4"/>
  <c r="J394" i="4" s="1"/>
  <c r="J396" i="4" s="1"/>
  <c r="K412" i="4"/>
  <c r="K421" i="4"/>
  <c r="K423" i="4"/>
  <c r="O107" i="15"/>
  <c r="P97" i="15"/>
  <c r="N78" i="15"/>
  <c r="O76" i="15"/>
  <c r="N73" i="15"/>
  <c r="O71" i="15"/>
  <c r="O68" i="15"/>
  <c r="P58" i="15"/>
  <c r="O55" i="15"/>
  <c r="P45" i="15"/>
  <c r="N42" i="15"/>
  <c r="O32" i="15"/>
  <c r="O29" i="15"/>
  <c r="P19" i="15"/>
  <c r="O16" i="15"/>
  <c r="P6" i="15"/>
  <c r="O10" i="7"/>
  <c r="O9" i="7"/>
  <c r="O8" i="7"/>
  <c r="O7" i="7"/>
  <c r="N13" i="7"/>
  <c r="O6" i="7"/>
  <c r="O10" i="6"/>
  <c r="O9" i="6"/>
  <c r="O8" i="6"/>
  <c r="O7" i="6"/>
  <c r="N13" i="6"/>
  <c r="O6" i="6"/>
  <c r="AS480" i="4"/>
  <c r="AT285" i="4"/>
  <c r="AS478" i="4"/>
  <c r="AT283" i="4"/>
  <c r="AS476" i="4"/>
  <c r="AT281" i="4"/>
  <c r="AS473" i="4"/>
  <c r="AT278" i="4"/>
  <c r="AS472" i="4"/>
  <c r="AT277" i="4"/>
  <c r="AS471" i="4"/>
  <c r="AT276" i="4"/>
  <c r="AS468" i="4"/>
  <c r="AT273" i="4"/>
  <c r="AS467" i="4"/>
  <c r="AT272" i="4"/>
  <c r="AS465" i="4"/>
  <c r="AT270" i="4"/>
  <c r="AS454" i="4"/>
  <c r="AT259" i="4"/>
  <c r="AS453" i="4"/>
  <c r="AT258" i="4"/>
  <c r="Z430" i="4"/>
  <c r="AA235" i="4"/>
  <c r="P198" i="4"/>
  <c r="Q166" i="4"/>
  <c r="P197" i="4"/>
  <c r="Q165" i="4"/>
  <c r="P196" i="4"/>
  <c r="Q164" i="4"/>
  <c r="P195" i="4"/>
  <c r="Q163" i="4"/>
  <c r="P194" i="4"/>
  <c r="Q162" i="4"/>
  <c r="P193" i="4"/>
  <c r="Q161" i="4"/>
  <c r="P192" i="4"/>
  <c r="Q160" i="4"/>
  <c r="P191" i="4"/>
  <c r="Q159" i="4"/>
  <c r="P190" i="4"/>
  <c r="Q158" i="4"/>
  <c r="P189" i="4"/>
  <c r="Q157" i="4"/>
  <c r="P188" i="4"/>
  <c r="Q156" i="4"/>
  <c r="O155" i="4"/>
  <c r="O187" i="4" s="1"/>
  <c r="N154" i="4"/>
  <c r="N186" i="4" s="1"/>
  <c r="N153" i="4"/>
  <c r="N185" i="4" s="1"/>
  <c r="N152" i="4"/>
  <c r="N184" i="4" s="1"/>
  <c r="M242" i="4"/>
  <c r="M437" i="4" s="1"/>
  <c r="M241" i="4"/>
  <c r="M436" i="4" s="1"/>
  <c r="N150" i="4"/>
  <c r="N182" i="4" s="1"/>
  <c r="N149" i="4"/>
  <c r="N181" i="4" s="1"/>
  <c r="N147" i="4"/>
  <c r="N179" i="4" s="1"/>
  <c r="N146" i="4"/>
  <c r="N178" i="4" s="1"/>
  <c r="M236" i="4"/>
  <c r="N177" i="4"/>
  <c r="M235" i="4"/>
  <c r="M430" i="4" s="1"/>
  <c r="N176" i="4"/>
  <c r="M234" i="4"/>
  <c r="M429" i="4" s="1"/>
  <c r="N175" i="4"/>
  <c r="L429" i="4"/>
  <c r="L392" i="4"/>
  <c r="N142" i="4"/>
  <c r="N174" i="4" s="1"/>
  <c r="N172" i="4"/>
  <c r="N466" i="4"/>
  <c r="N482" i="4" s="1"/>
  <c r="N287" i="4"/>
  <c r="O271" i="4"/>
  <c r="N264" i="4"/>
  <c r="M518" i="3"/>
  <c r="O200" i="4"/>
  <c r="P168" i="4"/>
  <c r="N199" i="4"/>
  <c r="O167" i="4"/>
  <c r="AU324" i="2" l="1"/>
  <c r="AT336" i="2"/>
  <c r="AU323" i="2"/>
  <c r="AT335" i="2"/>
  <c r="AU330" i="2"/>
  <c r="AT342" i="2"/>
  <c r="AU326" i="2"/>
  <c r="AT338" i="2"/>
  <c r="AU327" i="2"/>
  <c r="AT339" i="2"/>
  <c r="AU325" i="2"/>
  <c r="AT337" i="2"/>
  <c r="AU328" i="2"/>
  <c r="AT340" i="2"/>
  <c r="AS343" i="2"/>
  <c r="AU329" i="2"/>
  <c r="AT341" i="2"/>
  <c r="N139" i="4"/>
  <c r="M171" i="4"/>
  <c r="J395" i="4"/>
  <c r="J432" i="4" s="1"/>
  <c r="I435" i="4"/>
  <c r="I438" i="4"/>
  <c r="J438" i="4" s="1"/>
  <c r="K393" i="4"/>
  <c r="K394" i="4" s="1"/>
  <c r="K395" i="4" s="1"/>
  <c r="M392" i="4"/>
  <c r="M420" i="4" s="1"/>
  <c r="O199" i="4"/>
  <c r="P167" i="4"/>
  <c r="P200" i="4"/>
  <c r="Q168" i="4"/>
  <c r="O466" i="4"/>
  <c r="O482" i="4" s="1"/>
  <c r="O287" i="4"/>
  <c r="P271" i="4"/>
  <c r="O264" i="4"/>
  <c r="N518" i="3"/>
  <c r="O172" i="4"/>
  <c r="O142" i="4"/>
  <c r="O174" i="4" s="1"/>
  <c r="J440" i="4"/>
  <c r="J439" i="4"/>
  <c r="L426" i="4"/>
  <c r="L423" i="4"/>
  <c r="L421" i="4"/>
  <c r="L420" i="4"/>
  <c r="L418" i="4"/>
  <c r="L416" i="4"/>
  <c r="L415" i="4"/>
  <c r="L412" i="4"/>
  <c r="L404" i="4"/>
  <c r="L403" i="4"/>
  <c r="N234" i="4"/>
  <c r="O175" i="4"/>
  <c r="N235" i="4"/>
  <c r="N430" i="4" s="1"/>
  <c r="O176" i="4"/>
  <c r="N236" i="4"/>
  <c r="O177" i="4"/>
  <c r="O146" i="4"/>
  <c r="O178" i="4" s="1"/>
  <c r="O147" i="4"/>
  <c r="O179" i="4" s="1"/>
  <c r="O149" i="4"/>
  <c r="O181" i="4" s="1"/>
  <c r="N241" i="4"/>
  <c r="N436" i="4" s="1"/>
  <c r="O150" i="4"/>
  <c r="O182" i="4" s="1"/>
  <c r="N242" i="4"/>
  <c r="N437" i="4" s="1"/>
  <c r="O152" i="4"/>
  <c r="O184" i="4" s="1"/>
  <c r="O153" i="4"/>
  <c r="O185" i="4" s="1"/>
  <c r="O154" i="4"/>
  <c r="O186" i="4" s="1"/>
  <c r="P155" i="4"/>
  <c r="P187" i="4" s="1"/>
  <c r="Q188" i="4"/>
  <c r="R156" i="4"/>
  <c r="R188" i="4" s="1"/>
  <c r="Q189" i="4"/>
  <c r="R157" i="4"/>
  <c r="R189" i="4" s="1"/>
  <c r="Q190" i="4"/>
  <c r="R158" i="4"/>
  <c r="R190" i="4" s="1"/>
  <c r="Q191" i="4"/>
  <c r="R159" i="4"/>
  <c r="R191" i="4" s="1"/>
  <c r="Q192" i="4"/>
  <c r="R160" i="4"/>
  <c r="R192" i="4" s="1"/>
  <c r="Q193" i="4"/>
  <c r="R161" i="4"/>
  <c r="R193" i="4" s="1"/>
  <c r="Q194" i="4"/>
  <c r="R162" i="4"/>
  <c r="R194" i="4" s="1"/>
  <c r="Q195" i="4"/>
  <c r="R163" i="4"/>
  <c r="R195" i="4" s="1"/>
  <c r="Q196" i="4"/>
  <c r="R164" i="4"/>
  <c r="R196" i="4" s="1"/>
  <c r="Q197" i="4"/>
  <c r="R165" i="4"/>
  <c r="R197" i="4" s="1"/>
  <c r="Q198" i="4"/>
  <c r="R166" i="4"/>
  <c r="R198" i="4" s="1"/>
  <c r="AA430" i="4"/>
  <c r="AB235" i="4"/>
  <c r="AT453" i="4"/>
  <c r="AU258" i="4"/>
  <c r="AT454" i="4"/>
  <c r="AU259" i="4"/>
  <c r="AT465" i="4"/>
  <c r="AU270" i="4"/>
  <c r="AT467" i="4"/>
  <c r="AU272" i="4"/>
  <c r="AT468" i="4"/>
  <c r="AU273" i="4"/>
  <c r="AT471" i="4"/>
  <c r="AU276" i="4"/>
  <c r="AT472" i="4"/>
  <c r="AU277" i="4"/>
  <c r="AT473" i="4"/>
  <c r="AU278" i="4"/>
  <c r="AT476" i="4"/>
  <c r="AU281" i="4"/>
  <c r="AT478" i="4"/>
  <c r="AU283" i="4"/>
  <c r="AT480" i="4"/>
  <c r="AU285" i="4"/>
  <c r="O13" i="6"/>
  <c r="P6" i="6"/>
  <c r="P7" i="6"/>
  <c r="P8" i="6"/>
  <c r="P9" i="6"/>
  <c r="P10" i="6"/>
  <c r="O13" i="7"/>
  <c r="P6" i="7"/>
  <c r="P7" i="7"/>
  <c r="P8" i="7"/>
  <c r="P9" i="7"/>
  <c r="P10" i="7"/>
  <c r="P16" i="15"/>
  <c r="Q6" i="15"/>
  <c r="P29" i="15"/>
  <c r="Q19" i="15"/>
  <c r="O42" i="15"/>
  <c r="P32" i="15"/>
  <c r="P55" i="15"/>
  <c r="Q45" i="15"/>
  <c r="P68" i="15"/>
  <c r="Q58" i="15"/>
  <c r="O73" i="15"/>
  <c r="P71" i="15"/>
  <c r="O78" i="15"/>
  <c r="P76" i="15"/>
  <c r="P107" i="15"/>
  <c r="Q97" i="15"/>
  <c r="AV327" i="2" l="1"/>
  <c r="AU339" i="2"/>
  <c r="AV326" i="2"/>
  <c r="AU338" i="2"/>
  <c r="AV330" i="2"/>
  <c r="AU342" i="2"/>
  <c r="AT343" i="2"/>
  <c r="AV323" i="2"/>
  <c r="AU335" i="2"/>
  <c r="AV325" i="2"/>
  <c r="AU337" i="2"/>
  <c r="AV329" i="2"/>
  <c r="AU341" i="2"/>
  <c r="AV328" i="2"/>
  <c r="AU340" i="2"/>
  <c r="AV324" i="2"/>
  <c r="AU336" i="2"/>
  <c r="I441" i="4"/>
  <c r="I485" i="4" s="1"/>
  <c r="I487" i="4" s="1"/>
  <c r="O139" i="4"/>
  <c r="N171" i="4"/>
  <c r="J428" i="4"/>
  <c r="K428" i="4" s="1"/>
  <c r="J431" i="4"/>
  <c r="K431" i="4" s="1"/>
  <c r="J435" i="4"/>
  <c r="K396" i="4"/>
  <c r="K439" i="4" s="1"/>
  <c r="L393" i="4"/>
  <c r="L394" i="4" s="1"/>
  <c r="L395" i="4" s="1"/>
  <c r="M426" i="4"/>
  <c r="M403" i="4"/>
  <c r="M404" i="4"/>
  <c r="M412" i="4"/>
  <c r="M421" i="4"/>
  <c r="M423" i="4"/>
  <c r="M415" i="4"/>
  <c r="M416" i="4"/>
  <c r="M418" i="4"/>
  <c r="Q107" i="15"/>
  <c r="R97" i="15"/>
  <c r="P78" i="15"/>
  <c r="Q76" i="15"/>
  <c r="P73" i="15"/>
  <c r="Q71" i="15"/>
  <c r="Q68" i="15"/>
  <c r="R58" i="15"/>
  <c r="Q55" i="15"/>
  <c r="R45" i="15"/>
  <c r="P42" i="15"/>
  <c r="Q32" i="15"/>
  <c r="Q29" i="15"/>
  <c r="R19" i="15"/>
  <c r="Q16" i="15"/>
  <c r="R6" i="15"/>
  <c r="Q10" i="7"/>
  <c r="Q9" i="7"/>
  <c r="Q8" i="7"/>
  <c r="Q7" i="7"/>
  <c r="P13" i="7"/>
  <c r="Q6" i="7"/>
  <c r="Q10" i="6"/>
  <c r="Q9" i="6"/>
  <c r="Q8" i="6"/>
  <c r="Q7" i="6"/>
  <c r="P13" i="6"/>
  <c r="Q6" i="6"/>
  <c r="AU480" i="4"/>
  <c r="AV285" i="4"/>
  <c r="AU478" i="4"/>
  <c r="AV283" i="4"/>
  <c r="AU476" i="4"/>
  <c r="AV281" i="4"/>
  <c r="AU473" i="4"/>
  <c r="AV278" i="4"/>
  <c r="AU472" i="4"/>
  <c r="AV277" i="4"/>
  <c r="AU471" i="4"/>
  <c r="AV276" i="4"/>
  <c r="AU468" i="4"/>
  <c r="AV273" i="4"/>
  <c r="AU467" i="4"/>
  <c r="AV272" i="4"/>
  <c r="AU465" i="4"/>
  <c r="AV270" i="4"/>
  <c r="AU454" i="4"/>
  <c r="AV259" i="4"/>
  <c r="AU453" i="4"/>
  <c r="AV258" i="4"/>
  <c r="AB430" i="4"/>
  <c r="AC235" i="4"/>
  <c r="Q155" i="4"/>
  <c r="Q187" i="4" s="1"/>
  <c r="P154" i="4"/>
  <c r="P186" i="4" s="1"/>
  <c r="P153" i="4"/>
  <c r="P185" i="4" s="1"/>
  <c r="P152" i="4"/>
  <c r="P184" i="4" s="1"/>
  <c r="O242" i="4"/>
  <c r="O437" i="4" s="1"/>
  <c r="O241" i="4"/>
  <c r="O436" i="4" s="1"/>
  <c r="P150" i="4"/>
  <c r="P182" i="4" s="1"/>
  <c r="P149" i="4"/>
  <c r="P181" i="4" s="1"/>
  <c r="P147" i="4"/>
  <c r="P179" i="4" s="1"/>
  <c r="P146" i="4"/>
  <c r="P178" i="4" s="1"/>
  <c r="O236" i="4"/>
  <c r="P177" i="4"/>
  <c r="O235" i="4"/>
  <c r="O430" i="4" s="1"/>
  <c r="P176" i="4"/>
  <c r="O234" i="4"/>
  <c r="O429" i="4" s="1"/>
  <c r="P175" i="4"/>
  <c r="N429" i="4"/>
  <c r="N392" i="4"/>
  <c r="P142" i="4"/>
  <c r="P174" i="4" s="1"/>
  <c r="P172" i="4"/>
  <c r="P466" i="4"/>
  <c r="P482" i="4" s="1"/>
  <c r="P287" i="4"/>
  <c r="Q271" i="4"/>
  <c r="P264" i="4"/>
  <c r="O518" i="3"/>
  <c r="K433" i="4"/>
  <c r="K432" i="4"/>
  <c r="Q200" i="4"/>
  <c r="R168" i="4"/>
  <c r="R200" i="4" s="1"/>
  <c r="P199" i="4"/>
  <c r="Q167" i="4"/>
  <c r="AW325" i="2" l="1"/>
  <c r="AV337" i="2"/>
  <c r="AU343" i="2"/>
  <c r="AW329" i="2"/>
  <c r="AV341" i="2"/>
  <c r="AW323" i="2"/>
  <c r="AV335" i="2"/>
  <c r="AW324" i="2"/>
  <c r="AV336" i="2"/>
  <c r="AW326" i="2"/>
  <c r="AV338" i="2"/>
  <c r="AW328" i="2"/>
  <c r="AV340" i="2"/>
  <c r="AW330" i="2"/>
  <c r="AV342" i="2"/>
  <c r="AW327" i="2"/>
  <c r="AV339" i="2"/>
  <c r="K440" i="4"/>
  <c r="P139" i="4"/>
  <c r="O171" i="4"/>
  <c r="J441" i="4"/>
  <c r="J485" i="4" s="1"/>
  <c r="J487" i="4" s="1"/>
  <c r="K435" i="4"/>
  <c r="K438" i="4"/>
  <c r="L396" i="4"/>
  <c r="O392" i="4"/>
  <c r="O420" i="4" s="1"/>
  <c r="M393" i="4"/>
  <c r="M394" i="4" s="1"/>
  <c r="M396" i="4" s="1"/>
  <c r="Q199" i="4"/>
  <c r="R167" i="4"/>
  <c r="R199" i="4" s="1"/>
  <c r="Q466" i="4"/>
  <c r="Q482" i="4" s="1"/>
  <c r="Q287" i="4"/>
  <c r="R271" i="4"/>
  <c r="Q264" i="4"/>
  <c r="P518" i="3"/>
  <c r="Q172" i="4"/>
  <c r="Q142" i="4"/>
  <c r="Q174" i="4" s="1"/>
  <c r="L433" i="4"/>
  <c r="L432" i="4"/>
  <c r="L431" i="4"/>
  <c r="L428" i="4"/>
  <c r="N426" i="4"/>
  <c r="N423" i="4"/>
  <c r="N421" i="4"/>
  <c r="N420" i="4"/>
  <c r="N418" i="4"/>
  <c r="N416" i="4"/>
  <c r="N415" i="4"/>
  <c r="N412" i="4"/>
  <c r="N404" i="4"/>
  <c r="N403" i="4"/>
  <c r="P234" i="4"/>
  <c r="Q175" i="4"/>
  <c r="P235" i="4"/>
  <c r="P430" i="4" s="1"/>
  <c r="Q176" i="4"/>
  <c r="P236" i="4"/>
  <c r="Q177" i="4"/>
  <c r="Q146" i="4"/>
  <c r="Q178" i="4" s="1"/>
  <c r="Q147" i="4"/>
  <c r="Q179" i="4" s="1"/>
  <c r="Q149" i="4"/>
  <c r="Q181" i="4" s="1"/>
  <c r="P241" i="4"/>
  <c r="P436" i="4" s="1"/>
  <c r="Q150" i="4"/>
  <c r="Q182" i="4" s="1"/>
  <c r="P242" i="4"/>
  <c r="P437" i="4" s="1"/>
  <c r="Q152" i="4"/>
  <c r="Q184" i="4" s="1"/>
  <c r="Q153" i="4"/>
  <c r="Q185" i="4" s="1"/>
  <c r="Q154" i="4"/>
  <c r="Q186" i="4" s="1"/>
  <c r="R155" i="4"/>
  <c r="R187" i="4" s="1"/>
  <c r="AC430" i="4"/>
  <c r="AD235" i="4"/>
  <c r="AV453" i="4"/>
  <c r="AW258" i="4"/>
  <c r="AV454" i="4"/>
  <c r="AW259" i="4"/>
  <c r="AV465" i="4"/>
  <c r="AW270" i="4"/>
  <c r="AV467" i="4"/>
  <c r="AW272" i="4"/>
  <c r="AV468" i="4"/>
  <c r="AW273" i="4"/>
  <c r="AV471" i="4"/>
  <c r="AW276" i="4"/>
  <c r="AV472" i="4"/>
  <c r="AW277" i="4"/>
  <c r="AV473" i="4"/>
  <c r="AW278" i="4"/>
  <c r="AV476" i="4"/>
  <c r="AW281" i="4"/>
  <c r="AV478" i="4"/>
  <c r="AW283" i="4"/>
  <c r="AV480" i="4"/>
  <c r="AW285" i="4"/>
  <c r="Q13" i="6"/>
  <c r="R6" i="6"/>
  <c r="R7" i="6"/>
  <c r="R8" i="6"/>
  <c r="R9" i="6"/>
  <c r="R10" i="6"/>
  <c r="Q13" i="7"/>
  <c r="R6" i="7"/>
  <c r="R7" i="7"/>
  <c r="R8" i="7"/>
  <c r="R9" i="7"/>
  <c r="R10" i="7"/>
  <c r="R16" i="15"/>
  <c r="S6" i="15"/>
  <c r="R29" i="15"/>
  <c r="S19" i="15"/>
  <c r="Q42" i="15"/>
  <c r="R32" i="15"/>
  <c r="R55" i="15"/>
  <c r="S45" i="15"/>
  <c r="R68" i="15"/>
  <c r="S58" i="15"/>
  <c r="Q73" i="15"/>
  <c r="R71" i="15"/>
  <c r="Q78" i="15"/>
  <c r="R76" i="15"/>
  <c r="R107" i="15"/>
  <c r="S97" i="15"/>
  <c r="L440" i="4" l="1"/>
  <c r="AX326" i="2"/>
  <c r="AW338" i="2"/>
  <c r="AX324" i="2"/>
  <c r="AW336" i="2"/>
  <c r="AX323" i="2"/>
  <c r="AW335" i="2"/>
  <c r="AX328" i="2"/>
  <c r="AW340" i="2"/>
  <c r="AV343" i="2"/>
  <c r="AX327" i="2"/>
  <c r="AW339" i="2"/>
  <c r="AX329" i="2"/>
  <c r="AW341" i="2"/>
  <c r="AX330" i="2"/>
  <c r="AW342" i="2"/>
  <c r="AX325" i="2"/>
  <c r="AW337" i="2"/>
  <c r="O421" i="4"/>
  <c r="Q139" i="4"/>
  <c r="P171" i="4"/>
  <c r="O403" i="4"/>
  <c r="O412" i="4"/>
  <c r="O423" i="4"/>
  <c r="K441" i="4"/>
  <c r="K485" i="4" s="1"/>
  <c r="K487" i="4" s="1"/>
  <c r="O426" i="4"/>
  <c r="L435" i="4"/>
  <c r="L438" i="4"/>
  <c r="M438" i="4" s="1"/>
  <c r="L439" i="4"/>
  <c r="M439" i="4" s="1"/>
  <c r="N393" i="4"/>
  <c r="N394" i="4" s="1"/>
  <c r="N395" i="4" s="1"/>
  <c r="M395" i="4"/>
  <c r="M432" i="4" s="1"/>
  <c r="O404" i="4"/>
  <c r="O415" i="4"/>
  <c r="O416" i="4"/>
  <c r="O418" i="4"/>
  <c r="S107" i="15"/>
  <c r="T97" i="15"/>
  <c r="R78" i="15"/>
  <c r="S76" i="15"/>
  <c r="R73" i="15"/>
  <c r="S71" i="15"/>
  <c r="S68" i="15"/>
  <c r="T58" i="15"/>
  <c r="S55" i="15"/>
  <c r="T45" i="15"/>
  <c r="R42" i="15"/>
  <c r="S32" i="15"/>
  <c r="S29" i="15"/>
  <c r="T19" i="15"/>
  <c r="S16" i="15"/>
  <c r="T6" i="15"/>
  <c r="S10" i="7"/>
  <c r="S9" i="7"/>
  <c r="S8" i="7"/>
  <c r="S7" i="7"/>
  <c r="R13" i="7"/>
  <c r="S6" i="7"/>
  <c r="S10" i="6"/>
  <c r="S9" i="6"/>
  <c r="S8" i="6"/>
  <c r="S7" i="6"/>
  <c r="R13" i="6"/>
  <c r="S6" i="6"/>
  <c r="AW480" i="4"/>
  <c r="AX285" i="4"/>
  <c r="AW478" i="4"/>
  <c r="AX283" i="4"/>
  <c r="AW476" i="4"/>
  <c r="AX281" i="4"/>
  <c r="AW473" i="4"/>
  <c r="AX278" i="4"/>
  <c r="AW472" i="4"/>
  <c r="AX277" i="4"/>
  <c r="AW471" i="4"/>
  <c r="AX276" i="4"/>
  <c r="AW468" i="4"/>
  <c r="AX273" i="4"/>
  <c r="AW467" i="4"/>
  <c r="AX272" i="4"/>
  <c r="AW465" i="4"/>
  <c r="AX270" i="4"/>
  <c r="AW454" i="4"/>
  <c r="AX259" i="4"/>
  <c r="AW453" i="4"/>
  <c r="AX258" i="4"/>
  <c r="AD430" i="4"/>
  <c r="AE235" i="4"/>
  <c r="R154" i="4"/>
  <c r="R186" i="4" s="1"/>
  <c r="R153" i="4"/>
  <c r="R185" i="4" s="1"/>
  <c r="R152" i="4"/>
  <c r="R184" i="4" s="1"/>
  <c r="Q242" i="4"/>
  <c r="Q437" i="4" s="1"/>
  <c r="Q241" i="4"/>
  <c r="Q436" i="4" s="1"/>
  <c r="R150" i="4"/>
  <c r="R182" i="4" s="1"/>
  <c r="R149" i="4"/>
  <c r="R181" i="4" s="1"/>
  <c r="R147" i="4"/>
  <c r="R179" i="4" s="1"/>
  <c r="R146" i="4"/>
  <c r="R178" i="4" s="1"/>
  <c r="Q236" i="4"/>
  <c r="R177" i="4"/>
  <c r="Q235" i="4"/>
  <c r="Q430" i="4" s="1"/>
  <c r="R176" i="4"/>
  <c r="Q234" i="4"/>
  <c r="Q429" i="4" s="1"/>
  <c r="R175" i="4"/>
  <c r="P429" i="4"/>
  <c r="P392" i="4"/>
  <c r="R142" i="4"/>
  <c r="R174" i="4" s="1"/>
  <c r="R172" i="4"/>
  <c r="R466" i="4"/>
  <c r="R482" i="4" s="1"/>
  <c r="R287" i="4"/>
  <c r="S271" i="4"/>
  <c r="R264" i="4"/>
  <c r="Q518" i="3"/>
  <c r="M440" i="4"/>
  <c r="M435" i="4"/>
  <c r="AY327" i="2" l="1"/>
  <c r="AX339" i="2"/>
  <c r="AY328" i="2"/>
  <c r="AX340" i="2"/>
  <c r="AY329" i="2"/>
  <c r="AX341" i="2"/>
  <c r="AW343" i="2"/>
  <c r="AY325" i="2"/>
  <c r="AX337" i="2"/>
  <c r="AY324" i="2"/>
  <c r="AX336" i="2"/>
  <c r="AY323" i="2"/>
  <c r="AX335" i="2"/>
  <c r="AY330" i="2"/>
  <c r="AX342" i="2"/>
  <c r="AY326" i="2"/>
  <c r="AX338" i="2"/>
  <c r="R139" i="4"/>
  <c r="R171" i="4" s="1"/>
  <c r="Q171" i="4"/>
  <c r="N396" i="4"/>
  <c r="N439" i="4" s="1"/>
  <c r="L441" i="4"/>
  <c r="L485" i="4" s="1"/>
  <c r="L487" i="4" s="1"/>
  <c r="O393" i="4"/>
  <c r="O394" i="4" s="1"/>
  <c r="O395" i="4" s="1"/>
  <c r="M428" i="4"/>
  <c r="N428" i="4" s="1"/>
  <c r="M433" i="4"/>
  <c r="M431" i="4"/>
  <c r="N431" i="4" s="1"/>
  <c r="Q392" i="4"/>
  <c r="Q415" i="4" s="1"/>
  <c r="S466" i="4"/>
  <c r="S482" i="4" s="1"/>
  <c r="S287" i="4"/>
  <c r="T271" i="4"/>
  <c r="S264" i="4"/>
  <c r="R518" i="3"/>
  <c r="N432" i="4"/>
  <c r="P426" i="4"/>
  <c r="P423" i="4"/>
  <c r="P421" i="4"/>
  <c r="P420" i="4"/>
  <c r="P418" i="4"/>
  <c r="P416" i="4"/>
  <c r="P415" i="4"/>
  <c r="P412" i="4"/>
  <c r="P404" i="4"/>
  <c r="P403" i="4"/>
  <c r="R234" i="4"/>
  <c r="R235" i="4"/>
  <c r="R430" i="4" s="1"/>
  <c r="R236" i="4"/>
  <c r="R241" i="4"/>
  <c r="R242" i="4"/>
  <c r="AE430" i="4"/>
  <c r="AF235" i="4"/>
  <c r="AX453" i="4"/>
  <c r="AY258" i="4"/>
  <c r="AX454" i="4"/>
  <c r="AY259" i="4"/>
  <c r="AX465" i="4"/>
  <c r="AY270" i="4"/>
  <c r="AX467" i="4"/>
  <c r="AY272" i="4"/>
  <c r="AX468" i="4"/>
  <c r="AY273" i="4"/>
  <c r="AX471" i="4"/>
  <c r="AY276" i="4"/>
  <c r="AX472" i="4"/>
  <c r="AY277" i="4"/>
  <c r="AX473" i="4"/>
  <c r="AY278" i="4"/>
  <c r="AX476" i="4"/>
  <c r="AY281" i="4"/>
  <c r="AX478" i="4"/>
  <c r="AY283" i="4"/>
  <c r="AX480" i="4"/>
  <c r="AY285" i="4"/>
  <c r="S13" i="6"/>
  <c r="T6" i="6"/>
  <c r="T7" i="6"/>
  <c r="T8" i="6"/>
  <c r="T9" i="6"/>
  <c r="T10" i="6"/>
  <c r="S13" i="7"/>
  <c r="T6" i="7"/>
  <c r="T7" i="7"/>
  <c r="T8" i="7"/>
  <c r="T9" i="7"/>
  <c r="T10" i="7"/>
  <c r="T16" i="15"/>
  <c r="U6" i="15"/>
  <c r="T29" i="15"/>
  <c r="U19" i="15"/>
  <c r="S42" i="15"/>
  <c r="T32" i="15"/>
  <c r="T55" i="15"/>
  <c r="U45" i="15"/>
  <c r="T68" i="15"/>
  <c r="U58" i="15"/>
  <c r="S73" i="15"/>
  <c r="T71" i="15"/>
  <c r="S78" i="15"/>
  <c r="T76" i="15"/>
  <c r="T107" i="15"/>
  <c r="U97" i="15"/>
  <c r="N435" i="4" l="1"/>
  <c r="N438" i="4"/>
  <c r="N440" i="4"/>
  <c r="AZ324" i="2"/>
  <c r="AY336" i="2"/>
  <c r="AZ325" i="2"/>
  <c r="AY337" i="2"/>
  <c r="AZ329" i="2"/>
  <c r="AY341" i="2"/>
  <c r="AZ326" i="2"/>
  <c r="AY338" i="2"/>
  <c r="AZ328" i="2"/>
  <c r="AY340" i="2"/>
  <c r="AZ323" i="2"/>
  <c r="AY335" i="2"/>
  <c r="AZ330" i="2"/>
  <c r="AY342" i="2"/>
  <c r="AX343" i="2"/>
  <c r="AZ327" i="2"/>
  <c r="AY339" i="2"/>
  <c r="Q416" i="4"/>
  <c r="O396" i="4"/>
  <c r="O439" i="4" s="1"/>
  <c r="M441" i="4"/>
  <c r="M485" i="4" s="1"/>
  <c r="M487" i="4" s="1"/>
  <c r="Q412" i="4"/>
  <c r="P393" i="4"/>
  <c r="P394" i="4" s="1"/>
  <c r="P395" i="4" s="1"/>
  <c r="Q420" i="4"/>
  <c r="Q423" i="4"/>
  <c r="Q426" i="4"/>
  <c r="N433" i="4"/>
  <c r="O433" i="4" s="1"/>
  <c r="Q418" i="4"/>
  <c r="Q421" i="4"/>
  <c r="Q403" i="4"/>
  <c r="Q404" i="4"/>
  <c r="U107" i="15"/>
  <c r="V97" i="15"/>
  <c r="T78" i="15"/>
  <c r="U76" i="15"/>
  <c r="T73" i="15"/>
  <c r="U71" i="15"/>
  <c r="U68" i="15"/>
  <c r="V58" i="15"/>
  <c r="U55" i="15"/>
  <c r="V45" i="15"/>
  <c r="T42" i="15"/>
  <c r="U32" i="15"/>
  <c r="U29" i="15"/>
  <c r="V19" i="15"/>
  <c r="U16" i="15"/>
  <c r="V6" i="15"/>
  <c r="U10" i="7"/>
  <c r="U9" i="7"/>
  <c r="U8" i="7"/>
  <c r="U7" i="7"/>
  <c r="T13" i="7"/>
  <c r="U6" i="7"/>
  <c r="U10" i="6"/>
  <c r="U9" i="6"/>
  <c r="U8" i="6"/>
  <c r="U7" i="6"/>
  <c r="T13" i="6"/>
  <c r="U6" i="6"/>
  <c r="AY480" i="4"/>
  <c r="AZ285" i="4"/>
  <c r="AY478" i="4"/>
  <c r="AZ283" i="4"/>
  <c r="AY476" i="4"/>
  <c r="AZ281" i="4"/>
  <c r="AY473" i="4"/>
  <c r="AZ278" i="4"/>
  <c r="AY472" i="4"/>
  <c r="AZ277" i="4"/>
  <c r="AY471" i="4"/>
  <c r="AZ276" i="4"/>
  <c r="AY468" i="4"/>
  <c r="AZ273" i="4"/>
  <c r="AY467" i="4"/>
  <c r="AZ272" i="4"/>
  <c r="AY465" i="4"/>
  <c r="AZ270" i="4"/>
  <c r="AY454" i="4"/>
  <c r="AZ259" i="4"/>
  <c r="AY453" i="4"/>
  <c r="AZ258" i="4"/>
  <c r="AF430" i="4"/>
  <c r="AG235" i="4"/>
  <c r="R437" i="4"/>
  <c r="S242" i="4"/>
  <c r="R436" i="4"/>
  <c r="S241" i="4"/>
  <c r="R429" i="4"/>
  <c r="S234" i="4"/>
  <c r="S392" i="4" s="1"/>
  <c r="R392" i="4"/>
  <c r="T466" i="4"/>
  <c r="T482" i="4" s="1"/>
  <c r="T287" i="4"/>
  <c r="U271" i="4"/>
  <c r="T264" i="4"/>
  <c r="S518" i="3"/>
  <c r="O432" i="4"/>
  <c r="O431" i="4"/>
  <c r="O428" i="4"/>
  <c r="AY343" i="2" l="1"/>
  <c r="BA328" i="2"/>
  <c r="AZ340" i="2"/>
  <c r="BA329" i="2"/>
  <c r="AZ341" i="2"/>
  <c r="BA323" i="2"/>
  <c r="AZ335" i="2"/>
  <c r="BA326" i="2"/>
  <c r="AZ338" i="2"/>
  <c r="BA327" i="2"/>
  <c r="AZ339" i="2"/>
  <c r="BA325" i="2"/>
  <c r="AZ337" i="2"/>
  <c r="BA330" i="2"/>
  <c r="AZ342" i="2"/>
  <c r="BA324" i="2"/>
  <c r="AZ336" i="2"/>
  <c r="O438" i="4"/>
  <c r="O440" i="4"/>
  <c r="O435" i="4"/>
  <c r="P396" i="4"/>
  <c r="P439" i="4" s="1"/>
  <c r="Q393" i="4"/>
  <c r="Q394" i="4" s="1"/>
  <c r="Q396" i="4" s="1"/>
  <c r="N441" i="4"/>
  <c r="N485" i="4" s="1"/>
  <c r="N487" i="4" s="1"/>
  <c r="S426" i="4"/>
  <c r="S423" i="4"/>
  <c r="S421" i="4"/>
  <c r="S420" i="4"/>
  <c r="S418" i="4"/>
  <c r="S416" i="4"/>
  <c r="S415" i="4"/>
  <c r="S412" i="4"/>
  <c r="S404" i="4"/>
  <c r="S403" i="4"/>
  <c r="U466" i="4"/>
  <c r="U482" i="4" s="1"/>
  <c r="U287" i="4"/>
  <c r="V271" i="4"/>
  <c r="U264" i="4"/>
  <c r="T518" i="3"/>
  <c r="P433" i="4"/>
  <c r="P432" i="4"/>
  <c r="P431" i="4"/>
  <c r="P428" i="4"/>
  <c r="R426" i="4"/>
  <c r="R423" i="4"/>
  <c r="R421" i="4"/>
  <c r="R420" i="4"/>
  <c r="R418" i="4"/>
  <c r="R416" i="4"/>
  <c r="R415" i="4"/>
  <c r="R412" i="4"/>
  <c r="R404" i="4"/>
  <c r="R403" i="4"/>
  <c r="S429" i="4"/>
  <c r="T234" i="4"/>
  <c r="S436" i="4"/>
  <c r="T241" i="4"/>
  <c r="S437" i="4"/>
  <c r="T242" i="4"/>
  <c r="AG430" i="4"/>
  <c r="AH235" i="4"/>
  <c r="AZ453" i="4"/>
  <c r="BA258" i="4"/>
  <c r="AZ454" i="4"/>
  <c r="BA259" i="4"/>
  <c r="AZ465" i="4"/>
  <c r="BA270" i="4"/>
  <c r="AZ467" i="4"/>
  <c r="BA272" i="4"/>
  <c r="AZ468" i="4"/>
  <c r="BA273" i="4"/>
  <c r="AZ471" i="4"/>
  <c r="BA276" i="4"/>
  <c r="AZ472" i="4"/>
  <c r="BA277" i="4"/>
  <c r="AZ473" i="4"/>
  <c r="BA278" i="4"/>
  <c r="AZ476" i="4"/>
  <c r="BA281" i="4"/>
  <c r="AZ478" i="4"/>
  <c r="BA283" i="4"/>
  <c r="AZ480" i="4"/>
  <c r="BA285" i="4"/>
  <c r="U13" i="6"/>
  <c r="V6" i="6"/>
  <c r="V7" i="6"/>
  <c r="V8" i="6"/>
  <c r="V9" i="6"/>
  <c r="V10" i="6"/>
  <c r="U13" i="7"/>
  <c r="V6" i="7"/>
  <c r="V7" i="7"/>
  <c r="V8" i="7"/>
  <c r="V9" i="7"/>
  <c r="V10" i="7"/>
  <c r="V16" i="15"/>
  <c r="W6" i="15"/>
  <c r="V29" i="15"/>
  <c r="W19" i="15"/>
  <c r="U42" i="15"/>
  <c r="V32" i="15"/>
  <c r="V55" i="15"/>
  <c r="W45" i="15"/>
  <c r="V68" i="15"/>
  <c r="W58" i="15"/>
  <c r="U73" i="15"/>
  <c r="V71" i="15"/>
  <c r="U78" i="15"/>
  <c r="V76" i="15"/>
  <c r="V107" i="15"/>
  <c r="W97" i="15"/>
  <c r="BB325" i="2" l="1"/>
  <c r="BA337" i="2"/>
  <c r="BB327" i="2"/>
  <c r="BA339" i="2"/>
  <c r="BB323" i="2"/>
  <c r="BA335" i="2"/>
  <c r="BB326" i="2"/>
  <c r="BA338" i="2"/>
  <c r="BB324" i="2"/>
  <c r="BA336" i="2"/>
  <c r="BB329" i="2"/>
  <c r="BA341" i="2"/>
  <c r="AZ343" i="2"/>
  <c r="BB330" i="2"/>
  <c r="BA342" i="2"/>
  <c r="BB328" i="2"/>
  <c r="BA340" i="2"/>
  <c r="P438" i="4"/>
  <c r="Q438" i="4" s="1"/>
  <c r="O441" i="4"/>
  <c r="O485" i="4" s="1"/>
  <c r="O487" i="4" s="1"/>
  <c r="P440" i="4"/>
  <c r="Q440" i="4" s="1"/>
  <c r="Q395" i="4"/>
  <c r="Q431" i="4" s="1"/>
  <c r="P435" i="4"/>
  <c r="S393" i="4"/>
  <c r="R393" i="4"/>
  <c r="R394" i="4" s="1"/>
  <c r="R395" i="4" s="1"/>
  <c r="W107" i="15"/>
  <c r="X97" i="15"/>
  <c r="V78" i="15"/>
  <c r="W76" i="15"/>
  <c r="V73" i="15"/>
  <c r="W71" i="15"/>
  <c r="W68" i="15"/>
  <c r="X58" i="15"/>
  <c r="W55" i="15"/>
  <c r="X45" i="15"/>
  <c r="V42" i="15"/>
  <c r="W32" i="15"/>
  <c r="W29" i="15"/>
  <c r="X19" i="15"/>
  <c r="W16" i="15"/>
  <c r="X6" i="15"/>
  <c r="W10" i="7"/>
  <c r="W9" i="7"/>
  <c r="W8" i="7"/>
  <c r="W7" i="7"/>
  <c r="V13" i="7"/>
  <c r="W6" i="7"/>
  <c r="W10" i="6"/>
  <c r="W9" i="6"/>
  <c r="W8" i="6"/>
  <c r="W7" i="6"/>
  <c r="V13" i="6"/>
  <c r="W6" i="6"/>
  <c r="BA480" i="4"/>
  <c r="BB285" i="4"/>
  <c r="BA478" i="4"/>
  <c r="BB283" i="4"/>
  <c r="BA476" i="4"/>
  <c r="BB281" i="4"/>
  <c r="BA473" i="4"/>
  <c r="BB278" i="4"/>
  <c r="BA472" i="4"/>
  <c r="BB277" i="4"/>
  <c r="BA471" i="4"/>
  <c r="BB276" i="4"/>
  <c r="BA468" i="4"/>
  <c r="BB273" i="4"/>
  <c r="BA467" i="4"/>
  <c r="BB272" i="4"/>
  <c r="BA465" i="4"/>
  <c r="BB270" i="4"/>
  <c r="BA454" i="4"/>
  <c r="BB259" i="4"/>
  <c r="BA453" i="4"/>
  <c r="BB258" i="4"/>
  <c r="AH430" i="4"/>
  <c r="AI235" i="4"/>
  <c r="T437" i="4"/>
  <c r="U242" i="4"/>
  <c r="T436" i="4"/>
  <c r="U241" i="4"/>
  <c r="T429" i="4"/>
  <c r="U234" i="4"/>
  <c r="T392" i="4"/>
  <c r="V466" i="4"/>
  <c r="V482" i="4" s="1"/>
  <c r="V287" i="4"/>
  <c r="W271" i="4"/>
  <c r="V264" i="4"/>
  <c r="U518" i="3"/>
  <c r="Q439" i="4"/>
  <c r="BC324" i="2" l="1"/>
  <c r="BB336" i="2"/>
  <c r="BC329" i="2"/>
  <c r="BB341" i="2"/>
  <c r="BA343" i="2"/>
  <c r="BC323" i="2"/>
  <c r="BB335" i="2"/>
  <c r="BC328" i="2"/>
  <c r="BB340" i="2"/>
  <c r="BC326" i="2"/>
  <c r="BB338" i="2"/>
  <c r="BC327" i="2"/>
  <c r="BB339" i="2"/>
  <c r="BC330" i="2"/>
  <c r="BB342" i="2"/>
  <c r="BC325" i="2"/>
  <c r="BB337" i="2"/>
  <c r="P441" i="4"/>
  <c r="P485" i="4" s="1"/>
  <c r="P487" i="4" s="1"/>
  <c r="R396" i="4"/>
  <c r="R438" i="4" s="1"/>
  <c r="Q428" i="4"/>
  <c r="R428" i="4" s="1"/>
  <c r="Q433" i="4"/>
  <c r="R433" i="4" s="1"/>
  <c r="U392" i="4"/>
  <c r="U418" i="4" s="1"/>
  <c r="Q432" i="4"/>
  <c r="R432" i="4" s="1"/>
  <c r="S394" i="4"/>
  <c r="S396" i="4" s="1"/>
  <c r="Q435" i="4"/>
  <c r="U426" i="4"/>
  <c r="U423" i="4"/>
  <c r="U421" i="4"/>
  <c r="W466" i="4"/>
  <c r="W482" i="4" s="1"/>
  <c r="W287" i="4"/>
  <c r="X271" i="4"/>
  <c r="W264" i="4"/>
  <c r="V518" i="3"/>
  <c r="R431" i="4"/>
  <c r="T426" i="4"/>
  <c r="T423" i="4"/>
  <c r="T421" i="4"/>
  <c r="T420" i="4"/>
  <c r="T418" i="4"/>
  <c r="T416" i="4"/>
  <c r="T415" i="4"/>
  <c r="T412" i="4"/>
  <c r="T404" i="4"/>
  <c r="T403" i="4"/>
  <c r="U429" i="4"/>
  <c r="V234" i="4"/>
  <c r="U436" i="4"/>
  <c r="V241" i="4"/>
  <c r="U437" i="4"/>
  <c r="V242" i="4"/>
  <c r="AI430" i="4"/>
  <c r="AJ235" i="4"/>
  <c r="BB453" i="4"/>
  <c r="BC258" i="4"/>
  <c r="BB454" i="4"/>
  <c r="BC259" i="4"/>
  <c r="BB465" i="4"/>
  <c r="BC270" i="4"/>
  <c r="BB467" i="4"/>
  <c r="BC272" i="4"/>
  <c r="BB468" i="4"/>
  <c r="BC273" i="4"/>
  <c r="BB471" i="4"/>
  <c r="BC276" i="4"/>
  <c r="BB472" i="4"/>
  <c r="BC277" i="4"/>
  <c r="BB473" i="4"/>
  <c r="BC278" i="4"/>
  <c r="BB476" i="4"/>
  <c r="BC281" i="4"/>
  <c r="BB478" i="4"/>
  <c r="BC283" i="4"/>
  <c r="BB480" i="4"/>
  <c r="BC285" i="4"/>
  <c r="W13" i="6"/>
  <c r="X6" i="6"/>
  <c r="X7" i="6"/>
  <c r="X8" i="6"/>
  <c r="X9" i="6"/>
  <c r="X10" i="6"/>
  <c r="W13" i="7"/>
  <c r="X6" i="7"/>
  <c r="X7" i="7"/>
  <c r="X8" i="7"/>
  <c r="X9" i="7"/>
  <c r="X10" i="7"/>
  <c r="X16" i="15"/>
  <c r="Y6" i="15"/>
  <c r="X29" i="15"/>
  <c r="Y19" i="15"/>
  <c r="W42" i="15"/>
  <c r="X32" i="15"/>
  <c r="X55" i="15"/>
  <c r="Y45" i="15"/>
  <c r="X68" i="15"/>
  <c r="Y58" i="15"/>
  <c r="W73" i="15"/>
  <c r="X71" i="15"/>
  <c r="W78" i="15"/>
  <c r="X76" i="15"/>
  <c r="X107" i="15"/>
  <c r="Y97" i="15"/>
  <c r="BD327" i="2" l="1"/>
  <c r="BC339" i="2"/>
  <c r="BD328" i="2"/>
  <c r="BC340" i="2"/>
  <c r="BD323" i="2"/>
  <c r="BC335" i="2"/>
  <c r="BD326" i="2"/>
  <c r="BC338" i="2"/>
  <c r="BD329" i="2"/>
  <c r="BC341" i="2"/>
  <c r="BD330" i="2"/>
  <c r="BC342" i="2"/>
  <c r="BB343" i="2"/>
  <c r="BD325" i="2"/>
  <c r="BC337" i="2"/>
  <c r="BD324" i="2"/>
  <c r="BC336" i="2"/>
  <c r="U420" i="4"/>
  <c r="R439" i="4"/>
  <c r="S439" i="4" s="1"/>
  <c r="R440" i="4"/>
  <c r="S440" i="4" s="1"/>
  <c r="U403" i="4"/>
  <c r="U404" i="4"/>
  <c r="U412" i="4"/>
  <c r="U415" i="4"/>
  <c r="U416" i="4"/>
  <c r="Q441" i="4"/>
  <c r="Q485" i="4" s="1"/>
  <c r="Q487" i="4" s="1"/>
  <c r="S395" i="4"/>
  <c r="S428" i="4" s="1"/>
  <c r="R435" i="4"/>
  <c r="T393" i="4"/>
  <c r="T394" i="4" s="1"/>
  <c r="T395" i="4" s="1"/>
  <c r="Y107" i="15"/>
  <c r="Z97" i="15"/>
  <c r="X78" i="15"/>
  <c r="Y76" i="15"/>
  <c r="X73" i="15"/>
  <c r="Y71" i="15"/>
  <c r="Y68" i="15"/>
  <c r="Z58" i="15"/>
  <c r="Y55" i="15"/>
  <c r="Z45" i="15"/>
  <c r="X42" i="15"/>
  <c r="Y32" i="15"/>
  <c r="Y29" i="15"/>
  <c r="Z19" i="15"/>
  <c r="Y16" i="15"/>
  <c r="Z6" i="15"/>
  <c r="Y10" i="7"/>
  <c r="Y9" i="7"/>
  <c r="Y8" i="7"/>
  <c r="Y7" i="7"/>
  <c r="X13" i="7"/>
  <c r="Y6" i="7"/>
  <c r="Y10" i="6"/>
  <c r="Y9" i="6"/>
  <c r="Y8" i="6"/>
  <c r="Y7" i="6"/>
  <c r="X13" i="6"/>
  <c r="Y6" i="6"/>
  <c r="BC480" i="4"/>
  <c r="BD285" i="4"/>
  <c r="BC478" i="4"/>
  <c r="BD283" i="4"/>
  <c r="BC476" i="4"/>
  <c r="BD281" i="4"/>
  <c r="BC473" i="4"/>
  <c r="BD278" i="4"/>
  <c r="BC472" i="4"/>
  <c r="BD277" i="4"/>
  <c r="BC471" i="4"/>
  <c r="BD276" i="4"/>
  <c r="BC468" i="4"/>
  <c r="BD273" i="4"/>
  <c r="BC467" i="4"/>
  <c r="BD272" i="4"/>
  <c r="BC465" i="4"/>
  <c r="BD270" i="4"/>
  <c r="BC454" i="4"/>
  <c r="BD259" i="4"/>
  <c r="BC453" i="4"/>
  <c r="BD258" i="4"/>
  <c r="AJ430" i="4"/>
  <c r="AK235" i="4"/>
  <c r="V437" i="4"/>
  <c r="W242" i="4"/>
  <c r="V436" i="4"/>
  <c r="W241" i="4"/>
  <c r="V429" i="4"/>
  <c r="W234" i="4"/>
  <c r="V392" i="4"/>
  <c r="X466" i="4"/>
  <c r="X482" i="4" s="1"/>
  <c r="X287" i="4"/>
  <c r="Y271" i="4"/>
  <c r="X264" i="4"/>
  <c r="W518" i="3"/>
  <c r="S438" i="4"/>
  <c r="BE329" i="2" l="1"/>
  <c r="BE341" i="2" s="1"/>
  <c r="BD341" i="2"/>
  <c r="BC343" i="2"/>
  <c r="BE323" i="2"/>
  <c r="BE335" i="2" s="1"/>
  <c r="BD335" i="2"/>
  <c r="BE324" i="2"/>
  <c r="BE336" i="2" s="1"/>
  <c r="BD336" i="2"/>
  <c r="BE326" i="2"/>
  <c r="BE338" i="2" s="1"/>
  <c r="BD338" i="2"/>
  <c r="BE328" i="2"/>
  <c r="BE340" i="2" s="1"/>
  <c r="BD340" i="2"/>
  <c r="BE330" i="2"/>
  <c r="BE342" i="2" s="1"/>
  <c r="BD342" i="2"/>
  <c r="BE325" i="2"/>
  <c r="BE337" i="2" s="1"/>
  <c r="BD337" i="2"/>
  <c r="BE327" i="2"/>
  <c r="BE339" i="2" s="1"/>
  <c r="BD339" i="2"/>
  <c r="R441" i="4"/>
  <c r="R485" i="4" s="1"/>
  <c r="R487" i="4" s="1"/>
  <c r="U393" i="4"/>
  <c r="U394" i="4" s="1"/>
  <c r="S435" i="4"/>
  <c r="S441" i="4" s="1"/>
  <c r="S485" i="4" s="1"/>
  <c r="S487" i="4" s="1"/>
  <c r="S431" i="4"/>
  <c r="T431" i="4" s="1"/>
  <c r="S433" i="4"/>
  <c r="T433" i="4" s="1"/>
  <c r="S432" i="4"/>
  <c r="T432" i="4" s="1"/>
  <c r="T396" i="4"/>
  <c r="T440" i="4" s="1"/>
  <c r="W392" i="4"/>
  <c r="W426" i="4" s="1"/>
  <c r="W423" i="4"/>
  <c r="Y466" i="4"/>
  <c r="Y482" i="4" s="1"/>
  <c r="Y287" i="4"/>
  <c r="Z271" i="4"/>
  <c r="Y264" i="4"/>
  <c r="X518" i="3"/>
  <c r="T428" i="4"/>
  <c r="V426" i="4"/>
  <c r="V423" i="4"/>
  <c r="V421" i="4"/>
  <c r="V420" i="4"/>
  <c r="V418" i="4"/>
  <c r="V416" i="4"/>
  <c r="V415" i="4"/>
  <c r="V412" i="4"/>
  <c r="V404" i="4"/>
  <c r="V403" i="4"/>
  <c r="W429" i="4"/>
  <c r="X234" i="4"/>
  <c r="W436" i="4"/>
  <c r="X241" i="4"/>
  <c r="W437" i="4"/>
  <c r="X242" i="4"/>
  <c r="AK430" i="4"/>
  <c r="AL235" i="4"/>
  <c r="BD453" i="4"/>
  <c r="BE258" i="4"/>
  <c r="BD454" i="4"/>
  <c r="BE259" i="4"/>
  <c r="BE454" i="4" s="1"/>
  <c r="BD465" i="4"/>
  <c r="BE270" i="4"/>
  <c r="BE465" i="4" s="1"/>
  <c r="BD467" i="4"/>
  <c r="BE272" i="4"/>
  <c r="BE467" i="4" s="1"/>
  <c r="BD468" i="4"/>
  <c r="BE273" i="4"/>
  <c r="BE468" i="4" s="1"/>
  <c r="BD471" i="4"/>
  <c r="BE276" i="4"/>
  <c r="BE471" i="4" s="1"/>
  <c r="BD472" i="4"/>
  <c r="BE277" i="4"/>
  <c r="BE472" i="4" s="1"/>
  <c r="BD473" i="4"/>
  <c r="BE278" i="4"/>
  <c r="BE473" i="4" s="1"/>
  <c r="BD476" i="4"/>
  <c r="BE281" i="4"/>
  <c r="BE476" i="4" s="1"/>
  <c r="BD478" i="4"/>
  <c r="BE283" i="4"/>
  <c r="BE478" i="4" s="1"/>
  <c r="BD480" i="4"/>
  <c r="BE285" i="4"/>
  <c r="BE480" i="4" s="1"/>
  <c r="Y13" i="6"/>
  <c r="Z6" i="6"/>
  <c r="Z7" i="6"/>
  <c r="Z8" i="6"/>
  <c r="Z9" i="6"/>
  <c r="Z10" i="6"/>
  <c r="Y13" i="7"/>
  <c r="Z6" i="7"/>
  <c r="Z7" i="7"/>
  <c r="Z8" i="7"/>
  <c r="Z9" i="7"/>
  <c r="Z10" i="7"/>
  <c r="Z16" i="15"/>
  <c r="AA6" i="15"/>
  <c r="Z29" i="15"/>
  <c r="AA19" i="15"/>
  <c r="Y42" i="15"/>
  <c r="Z32" i="15"/>
  <c r="Z55" i="15"/>
  <c r="AA45" i="15"/>
  <c r="Z68" i="15"/>
  <c r="AA58" i="15"/>
  <c r="Y73" i="15"/>
  <c r="Z71" i="15"/>
  <c r="Y78" i="15"/>
  <c r="Z76" i="15"/>
  <c r="Z107" i="15"/>
  <c r="AA97" i="15"/>
  <c r="BD343" i="2" l="1"/>
  <c r="BE343" i="2"/>
  <c r="U395" i="4"/>
  <c r="U431" i="4" s="1"/>
  <c r="U396" i="4"/>
  <c r="W416" i="4"/>
  <c r="W418" i="4"/>
  <c r="W420" i="4"/>
  <c r="W421" i="4"/>
  <c r="T435" i="4"/>
  <c r="U435" i="4" s="1"/>
  <c r="T439" i="4"/>
  <c r="U439" i="4" s="1"/>
  <c r="T438" i="4"/>
  <c r="U438" i="4" s="1"/>
  <c r="W403" i="4"/>
  <c r="W404" i="4"/>
  <c r="W412" i="4"/>
  <c r="V393" i="4"/>
  <c r="V394" i="4" s="1"/>
  <c r="V396" i="4" s="1"/>
  <c r="W415" i="4"/>
  <c r="AA107" i="15"/>
  <c r="AB97" i="15"/>
  <c r="Z78" i="15"/>
  <c r="AA76" i="15"/>
  <c r="Z73" i="15"/>
  <c r="AA71" i="15"/>
  <c r="AA68" i="15"/>
  <c r="AB58" i="15"/>
  <c r="AA55" i="15"/>
  <c r="AB45" i="15"/>
  <c r="Z42" i="15"/>
  <c r="AA32" i="15"/>
  <c r="AA29" i="15"/>
  <c r="AB19" i="15"/>
  <c r="AA16" i="15"/>
  <c r="AB6" i="15"/>
  <c r="AA10" i="7"/>
  <c r="AA9" i="7"/>
  <c r="AA8" i="7"/>
  <c r="AA7" i="7"/>
  <c r="Z13" i="7"/>
  <c r="AA6" i="7"/>
  <c r="AA10" i="6"/>
  <c r="AA9" i="6"/>
  <c r="AA8" i="6"/>
  <c r="AA7" i="6"/>
  <c r="Z13" i="6"/>
  <c r="AA6" i="6"/>
  <c r="BE453" i="4"/>
  <c r="AL430" i="4"/>
  <c r="AM235" i="4"/>
  <c r="X437" i="4"/>
  <c r="Y242" i="4"/>
  <c r="X436" i="4"/>
  <c r="Y241" i="4"/>
  <c r="X429" i="4"/>
  <c r="Y234" i="4"/>
  <c r="X392" i="4"/>
  <c r="Z466" i="4"/>
  <c r="Z482" i="4" s="1"/>
  <c r="Z287" i="4"/>
  <c r="AA271" i="4"/>
  <c r="Z264" i="4"/>
  <c r="Y518" i="3"/>
  <c r="U433" i="4"/>
  <c r="U432" i="4"/>
  <c r="U440" i="4"/>
  <c r="U428" i="4" l="1"/>
  <c r="W393" i="4"/>
  <c r="W394" i="4" s="1"/>
  <c r="W396" i="4" s="1"/>
  <c r="T441" i="4"/>
  <c r="T485" i="4" s="1"/>
  <c r="T487" i="4" s="1"/>
  <c r="Y392" i="4"/>
  <c r="Y403" i="4" s="1"/>
  <c r="V395" i="4"/>
  <c r="V433" i="4" s="1"/>
  <c r="U441" i="4"/>
  <c r="U485" i="4" s="1"/>
  <c r="U487" i="4" s="1"/>
  <c r="AA466" i="4"/>
  <c r="AA482" i="4" s="1"/>
  <c r="AA287" i="4"/>
  <c r="AB271" i="4"/>
  <c r="AA264" i="4"/>
  <c r="Z518" i="3"/>
  <c r="V440" i="4"/>
  <c r="V439" i="4"/>
  <c r="V438" i="4"/>
  <c r="V435" i="4"/>
  <c r="X426" i="4"/>
  <c r="X423" i="4"/>
  <c r="X421" i="4"/>
  <c r="X420" i="4"/>
  <c r="X418" i="4"/>
  <c r="X416" i="4"/>
  <c r="X415" i="4"/>
  <c r="X412" i="4"/>
  <c r="X404" i="4"/>
  <c r="X403" i="4"/>
  <c r="Y429" i="4"/>
  <c r="Z234" i="4"/>
  <c r="Y436" i="4"/>
  <c r="Z241" i="4"/>
  <c r="Y437" i="4"/>
  <c r="Z242" i="4"/>
  <c r="AM430" i="4"/>
  <c r="AN235" i="4"/>
  <c r="AA13" i="6"/>
  <c r="AB6" i="6"/>
  <c r="AB7" i="6"/>
  <c r="AB8" i="6"/>
  <c r="AB9" i="6"/>
  <c r="AB10" i="6"/>
  <c r="AA13" i="7"/>
  <c r="AB6" i="7"/>
  <c r="AB7" i="7"/>
  <c r="AB8" i="7"/>
  <c r="AB9" i="7"/>
  <c r="AB10" i="7"/>
  <c r="AB16" i="15"/>
  <c r="AC6" i="15"/>
  <c r="AB29" i="15"/>
  <c r="AC19" i="15"/>
  <c r="AA42" i="15"/>
  <c r="AB32" i="15"/>
  <c r="AB55" i="15"/>
  <c r="AC45" i="15"/>
  <c r="AB68" i="15"/>
  <c r="AC58" i="15"/>
  <c r="AA73" i="15"/>
  <c r="AB71" i="15"/>
  <c r="AA78" i="15"/>
  <c r="AB76" i="15"/>
  <c r="AB107" i="15"/>
  <c r="AC97" i="15"/>
  <c r="W395" i="4" l="1"/>
  <c r="W433" i="4" s="1"/>
  <c r="Y404" i="4"/>
  <c r="Y412" i="4"/>
  <c r="Y421" i="4"/>
  <c r="X393" i="4"/>
  <c r="X394" i="4" s="1"/>
  <c r="X396" i="4" s="1"/>
  <c r="V431" i="4"/>
  <c r="Y416" i="4"/>
  <c r="V428" i="4"/>
  <c r="Y415" i="4"/>
  <c r="V432" i="4"/>
  <c r="Y418" i="4"/>
  <c r="Y420" i="4"/>
  <c r="Y423" i="4"/>
  <c r="Y426" i="4"/>
  <c r="AC107" i="15"/>
  <c r="AD97" i="15"/>
  <c r="AB78" i="15"/>
  <c r="AC76" i="15"/>
  <c r="AB73" i="15"/>
  <c r="AC71" i="15"/>
  <c r="AC68" i="15"/>
  <c r="AD58" i="15"/>
  <c r="AC55" i="15"/>
  <c r="AD45" i="15"/>
  <c r="AB42" i="15"/>
  <c r="AC32" i="15"/>
  <c r="AC29" i="15"/>
  <c r="AD19" i="15"/>
  <c r="AC16" i="15"/>
  <c r="AD6" i="15"/>
  <c r="AC10" i="7"/>
  <c r="AC9" i="7"/>
  <c r="AC8" i="7"/>
  <c r="AC7" i="7"/>
  <c r="AB13" i="7"/>
  <c r="AC6" i="7"/>
  <c r="AC10" i="6"/>
  <c r="AC9" i="6"/>
  <c r="AC8" i="6"/>
  <c r="AC7" i="6"/>
  <c r="AB13" i="6"/>
  <c r="AC6" i="6"/>
  <c r="AN430" i="4"/>
  <c r="AO235" i="4"/>
  <c r="Z437" i="4"/>
  <c r="AA242" i="4"/>
  <c r="Z436" i="4"/>
  <c r="AA241" i="4"/>
  <c r="Z429" i="4"/>
  <c r="AA234" i="4"/>
  <c r="Z392" i="4"/>
  <c r="AB466" i="4"/>
  <c r="AB482" i="4" s="1"/>
  <c r="AB287" i="4"/>
  <c r="AC271" i="4"/>
  <c r="AB264" i="4"/>
  <c r="AA518" i="3"/>
  <c r="W440" i="4"/>
  <c r="W439" i="4"/>
  <c r="W438" i="4"/>
  <c r="W435" i="4"/>
  <c r="W432" i="4" l="1"/>
  <c r="W431" i="4"/>
  <c r="X395" i="4"/>
  <c r="Y393" i="4"/>
  <c r="Y394" i="4" s="1"/>
  <c r="Y396" i="4" s="1"/>
  <c r="V441" i="4"/>
  <c r="V485" i="4" s="1"/>
  <c r="V487" i="4" s="1"/>
  <c r="W428" i="4"/>
  <c r="X428" i="4" s="1"/>
  <c r="AA392" i="4"/>
  <c r="AA415" i="4" s="1"/>
  <c r="AA423" i="4"/>
  <c r="AA421" i="4"/>
  <c r="AA420" i="4"/>
  <c r="AA418" i="4"/>
  <c r="AC466" i="4"/>
  <c r="AC482" i="4" s="1"/>
  <c r="AC287" i="4"/>
  <c r="AD271" i="4"/>
  <c r="AC264" i="4"/>
  <c r="AB518" i="3"/>
  <c r="X433" i="4"/>
  <c r="X432" i="4"/>
  <c r="X431" i="4"/>
  <c r="X440" i="4"/>
  <c r="X439" i="4"/>
  <c r="X438" i="4"/>
  <c r="X435" i="4"/>
  <c r="Z426" i="4"/>
  <c r="Z423" i="4"/>
  <c r="Z421" i="4"/>
  <c r="Z420" i="4"/>
  <c r="Z418" i="4"/>
  <c r="Z416" i="4"/>
  <c r="Z415" i="4"/>
  <c r="Z412" i="4"/>
  <c r="Z404" i="4"/>
  <c r="Z403" i="4"/>
  <c r="AA429" i="4"/>
  <c r="AB234" i="4"/>
  <c r="AA436" i="4"/>
  <c r="AB241" i="4"/>
  <c r="AA437" i="4"/>
  <c r="AB242" i="4"/>
  <c r="AO430" i="4"/>
  <c r="AP235" i="4"/>
  <c r="AC13" i="6"/>
  <c r="AD6" i="6"/>
  <c r="AD7" i="6"/>
  <c r="AD8" i="6"/>
  <c r="AD9" i="6"/>
  <c r="AD10" i="6"/>
  <c r="AC13" i="7"/>
  <c r="AD6" i="7"/>
  <c r="AD7" i="7"/>
  <c r="AD8" i="7"/>
  <c r="AD9" i="7"/>
  <c r="AD10" i="7"/>
  <c r="AD16" i="15"/>
  <c r="AE6" i="15"/>
  <c r="AD29" i="15"/>
  <c r="AE19" i="15"/>
  <c r="AC42" i="15"/>
  <c r="AD32" i="15"/>
  <c r="AD55" i="15"/>
  <c r="AE45" i="15"/>
  <c r="AD68" i="15"/>
  <c r="AE58" i="15"/>
  <c r="AC73" i="15"/>
  <c r="AD71" i="15"/>
  <c r="AC78" i="15"/>
  <c r="AD76" i="15"/>
  <c r="AD107" i="15"/>
  <c r="AE97" i="15"/>
  <c r="W441" i="4" l="1"/>
  <c r="W485" i="4" s="1"/>
  <c r="W487" i="4" s="1"/>
  <c r="AA426" i="4"/>
  <c r="Y395" i="4"/>
  <c r="AA403" i="4"/>
  <c r="AA404" i="4"/>
  <c r="AA416" i="4"/>
  <c r="AA412" i="4"/>
  <c r="Z393" i="4"/>
  <c r="Z394" i="4" s="1"/>
  <c r="Z395" i="4" s="1"/>
  <c r="AA393" i="4"/>
  <c r="AA394" i="4" s="1"/>
  <c r="AE107" i="15"/>
  <c r="AF97" i="15"/>
  <c r="AD78" i="15"/>
  <c r="AE76" i="15"/>
  <c r="AD73" i="15"/>
  <c r="AE71" i="15"/>
  <c r="AE68" i="15"/>
  <c r="AF58" i="15"/>
  <c r="AE55" i="15"/>
  <c r="AF45" i="15"/>
  <c r="AD42" i="15"/>
  <c r="AE32" i="15"/>
  <c r="AE29" i="15"/>
  <c r="AF19" i="15"/>
  <c r="AE16" i="15"/>
  <c r="AF6" i="15"/>
  <c r="AE10" i="7"/>
  <c r="AE9" i="7"/>
  <c r="AE8" i="7"/>
  <c r="AE7" i="7"/>
  <c r="AD13" i="7"/>
  <c r="AE6" i="7"/>
  <c r="AE10" i="6"/>
  <c r="AE9" i="6"/>
  <c r="AE8" i="6"/>
  <c r="AE7" i="6"/>
  <c r="AD13" i="6"/>
  <c r="AE6" i="6"/>
  <c r="AP430" i="4"/>
  <c r="AQ235" i="4"/>
  <c r="AB437" i="4"/>
  <c r="AC242" i="4"/>
  <c r="AB436" i="4"/>
  <c r="AC241" i="4"/>
  <c r="AB429" i="4"/>
  <c r="AC234" i="4"/>
  <c r="AB392" i="4"/>
  <c r="Y428" i="4"/>
  <c r="X441" i="4"/>
  <c r="X485" i="4" s="1"/>
  <c r="X487" i="4" s="1"/>
  <c r="AD466" i="4"/>
  <c r="AD482" i="4" s="1"/>
  <c r="AD287" i="4"/>
  <c r="AE271" i="4"/>
  <c r="AD264" i="4"/>
  <c r="AC518" i="3"/>
  <c r="Y433" i="4"/>
  <c r="Y432" i="4"/>
  <c r="Y431" i="4"/>
  <c r="Y440" i="4"/>
  <c r="Y439" i="4"/>
  <c r="Y438" i="4"/>
  <c r="Y435" i="4"/>
  <c r="Z396" i="4" l="1"/>
  <c r="AC392" i="4"/>
  <c r="AC403" i="4" s="1"/>
  <c r="AA396" i="4"/>
  <c r="AA395" i="4"/>
  <c r="AC420" i="4"/>
  <c r="AC415" i="4"/>
  <c r="AC412" i="4"/>
  <c r="AC404" i="4"/>
  <c r="AE466" i="4"/>
  <c r="AE482" i="4" s="1"/>
  <c r="AE287" i="4"/>
  <c r="AF271" i="4"/>
  <c r="AE264" i="4"/>
  <c r="AD518" i="3"/>
  <c r="Z428" i="4"/>
  <c r="Y441" i="4"/>
  <c r="Y485" i="4" s="1"/>
  <c r="Y487" i="4" s="1"/>
  <c r="Z433" i="4"/>
  <c r="Z432" i="4"/>
  <c r="Z431" i="4"/>
  <c r="Z440" i="4"/>
  <c r="Z439" i="4"/>
  <c r="Z438" i="4"/>
  <c r="Z435" i="4"/>
  <c r="AB426" i="4"/>
  <c r="AB423" i="4"/>
  <c r="AB421" i="4"/>
  <c r="AB420" i="4"/>
  <c r="AB418" i="4"/>
  <c r="AB416" i="4"/>
  <c r="AB415" i="4"/>
  <c r="AB412" i="4"/>
  <c r="AB404" i="4"/>
  <c r="AB403" i="4"/>
  <c r="AC429" i="4"/>
  <c r="AD234" i="4"/>
  <c r="AC436" i="4"/>
  <c r="AD241" i="4"/>
  <c r="AC437" i="4"/>
  <c r="AD242" i="4"/>
  <c r="AQ430" i="4"/>
  <c r="AR235" i="4"/>
  <c r="AE13" i="6"/>
  <c r="AF6" i="6"/>
  <c r="AF7" i="6"/>
  <c r="AF8" i="6"/>
  <c r="AF9" i="6"/>
  <c r="AF10" i="6"/>
  <c r="AE13" i="7"/>
  <c r="AF6" i="7"/>
  <c r="AF7" i="7"/>
  <c r="AF8" i="7"/>
  <c r="AF9" i="7"/>
  <c r="AF10" i="7"/>
  <c r="AF16" i="15"/>
  <c r="AG6" i="15"/>
  <c r="AF29" i="15"/>
  <c r="AG19" i="15"/>
  <c r="AE42" i="15"/>
  <c r="AF32" i="15"/>
  <c r="AF55" i="15"/>
  <c r="AG45" i="15"/>
  <c r="AF68" i="15"/>
  <c r="AG58" i="15"/>
  <c r="AE73" i="15"/>
  <c r="AF71" i="15"/>
  <c r="AE78" i="15"/>
  <c r="AF76" i="15"/>
  <c r="AF107" i="15"/>
  <c r="AG97" i="15"/>
  <c r="AC416" i="4" l="1"/>
  <c r="AC418" i="4"/>
  <c r="AC421" i="4"/>
  <c r="AC423" i="4"/>
  <c r="AC426" i="4"/>
  <c r="AC393" i="4" s="1"/>
  <c r="AB393" i="4"/>
  <c r="AB394" i="4" s="1"/>
  <c r="AB396" i="4" s="1"/>
  <c r="AG107" i="15"/>
  <c r="AH97" i="15"/>
  <c r="AF78" i="15"/>
  <c r="AG76" i="15"/>
  <c r="AF73" i="15"/>
  <c r="AG71" i="15"/>
  <c r="AG68" i="15"/>
  <c r="AH58" i="15"/>
  <c r="AG55" i="15"/>
  <c r="AH45" i="15"/>
  <c r="AF42" i="15"/>
  <c r="AG32" i="15"/>
  <c r="AG29" i="15"/>
  <c r="AH19" i="15"/>
  <c r="AG16" i="15"/>
  <c r="AH6" i="15"/>
  <c r="AG10" i="7"/>
  <c r="AG9" i="7"/>
  <c r="AG8" i="7"/>
  <c r="AG7" i="7"/>
  <c r="AF13" i="7"/>
  <c r="AG6" i="7"/>
  <c r="AG10" i="6"/>
  <c r="AG9" i="6"/>
  <c r="AG8" i="6"/>
  <c r="AG7" i="6"/>
  <c r="AF13" i="6"/>
  <c r="AG6" i="6"/>
  <c r="AR430" i="4"/>
  <c r="AS235" i="4"/>
  <c r="AD437" i="4"/>
  <c r="AE242" i="4"/>
  <c r="AD436" i="4"/>
  <c r="AE241" i="4"/>
  <c r="AD429" i="4"/>
  <c r="AE234" i="4"/>
  <c r="AD392" i="4"/>
  <c r="AA428" i="4"/>
  <c r="Z441" i="4"/>
  <c r="Z485" i="4" s="1"/>
  <c r="Z487" i="4" s="1"/>
  <c r="AF466" i="4"/>
  <c r="AF482" i="4" s="1"/>
  <c r="AF287" i="4"/>
  <c r="AG271" i="4"/>
  <c r="AF264" i="4"/>
  <c r="AE518" i="3"/>
  <c r="AA433" i="4"/>
  <c r="AA432" i="4"/>
  <c r="AA431" i="4"/>
  <c r="AA440" i="4"/>
  <c r="AA439" i="4"/>
  <c r="AA438" i="4"/>
  <c r="AA435" i="4"/>
  <c r="AB395" i="4" l="1"/>
  <c r="AE392" i="4"/>
  <c r="AE415" i="4" s="1"/>
  <c r="AC394" i="4"/>
  <c r="AC396" i="4"/>
  <c r="AC395" i="4"/>
  <c r="AE416" i="4"/>
  <c r="AG466" i="4"/>
  <c r="AG482" i="4" s="1"/>
  <c r="AG287" i="4"/>
  <c r="AH271" i="4"/>
  <c r="AG264" i="4"/>
  <c r="AF518" i="3"/>
  <c r="AB428" i="4"/>
  <c r="AA441" i="4"/>
  <c r="AA485" i="4" s="1"/>
  <c r="AA487" i="4" s="1"/>
  <c r="AB433" i="4"/>
  <c r="AB432" i="4"/>
  <c r="AB431" i="4"/>
  <c r="AB440" i="4"/>
  <c r="AB439" i="4"/>
  <c r="AB438" i="4"/>
  <c r="AB435" i="4"/>
  <c r="AD426" i="4"/>
  <c r="AD423" i="4"/>
  <c r="AD421" i="4"/>
  <c r="AD420" i="4"/>
  <c r="AD418" i="4"/>
  <c r="AD416" i="4"/>
  <c r="AD415" i="4"/>
  <c r="AD412" i="4"/>
  <c r="AD404" i="4"/>
  <c r="AD403" i="4"/>
  <c r="AE429" i="4"/>
  <c r="AF234" i="4"/>
  <c r="AE436" i="4"/>
  <c r="AF241" i="4"/>
  <c r="AE437" i="4"/>
  <c r="AF242" i="4"/>
  <c r="AS430" i="4"/>
  <c r="AT235" i="4"/>
  <c r="AG13" i="6"/>
  <c r="AH6" i="6"/>
  <c r="AH7" i="6"/>
  <c r="AH8" i="6"/>
  <c r="AH9" i="6"/>
  <c r="AH10" i="6"/>
  <c r="AG13" i="7"/>
  <c r="AH6" i="7"/>
  <c r="AH7" i="7"/>
  <c r="AH8" i="7"/>
  <c r="AH9" i="7"/>
  <c r="AH10" i="7"/>
  <c r="AH16" i="15"/>
  <c r="AI6" i="15"/>
  <c r="AH29" i="15"/>
  <c r="AI19" i="15"/>
  <c r="AG42" i="15"/>
  <c r="AH32" i="15"/>
  <c r="AH55" i="15"/>
  <c r="AI45" i="15"/>
  <c r="AH68" i="15"/>
  <c r="AI58" i="15"/>
  <c r="AG73" i="15"/>
  <c r="AH71" i="15"/>
  <c r="AG78" i="15"/>
  <c r="AH76" i="15"/>
  <c r="AH107" i="15"/>
  <c r="AI97" i="15"/>
  <c r="AE418" i="4" l="1"/>
  <c r="AE420" i="4"/>
  <c r="AE421" i="4"/>
  <c r="AE423" i="4"/>
  <c r="AE426" i="4"/>
  <c r="AE403" i="4"/>
  <c r="AE404" i="4"/>
  <c r="AE412" i="4"/>
  <c r="AD393" i="4"/>
  <c r="AD394" i="4" s="1"/>
  <c r="AD396" i="4" s="1"/>
  <c r="AI107" i="15"/>
  <c r="AJ97" i="15"/>
  <c r="AJ107" i="15" s="1"/>
  <c r="AH78" i="15"/>
  <c r="AI76" i="15"/>
  <c r="AH73" i="15"/>
  <c r="AI71" i="15"/>
  <c r="AI68" i="15"/>
  <c r="AJ58" i="15"/>
  <c r="AJ68" i="15" s="1"/>
  <c r="AI55" i="15"/>
  <c r="AJ45" i="15"/>
  <c r="AJ55" i="15" s="1"/>
  <c r="AH42" i="15"/>
  <c r="AI32" i="15"/>
  <c r="AI29" i="15"/>
  <c r="AJ19" i="15"/>
  <c r="AJ29" i="15" s="1"/>
  <c r="AI16" i="15"/>
  <c r="AJ6" i="15"/>
  <c r="AJ16" i="15" s="1"/>
  <c r="AI10" i="7"/>
  <c r="AJ10" i="7" s="1"/>
  <c r="AI9" i="7"/>
  <c r="AJ9" i="7" s="1"/>
  <c r="AI8" i="7"/>
  <c r="AJ8" i="7" s="1"/>
  <c r="AI7" i="7"/>
  <c r="AJ7" i="7" s="1"/>
  <c r="AH13" i="7"/>
  <c r="AI6" i="7"/>
  <c r="AI10" i="6"/>
  <c r="AJ10" i="6" s="1"/>
  <c r="AI9" i="6"/>
  <c r="AJ9" i="6" s="1"/>
  <c r="AI8" i="6"/>
  <c r="AJ8" i="6" s="1"/>
  <c r="AI7" i="6"/>
  <c r="AJ7" i="6" s="1"/>
  <c r="AH13" i="6"/>
  <c r="AI6" i="6"/>
  <c r="AT430" i="4"/>
  <c r="AU235" i="4"/>
  <c r="AF437" i="4"/>
  <c r="AG242" i="4"/>
  <c r="AF436" i="4"/>
  <c r="AG241" i="4"/>
  <c r="AF429" i="4"/>
  <c r="AG234" i="4"/>
  <c r="AF392" i="4"/>
  <c r="AC428" i="4"/>
  <c r="AB441" i="4"/>
  <c r="AB485" i="4" s="1"/>
  <c r="AB487" i="4" s="1"/>
  <c r="AH466" i="4"/>
  <c r="AH482" i="4" s="1"/>
  <c r="AH287" i="4"/>
  <c r="AI271" i="4"/>
  <c r="AH264" i="4"/>
  <c r="AG518" i="3"/>
  <c r="AC433" i="4"/>
  <c r="AC432" i="4"/>
  <c r="AC431" i="4"/>
  <c r="AC440" i="4"/>
  <c r="AC439" i="4"/>
  <c r="AC438" i="4"/>
  <c r="AC435" i="4"/>
  <c r="AD395" i="4" l="1"/>
  <c r="AE393" i="4"/>
  <c r="AE394" i="4" s="1"/>
  <c r="AG392" i="4"/>
  <c r="AG403" i="4" s="1"/>
  <c r="AE396" i="4"/>
  <c r="AE395" i="4"/>
  <c r="AG416" i="4"/>
  <c r="AG415" i="4"/>
  <c r="AG412" i="4"/>
  <c r="AG404" i="4"/>
  <c r="AI466" i="4"/>
  <c r="AI482" i="4" s="1"/>
  <c r="AI287" i="4"/>
  <c r="AJ271" i="4"/>
  <c r="AI264" i="4"/>
  <c r="AH518" i="3"/>
  <c r="AD428" i="4"/>
  <c r="AC441" i="4"/>
  <c r="AC485" i="4" s="1"/>
  <c r="AC487" i="4" s="1"/>
  <c r="AD433" i="4"/>
  <c r="AD432" i="4"/>
  <c r="AD431" i="4"/>
  <c r="AD440" i="4"/>
  <c r="AD439" i="4"/>
  <c r="AD438" i="4"/>
  <c r="AD435" i="4"/>
  <c r="AF426" i="4"/>
  <c r="AF423" i="4"/>
  <c r="AF421" i="4"/>
  <c r="AF420" i="4"/>
  <c r="AF418" i="4"/>
  <c r="AF416" i="4"/>
  <c r="AF415" i="4"/>
  <c r="AF412" i="4"/>
  <c r="AF404" i="4"/>
  <c r="AF403" i="4"/>
  <c r="AG429" i="4"/>
  <c r="AH234" i="4"/>
  <c r="AG436" i="4"/>
  <c r="AH241" i="4"/>
  <c r="AG437" i="4"/>
  <c r="AH242" i="4"/>
  <c r="AU430" i="4"/>
  <c r="AV235" i="4"/>
  <c r="AI13" i="6"/>
  <c r="AJ6" i="6"/>
  <c r="AJ13" i="6" s="1"/>
  <c r="AI13" i="7"/>
  <c r="AJ6" i="7"/>
  <c r="AJ13" i="7" s="1"/>
  <c r="AI42" i="15"/>
  <c r="AJ32" i="15"/>
  <c r="AJ42" i="15" s="1"/>
  <c r="AI73" i="15"/>
  <c r="AJ71" i="15"/>
  <c r="AJ73" i="15" s="1"/>
  <c r="AI78" i="15"/>
  <c r="AJ76" i="15"/>
  <c r="AJ78" i="15" s="1"/>
  <c r="AF393" i="4" l="1"/>
  <c r="AF394" i="4" s="1"/>
  <c r="AG418" i="4"/>
  <c r="AG420" i="4"/>
  <c r="AG421" i="4"/>
  <c r="AG423" i="4"/>
  <c r="AG426" i="4"/>
  <c r="AV430" i="4"/>
  <c r="AW235" i="4"/>
  <c r="AH437" i="4"/>
  <c r="AI242" i="4"/>
  <c r="AH436" i="4"/>
  <c r="AI241" i="4"/>
  <c r="AH429" i="4"/>
  <c r="AI234" i="4"/>
  <c r="AH392" i="4"/>
  <c r="AF396" i="4"/>
  <c r="AF395" i="4"/>
  <c r="AE428" i="4"/>
  <c r="AD441" i="4"/>
  <c r="AD485" i="4" s="1"/>
  <c r="AD487" i="4" s="1"/>
  <c r="AJ466" i="4"/>
  <c r="AJ482" i="4" s="1"/>
  <c r="AJ287" i="4"/>
  <c r="AK271" i="4"/>
  <c r="AJ264" i="4"/>
  <c r="AI518" i="3"/>
  <c r="AE433" i="4"/>
  <c r="AE432" i="4"/>
  <c r="AE431" i="4"/>
  <c r="AE440" i="4"/>
  <c r="AE439" i="4"/>
  <c r="AE438" i="4"/>
  <c r="AE435" i="4"/>
  <c r="AG393" i="4" l="1"/>
  <c r="AG394" i="4" s="1"/>
  <c r="AG395" i="4" s="1"/>
  <c r="AI392" i="4"/>
  <c r="AI403" i="4" s="1"/>
  <c r="AI418" i="4"/>
  <c r="AI416" i="4"/>
  <c r="AI415" i="4"/>
  <c r="AK466" i="4"/>
  <c r="AK482" i="4" s="1"/>
  <c r="AK287" i="4"/>
  <c r="AL271" i="4"/>
  <c r="AK264" i="4"/>
  <c r="AL264" i="4" s="1"/>
  <c r="AM264" i="4" s="1"/>
  <c r="AN264" i="4" s="1"/>
  <c r="AO264" i="4" s="1"/>
  <c r="AP264" i="4" s="1"/>
  <c r="AQ264" i="4" s="1"/>
  <c r="AR264" i="4" s="1"/>
  <c r="AS264" i="4" s="1"/>
  <c r="AT264" i="4" s="1"/>
  <c r="AU264" i="4" s="1"/>
  <c r="AV264" i="4" s="1"/>
  <c r="AW264" i="4" s="1"/>
  <c r="AX264" i="4" s="1"/>
  <c r="AY264" i="4" s="1"/>
  <c r="AZ264" i="4" s="1"/>
  <c r="BA264" i="4" s="1"/>
  <c r="BB264" i="4" s="1"/>
  <c r="BC264" i="4" s="1"/>
  <c r="BD264" i="4" s="1"/>
  <c r="BE264" i="4" s="1"/>
  <c r="AJ518" i="3"/>
  <c r="AF428" i="4"/>
  <c r="AE441" i="4"/>
  <c r="AE485" i="4" s="1"/>
  <c r="AE487" i="4" s="1"/>
  <c r="AF433" i="4"/>
  <c r="AF432" i="4"/>
  <c r="AF431" i="4"/>
  <c r="AF440" i="4"/>
  <c r="AF439" i="4"/>
  <c r="AF438" i="4"/>
  <c r="AF435" i="4"/>
  <c r="AH426" i="4"/>
  <c r="AH423" i="4"/>
  <c r="AH421" i="4"/>
  <c r="AH420" i="4"/>
  <c r="AH418" i="4"/>
  <c r="AH416" i="4"/>
  <c r="AH415" i="4"/>
  <c r="AH412" i="4"/>
  <c r="AH404" i="4"/>
  <c r="AH403" i="4"/>
  <c r="AI429" i="4"/>
  <c r="AJ234" i="4"/>
  <c r="AI436" i="4"/>
  <c r="AJ241" i="4"/>
  <c r="AI437" i="4"/>
  <c r="AJ242" i="4"/>
  <c r="AW430" i="4"/>
  <c r="AX235" i="4"/>
  <c r="AI420" i="4" l="1"/>
  <c r="AI421" i="4"/>
  <c r="AI423" i="4"/>
  <c r="AI426" i="4"/>
  <c r="AG396" i="4"/>
  <c r="AG440" i="4" s="1"/>
  <c r="AH393" i="4"/>
  <c r="AH394" i="4" s="1"/>
  <c r="AH396" i="4" s="1"/>
  <c r="AI404" i="4"/>
  <c r="AI412" i="4"/>
  <c r="AI393" i="4" s="1"/>
  <c r="AI394" i="4" s="1"/>
  <c r="AX430" i="4"/>
  <c r="AY235" i="4"/>
  <c r="AJ437" i="4"/>
  <c r="AK242" i="4"/>
  <c r="AJ436" i="4"/>
  <c r="AK241" i="4"/>
  <c r="AJ429" i="4"/>
  <c r="AK234" i="4"/>
  <c r="AJ392" i="4"/>
  <c r="AG428" i="4"/>
  <c r="AF441" i="4"/>
  <c r="AF485" i="4" s="1"/>
  <c r="AF487" i="4" s="1"/>
  <c r="AL466" i="4"/>
  <c r="AL482" i="4" s="1"/>
  <c r="AM271" i="4"/>
  <c r="AL287" i="4"/>
  <c r="AK518" i="3"/>
  <c r="AG433" i="4"/>
  <c r="AG432" i="4"/>
  <c r="AG431" i="4"/>
  <c r="AK392" i="4" l="1"/>
  <c r="AK416" i="4" s="1"/>
  <c r="AH395" i="4"/>
  <c r="AH432" i="4" s="1"/>
  <c r="AG435" i="4"/>
  <c r="AH435" i="4" s="1"/>
  <c r="AG438" i="4"/>
  <c r="AH438" i="4" s="1"/>
  <c r="AG439" i="4"/>
  <c r="AH439" i="4" s="1"/>
  <c r="AI396" i="4"/>
  <c r="AI395" i="4"/>
  <c r="AK426" i="4"/>
  <c r="AK423" i="4"/>
  <c r="AK421" i="4"/>
  <c r="AK420" i="4"/>
  <c r="AK418" i="4"/>
  <c r="AK415" i="4"/>
  <c r="AK412" i="4"/>
  <c r="AK404" i="4"/>
  <c r="AK403" i="4"/>
  <c r="AL518" i="3"/>
  <c r="AM466" i="4"/>
  <c r="AM482" i="4" s="1"/>
  <c r="AN271" i="4"/>
  <c r="AM287" i="4"/>
  <c r="AH428" i="4"/>
  <c r="AH440" i="4"/>
  <c r="AJ426" i="4"/>
  <c r="AJ423" i="4"/>
  <c r="AJ421" i="4"/>
  <c r="AJ420" i="4"/>
  <c r="AJ418" i="4"/>
  <c r="AJ416" i="4"/>
  <c r="AJ415" i="4"/>
  <c r="AJ412" i="4"/>
  <c r="AJ404" i="4"/>
  <c r="AJ403" i="4"/>
  <c r="AK429" i="4"/>
  <c r="AL234" i="4"/>
  <c r="AK436" i="4"/>
  <c r="AL241" i="4"/>
  <c r="AK437" i="4"/>
  <c r="AL242" i="4"/>
  <c r="AY430" i="4"/>
  <c r="AZ235" i="4"/>
  <c r="AH433" i="4" l="1"/>
  <c r="AG441" i="4"/>
  <c r="AG485" i="4" s="1"/>
  <c r="AG487" i="4" s="1"/>
  <c r="AH431" i="4"/>
  <c r="AH441" i="4" s="1"/>
  <c r="AH485" i="4" s="1"/>
  <c r="AH487" i="4" s="1"/>
  <c r="AJ393" i="4"/>
  <c r="AJ394" i="4" s="1"/>
  <c r="AJ396" i="4" s="1"/>
  <c r="AK393" i="4"/>
  <c r="AK394" i="4" s="1"/>
  <c r="AZ430" i="4"/>
  <c r="BA235" i="4"/>
  <c r="AL437" i="4"/>
  <c r="AM242" i="4"/>
  <c r="AL436" i="4"/>
  <c r="AM241" i="4"/>
  <c r="AL429" i="4"/>
  <c r="AM234" i="4"/>
  <c r="AM392" i="4" s="1"/>
  <c r="AL392" i="4"/>
  <c r="AJ395" i="4"/>
  <c r="AI428" i="4"/>
  <c r="AM518" i="3"/>
  <c r="AN466" i="4"/>
  <c r="AN482" i="4" s="1"/>
  <c r="AO271" i="4"/>
  <c r="AN287" i="4"/>
  <c r="AI433" i="4"/>
  <c r="AI432" i="4"/>
  <c r="AI440" i="4"/>
  <c r="AI439" i="4"/>
  <c r="AI438" i="4"/>
  <c r="AI435" i="4"/>
  <c r="AI431" i="4" l="1"/>
  <c r="AJ431" i="4" s="1"/>
  <c r="AK396" i="4"/>
  <c r="AK395" i="4"/>
  <c r="AN518" i="3"/>
  <c r="AO466" i="4"/>
  <c r="AO482" i="4" s="1"/>
  <c r="AP271" i="4"/>
  <c r="AO287" i="4"/>
  <c r="AM426" i="4"/>
  <c r="AM423" i="4"/>
  <c r="AM421" i="4"/>
  <c r="AM420" i="4"/>
  <c r="AM418" i="4"/>
  <c r="AM416" i="4"/>
  <c r="AM415" i="4"/>
  <c r="AM412" i="4"/>
  <c r="AM404" i="4"/>
  <c r="AM403" i="4"/>
  <c r="AJ428" i="4"/>
  <c r="AJ433" i="4"/>
  <c r="AJ432" i="4"/>
  <c r="AJ440" i="4"/>
  <c r="AJ439" i="4"/>
  <c r="AJ438" i="4"/>
  <c r="AJ435" i="4"/>
  <c r="AL426" i="4"/>
  <c r="AL423" i="4"/>
  <c r="AL421" i="4"/>
  <c r="AL420" i="4"/>
  <c r="AL418" i="4"/>
  <c r="AL416" i="4"/>
  <c r="AL415" i="4"/>
  <c r="AL412" i="4"/>
  <c r="AL404" i="4"/>
  <c r="AL403" i="4"/>
  <c r="AM429" i="4"/>
  <c r="AN234" i="4"/>
  <c r="AM436" i="4"/>
  <c r="AN241" i="4"/>
  <c r="AM437" i="4"/>
  <c r="AN242" i="4"/>
  <c r="BA430" i="4"/>
  <c r="BB235" i="4"/>
  <c r="AI441" i="4" l="1"/>
  <c r="AI485" i="4" s="1"/>
  <c r="AI487" i="4" s="1"/>
  <c r="AM393" i="4"/>
  <c r="AL393" i="4"/>
  <c r="AL394" i="4" s="1"/>
  <c r="AL396" i="4" s="1"/>
  <c r="BB430" i="4"/>
  <c r="BC235" i="4"/>
  <c r="AN437" i="4"/>
  <c r="AO242" i="4"/>
  <c r="AN436" i="4"/>
  <c r="AO241" i="4"/>
  <c r="AN429" i="4"/>
  <c r="AO234" i="4"/>
  <c r="AO392" i="4" s="1"/>
  <c r="AN392" i="4"/>
  <c r="AK428" i="4"/>
  <c r="AJ441" i="4"/>
  <c r="AJ485" i="4" s="1"/>
  <c r="AJ487" i="4" s="1"/>
  <c r="AO518" i="3"/>
  <c r="AP466" i="4"/>
  <c r="AP482" i="4" s="1"/>
  <c r="AQ271" i="4"/>
  <c r="AP287" i="4"/>
  <c r="AK433" i="4"/>
  <c r="AK432" i="4"/>
  <c r="AK431" i="4"/>
  <c r="AK440" i="4"/>
  <c r="AK439" i="4"/>
  <c r="AL439" i="4" s="1"/>
  <c r="AM439" i="4" s="1"/>
  <c r="AN439" i="4" s="1"/>
  <c r="AO439" i="4" s="1"/>
  <c r="AP439" i="4" s="1"/>
  <c r="AQ439" i="4" s="1"/>
  <c r="AR439" i="4" s="1"/>
  <c r="AS439" i="4" s="1"/>
  <c r="AT439" i="4" s="1"/>
  <c r="AU439" i="4" s="1"/>
  <c r="AV439" i="4" s="1"/>
  <c r="AW439" i="4" s="1"/>
  <c r="AX439" i="4" s="1"/>
  <c r="AY439" i="4" s="1"/>
  <c r="AZ439" i="4" s="1"/>
  <c r="BA439" i="4" s="1"/>
  <c r="BB439" i="4" s="1"/>
  <c r="BC439" i="4" s="1"/>
  <c r="BD439" i="4" s="1"/>
  <c r="BE439" i="4" s="1"/>
  <c r="AK438" i="4"/>
  <c r="AK435" i="4"/>
  <c r="AL395" i="4" l="1"/>
  <c r="AM394" i="4"/>
  <c r="AP518" i="3"/>
  <c r="AQ466" i="4"/>
  <c r="AQ482" i="4" s="1"/>
  <c r="AR271" i="4"/>
  <c r="AQ287" i="4"/>
  <c r="AO426" i="4"/>
  <c r="AO423" i="4"/>
  <c r="AO421" i="4"/>
  <c r="AO420" i="4"/>
  <c r="AO418" i="4"/>
  <c r="AO416" i="4"/>
  <c r="AO415" i="4"/>
  <c r="AO412" i="4"/>
  <c r="AO404" i="4"/>
  <c r="AO403" i="4"/>
  <c r="AM396" i="4"/>
  <c r="AM395" i="4"/>
  <c r="AL428" i="4"/>
  <c r="AK441" i="4"/>
  <c r="AK485" i="4" s="1"/>
  <c r="AK487" i="4" s="1"/>
  <c r="AL433" i="4"/>
  <c r="AL432" i="4"/>
  <c r="AL431" i="4"/>
  <c r="AL440" i="4"/>
  <c r="AL438" i="4"/>
  <c r="AL435" i="4"/>
  <c r="AN426" i="4"/>
  <c r="AN423" i="4"/>
  <c r="AN421" i="4"/>
  <c r="AN420" i="4"/>
  <c r="AN418" i="4"/>
  <c r="AN416" i="4"/>
  <c r="AN415" i="4"/>
  <c r="AN412" i="4"/>
  <c r="AN404" i="4"/>
  <c r="AN403" i="4"/>
  <c r="AO429" i="4"/>
  <c r="AP234" i="4"/>
  <c r="AO436" i="4"/>
  <c r="AP241" i="4"/>
  <c r="AO437" i="4"/>
  <c r="AP242" i="4"/>
  <c r="BC430" i="4"/>
  <c r="BD235" i="4"/>
  <c r="AN393" i="4" l="1"/>
  <c r="AN394" i="4" s="1"/>
  <c r="AN396" i="4" s="1"/>
  <c r="AO393" i="4"/>
  <c r="BD430" i="4"/>
  <c r="BE235" i="4"/>
  <c r="BE430" i="4" s="1"/>
  <c r="AP437" i="4"/>
  <c r="AQ242" i="4"/>
  <c r="AP436" i="4"/>
  <c r="AQ241" i="4"/>
  <c r="AP429" i="4"/>
  <c r="AQ234" i="4"/>
  <c r="AQ392" i="4" s="1"/>
  <c r="AP392" i="4"/>
  <c r="AM428" i="4"/>
  <c r="AL441" i="4"/>
  <c r="AL485" i="4" s="1"/>
  <c r="AL487" i="4" s="1"/>
  <c r="AM433" i="4"/>
  <c r="AM432" i="4"/>
  <c r="AM431" i="4"/>
  <c r="AM440" i="4"/>
  <c r="AM438" i="4"/>
  <c r="AM435" i="4"/>
  <c r="AQ518" i="3"/>
  <c r="AR466" i="4"/>
  <c r="AR482" i="4" s="1"/>
  <c r="AS271" i="4"/>
  <c r="AR287" i="4"/>
  <c r="AN395" i="4" l="1"/>
  <c r="AO394" i="4"/>
  <c r="AR518" i="3"/>
  <c r="AS466" i="4"/>
  <c r="AS482" i="4" s="1"/>
  <c r="AT271" i="4"/>
  <c r="AS287" i="4"/>
  <c r="AQ426" i="4"/>
  <c r="AQ423" i="4"/>
  <c r="AQ421" i="4"/>
  <c r="AQ420" i="4"/>
  <c r="AQ418" i="4"/>
  <c r="AQ416" i="4"/>
  <c r="AQ415" i="4"/>
  <c r="AQ412" i="4"/>
  <c r="AQ404" i="4"/>
  <c r="AQ403" i="4"/>
  <c r="AO396" i="4"/>
  <c r="AO395" i="4"/>
  <c r="AN428" i="4"/>
  <c r="AM441" i="4"/>
  <c r="AM485" i="4" s="1"/>
  <c r="AM487" i="4" s="1"/>
  <c r="AN433" i="4"/>
  <c r="AN432" i="4"/>
  <c r="AN431" i="4"/>
  <c r="AN440" i="4"/>
  <c r="AN438" i="4"/>
  <c r="AN435" i="4"/>
  <c r="AP426" i="4"/>
  <c r="AP423" i="4"/>
  <c r="AP421" i="4"/>
  <c r="AP420" i="4"/>
  <c r="AP418" i="4"/>
  <c r="AP416" i="4"/>
  <c r="AP415" i="4"/>
  <c r="AP412" i="4"/>
  <c r="AP404" i="4"/>
  <c r="AP403" i="4"/>
  <c r="AQ429" i="4"/>
  <c r="AR234" i="4"/>
  <c r="AQ436" i="4"/>
  <c r="AR241" i="4"/>
  <c r="AQ437" i="4"/>
  <c r="AR242" i="4"/>
  <c r="AP393" i="4" l="1"/>
  <c r="AP394" i="4" s="1"/>
  <c r="AP395" i="4" s="1"/>
  <c r="AQ393" i="4"/>
  <c r="AR437" i="4"/>
  <c r="AS242" i="4"/>
  <c r="AR436" i="4"/>
  <c r="AS241" i="4"/>
  <c r="AR429" i="4"/>
  <c r="AS234" i="4"/>
  <c r="AR392" i="4"/>
  <c r="AO428" i="4"/>
  <c r="AN441" i="4"/>
  <c r="AN485" i="4" s="1"/>
  <c r="AN487" i="4" s="1"/>
  <c r="AO433" i="4"/>
  <c r="AO432" i="4"/>
  <c r="AO431" i="4"/>
  <c r="AO440" i="4"/>
  <c r="AO438" i="4"/>
  <c r="AO435" i="4"/>
  <c r="AS392" i="4"/>
  <c r="AS518" i="3"/>
  <c r="AT466" i="4"/>
  <c r="AT482" i="4" s="1"/>
  <c r="AU271" i="4"/>
  <c r="AT287" i="4"/>
  <c r="AP396" i="4" l="1"/>
  <c r="AQ394" i="4"/>
  <c r="AT518" i="3"/>
  <c r="AU466" i="4"/>
  <c r="AU482" i="4" s="1"/>
  <c r="AV271" i="4"/>
  <c r="AU287" i="4"/>
  <c r="AS426" i="4"/>
  <c r="AS423" i="4"/>
  <c r="AS421" i="4"/>
  <c r="AS420" i="4"/>
  <c r="AS418" i="4"/>
  <c r="AS416" i="4"/>
  <c r="AS415" i="4"/>
  <c r="AS412" i="4"/>
  <c r="AS404" i="4"/>
  <c r="AS403" i="4"/>
  <c r="AQ396" i="4"/>
  <c r="AQ395" i="4"/>
  <c r="AP428" i="4"/>
  <c r="AO441" i="4"/>
  <c r="AO485" i="4" s="1"/>
  <c r="AO487" i="4" s="1"/>
  <c r="AP433" i="4"/>
  <c r="AP432" i="4"/>
  <c r="AP431" i="4"/>
  <c r="AP440" i="4"/>
  <c r="AP438" i="4"/>
  <c r="AP435" i="4"/>
  <c r="AR426" i="4"/>
  <c r="AR423" i="4"/>
  <c r="AR421" i="4"/>
  <c r="AR420" i="4"/>
  <c r="AR418" i="4"/>
  <c r="AR416" i="4"/>
  <c r="AR415" i="4"/>
  <c r="AR412" i="4"/>
  <c r="AR404" i="4"/>
  <c r="AR403" i="4"/>
  <c r="AS429" i="4"/>
  <c r="AT234" i="4"/>
  <c r="AS436" i="4"/>
  <c r="AT241" i="4"/>
  <c r="AS437" i="4"/>
  <c r="AT242" i="4"/>
  <c r="AR393" i="4" l="1"/>
  <c r="AR394" i="4" s="1"/>
  <c r="AR396" i="4" s="1"/>
  <c r="AS393" i="4"/>
  <c r="AT437" i="4"/>
  <c r="AU242" i="4"/>
  <c r="AT436" i="4"/>
  <c r="AU241" i="4"/>
  <c r="AT429" i="4"/>
  <c r="AU234" i="4"/>
  <c r="AU392" i="4" s="1"/>
  <c r="AT392" i="4"/>
  <c r="AQ428" i="4"/>
  <c r="AP441" i="4"/>
  <c r="AP485" i="4" s="1"/>
  <c r="AP487" i="4" s="1"/>
  <c r="AQ433" i="4"/>
  <c r="AQ432" i="4"/>
  <c r="AQ431" i="4"/>
  <c r="AQ440" i="4"/>
  <c r="AQ438" i="4"/>
  <c r="AQ435" i="4"/>
  <c r="AU518" i="3"/>
  <c r="AV466" i="4"/>
  <c r="AV482" i="4" s="1"/>
  <c r="AW271" i="4"/>
  <c r="AV287" i="4"/>
  <c r="AR395" i="4" l="1"/>
  <c r="AS394" i="4"/>
  <c r="AV518" i="3"/>
  <c r="AW466" i="4"/>
  <c r="AW482" i="4" s="1"/>
  <c r="AX271" i="4"/>
  <c r="AW287" i="4"/>
  <c r="AU426" i="4"/>
  <c r="AU423" i="4"/>
  <c r="AU421" i="4"/>
  <c r="AU420" i="4"/>
  <c r="AU418" i="4"/>
  <c r="AU416" i="4"/>
  <c r="AU415" i="4"/>
  <c r="AU412" i="4"/>
  <c r="AU404" i="4"/>
  <c r="AU403" i="4"/>
  <c r="AS396" i="4"/>
  <c r="AS395" i="4"/>
  <c r="AR428" i="4"/>
  <c r="AQ441" i="4"/>
  <c r="AQ485" i="4" s="1"/>
  <c r="AQ487" i="4" s="1"/>
  <c r="AR433" i="4"/>
  <c r="AR432" i="4"/>
  <c r="AR431" i="4"/>
  <c r="AR440" i="4"/>
  <c r="AR438" i="4"/>
  <c r="AR435" i="4"/>
  <c r="AT426" i="4"/>
  <c r="AT423" i="4"/>
  <c r="AT421" i="4"/>
  <c r="AT420" i="4"/>
  <c r="AT418" i="4"/>
  <c r="AT416" i="4"/>
  <c r="AT415" i="4"/>
  <c r="AT412" i="4"/>
  <c r="AT404" i="4"/>
  <c r="AT403" i="4"/>
  <c r="AU429" i="4"/>
  <c r="AV234" i="4"/>
  <c r="AU436" i="4"/>
  <c r="AV241" i="4"/>
  <c r="AU437" i="4"/>
  <c r="AV242" i="4"/>
  <c r="AT393" i="4" l="1"/>
  <c r="AT394" i="4" s="1"/>
  <c r="AU393" i="4"/>
  <c r="AV437" i="4"/>
  <c r="AW242" i="4"/>
  <c r="AV436" i="4"/>
  <c r="AW241" i="4"/>
  <c r="AV429" i="4"/>
  <c r="AW234" i="4"/>
  <c r="AW392" i="4" s="1"/>
  <c r="AV392" i="4"/>
  <c r="AT396" i="4"/>
  <c r="AT395" i="4"/>
  <c r="AS428" i="4"/>
  <c r="AR441" i="4"/>
  <c r="AR485" i="4" s="1"/>
  <c r="AR487" i="4" s="1"/>
  <c r="AS433" i="4"/>
  <c r="AS432" i="4"/>
  <c r="AS431" i="4"/>
  <c r="AS440" i="4"/>
  <c r="AS438" i="4"/>
  <c r="AS435" i="4"/>
  <c r="AU394" i="4"/>
  <c r="AW518" i="3"/>
  <c r="AX466" i="4"/>
  <c r="AX482" i="4" s="1"/>
  <c r="AY271" i="4"/>
  <c r="AX287" i="4"/>
  <c r="AX518" i="3" l="1"/>
  <c r="AY466" i="4"/>
  <c r="AY482" i="4" s="1"/>
  <c r="AZ271" i="4"/>
  <c r="AY287" i="4"/>
  <c r="AW426" i="4"/>
  <c r="AW423" i="4"/>
  <c r="AW421" i="4"/>
  <c r="AW420" i="4"/>
  <c r="AW418" i="4"/>
  <c r="AW416" i="4"/>
  <c r="AW415" i="4"/>
  <c r="AW412" i="4"/>
  <c r="AW404" i="4"/>
  <c r="AW403" i="4"/>
  <c r="AU396" i="4"/>
  <c r="AU395" i="4"/>
  <c r="AT428" i="4"/>
  <c r="AS441" i="4"/>
  <c r="AS485" i="4" s="1"/>
  <c r="AS487" i="4" s="1"/>
  <c r="AT433" i="4"/>
  <c r="AT432" i="4"/>
  <c r="AT431" i="4"/>
  <c r="AT440" i="4"/>
  <c r="AT438" i="4"/>
  <c r="AT435" i="4"/>
  <c r="AV426" i="4"/>
  <c r="AV423" i="4"/>
  <c r="AV421" i="4"/>
  <c r="AV420" i="4"/>
  <c r="AV418" i="4"/>
  <c r="AV416" i="4"/>
  <c r="AV415" i="4"/>
  <c r="AV412" i="4"/>
  <c r="AV404" i="4"/>
  <c r="AV403" i="4"/>
  <c r="AW429" i="4"/>
  <c r="AX234" i="4"/>
  <c r="AW436" i="4"/>
  <c r="AX241" i="4"/>
  <c r="AW437" i="4"/>
  <c r="AX242" i="4"/>
  <c r="AV393" i="4" l="1"/>
  <c r="AV394" i="4" s="1"/>
  <c r="AV396" i="4" s="1"/>
  <c r="AW393" i="4"/>
  <c r="AX437" i="4"/>
  <c r="AY242" i="4"/>
  <c r="AX436" i="4"/>
  <c r="AY241" i="4"/>
  <c r="AX429" i="4"/>
  <c r="AY234" i="4"/>
  <c r="AX392" i="4"/>
  <c r="AU428" i="4"/>
  <c r="AT441" i="4"/>
  <c r="AT485" i="4" s="1"/>
  <c r="AT487" i="4" s="1"/>
  <c r="AU433" i="4"/>
  <c r="AU432" i="4"/>
  <c r="AU431" i="4"/>
  <c r="AU440" i="4"/>
  <c r="AU438" i="4"/>
  <c r="AU435" i="4"/>
  <c r="AY392" i="4"/>
  <c r="AY518" i="3"/>
  <c r="AZ466" i="4"/>
  <c r="AZ482" i="4" s="1"/>
  <c r="BA271" i="4"/>
  <c r="AZ287" i="4"/>
  <c r="AV395" i="4" l="1"/>
  <c r="AV433" i="4" s="1"/>
  <c r="AW394" i="4"/>
  <c r="AZ518" i="3"/>
  <c r="BA466" i="4"/>
  <c r="BA482" i="4" s="1"/>
  <c r="BB271" i="4"/>
  <c r="BA287" i="4"/>
  <c r="AY426" i="4"/>
  <c r="AY423" i="4"/>
  <c r="AY421" i="4"/>
  <c r="AY420" i="4"/>
  <c r="AY418" i="4"/>
  <c r="AY416" i="4"/>
  <c r="AY415" i="4"/>
  <c r="AY412" i="4"/>
  <c r="AY404" i="4"/>
  <c r="AY403" i="4"/>
  <c r="AW396" i="4"/>
  <c r="AW395" i="4"/>
  <c r="AV428" i="4"/>
  <c r="AU441" i="4"/>
  <c r="AU485" i="4" s="1"/>
  <c r="AU487" i="4" s="1"/>
  <c r="AV440" i="4"/>
  <c r="AV438" i="4"/>
  <c r="AV435" i="4"/>
  <c r="AX426" i="4"/>
  <c r="AX423" i="4"/>
  <c r="AX421" i="4"/>
  <c r="AX420" i="4"/>
  <c r="AX418" i="4"/>
  <c r="AX416" i="4"/>
  <c r="AX415" i="4"/>
  <c r="AX412" i="4"/>
  <c r="AX404" i="4"/>
  <c r="AX403" i="4"/>
  <c r="AX393" i="4" s="1"/>
  <c r="AX394" i="4" s="1"/>
  <c r="AY429" i="4"/>
  <c r="AZ234" i="4"/>
  <c r="AY436" i="4"/>
  <c r="AZ241" i="4"/>
  <c r="AY437" i="4"/>
  <c r="AZ242" i="4"/>
  <c r="AV432" i="4" l="1"/>
  <c r="AV431" i="4"/>
  <c r="AY393" i="4"/>
  <c r="AZ437" i="4"/>
  <c r="BA242" i="4"/>
  <c r="AZ436" i="4"/>
  <c r="BA241" i="4"/>
  <c r="AZ429" i="4"/>
  <c r="BA234" i="4"/>
  <c r="AZ392" i="4"/>
  <c r="AX396" i="4"/>
  <c r="AX395" i="4"/>
  <c r="AW428" i="4"/>
  <c r="AW433" i="4"/>
  <c r="AW431" i="4"/>
  <c r="AW440" i="4"/>
  <c r="AW438" i="4"/>
  <c r="AW435" i="4"/>
  <c r="AY394" i="4"/>
  <c r="BA392" i="4"/>
  <c r="BA518" i="3"/>
  <c r="BB466" i="4"/>
  <c r="BB482" i="4" s="1"/>
  <c r="BC271" i="4"/>
  <c r="BB287" i="4"/>
  <c r="AV441" i="4" l="1"/>
  <c r="AV485" i="4" s="1"/>
  <c r="AV487" i="4" s="1"/>
  <c r="AW432" i="4"/>
  <c r="AW441" i="4" s="1"/>
  <c r="AW485" i="4" s="1"/>
  <c r="AW487" i="4" s="1"/>
  <c r="BB518" i="3"/>
  <c r="BC466" i="4"/>
  <c r="BC482" i="4" s="1"/>
  <c r="BD271" i="4"/>
  <c r="BC287" i="4"/>
  <c r="BA426" i="4"/>
  <c r="BA423" i="4"/>
  <c r="BA421" i="4"/>
  <c r="BA420" i="4"/>
  <c r="BA418" i="4"/>
  <c r="BA416" i="4"/>
  <c r="BA415" i="4"/>
  <c r="BA412" i="4"/>
  <c r="BA404" i="4"/>
  <c r="BA403" i="4"/>
  <c r="AY396" i="4"/>
  <c r="AY395" i="4"/>
  <c r="AX428" i="4"/>
  <c r="AX433" i="4"/>
  <c r="AX431" i="4"/>
  <c r="AX440" i="4"/>
  <c r="AX438" i="4"/>
  <c r="AX435" i="4"/>
  <c r="AZ426" i="4"/>
  <c r="AZ423" i="4"/>
  <c r="AZ421" i="4"/>
  <c r="AZ420" i="4"/>
  <c r="AZ418" i="4"/>
  <c r="AZ416" i="4"/>
  <c r="AZ415" i="4"/>
  <c r="AZ412" i="4"/>
  <c r="AZ404" i="4"/>
  <c r="AZ403" i="4"/>
  <c r="AZ393" i="4" s="1"/>
  <c r="AZ394" i="4" s="1"/>
  <c r="BA429" i="4"/>
  <c r="BB234" i="4"/>
  <c r="BA436" i="4"/>
  <c r="BB241" i="4"/>
  <c r="BA437" i="4"/>
  <c r="BB242" i="4"/>
  <c r="AX432" i="4" l="1"/>
  <c r="AY432" i="4" s="1"/>
  <c r="BA393" i="4"/>
  <c r="BB437" i="4"/>
  <c r="BC242" i="4"/>
  <c r="BB436" i="4"/>
  <c r="BC241" i="4"/>
  <c r="BB429" i="4"/>
  <c r="BC234" i="4"/>
  <c r="BB392" i="4"/>
  <c r="AZ396" i="4"/>
  <c r="AZ395" i="4"/>
  <c r="AY428" i="4"/>
  <c r="AX441" i="4"/>
  <c r="AX485" i="4" s="1"/>
  <c r="AX487" i="4" s="1"/>
  <c r="AY433" i="4"/>
  <c r="AY431" i="4"/>
  <c r="AY440" i="4"/>
  <c r="AY438" i="4"/>
  <c r="AY435" i="4"/>
  <c r="BA394" i="4"/>
  <c r="BC392" i="4"/>
  <c r="BC518" i="3"/>
  <c r="BD466" i="4"/>
  <c r="BD482" i="4" s="1"/>
  <c r="BE271" i="4"/>
  <c r="BD287" i="4"/>
  <c r="BD518" i="3" l="1"/>
  <c r="BE466" i="4"/>
  <c r="BE482" i="4" s="1"/>
  <c r="BE287" i="4"/>
  <c r="BC426" i="4"/>
  <c r="BC423" i="4"/>
  <c r="BC421" i="4"/>
  <c r="BC420" i="4"/>
  <c r="BC418" i="4"/>
  <c r="BC416" i="4"/>
  <c r="BC415" i="4"/>
  <c r="BC412" i="4"/>
  <c r="BC404" i="4"/>
  <c r="BC403" i="4"/>
  <c r="BA396" i="4"/>
  <c r="BA395" i="4"/>
  <c r="AZ428" i="4"/>
  <c r="AY441" i="4"/>
  <c r="AY485" i="4" s="1"/>
  <c r="AY487" i="4" s="1"/>
  <c r="AZ433" i="4"/>
  <c r="AZ432" i="4"/>
  <c r="AZ431" i="4"/>
  <c r="AZ440" i="4"/>
  <c r="AZ438" i="4"/>
  <c r="AZ435" i="4"/>
  <c r="BA435" i="4" s="1"/>
  <c r="BB435" i="4" s="1"/>
  <c r="BC435" i="4" s="1"/>
  <c r="BD435" i="4" s="1"/>
  <c r="BE435" i="4" s="1"/>
  <c r="BB426" i="4"/>
  <c r="BB423" i="4"/>
  <c r="BB421" i="4"/>
  <c r="BB420" i="4"/>
  <c r="BB418" i="4"/>
  <c r="BB416" i="4"/>
  <c r="BB415" i="4"/>
  <c r="BB412" i="4"/>
  <c r="BB404" i="4"/>
  <c r="BB403" i="4"/>
  <c r="BC429" i="4"/>
  <c r="BD234" i="4"/>
  <c r="BC436" i="4"/>
  <c r="BD241" i="4"/>
  <c r="BC437" i="4"/>
  <c r="BD242" i="4"/>
  <c r="BB393" i="4" l="1"/>
  <c r="BB394" i="4" s="1"/>
  <c r="BB395" i="4" s="1"/>
  <c r="BC393" i="4"/>
  <c r="BD437" i="4"/>
  <c r="BE242" i="4"/>
  <c r="BE437" i="4" s="1"/>
  <c r="BD436" i="4"/>
  <c r="BE241" i="4"/>
  <c r="BE436" i="4" s="1"/>
  <c r="BD429" i="4"/>
  <c r="BE234" i="4"/>
  <c r="BE429" i="4" s="1"/>
  <c r="BD392" i="4"/>
  <c r="BA428" i="4"/>
  <c r="AZ441" i="4"/>
  <c r="AZ485" i="4" s="1"/>
  <c r="AZ487" i="4" s="1"/>
  <c r="BA433" i="4"/>
  <c r="BA432" i="4"/>
  <c r="BA431" i="4"/>
  <c r="BA440" i="4"/>
  <c r="BA438" i="4"/>
  <c r="BE518" i="3"/>
  <c r="BE392" i="4" l="1"/>
  <c r="BB396" i="4"/>
  <c r="BB440" i="4" s="1"/>
  <c r="BC394" i="4"/>
  <c r="BE426" i="4"/>
  <c r="BE423" i="4"/>
  <c r="BE421" i="4"/>
  <c r="BE420" i="4"/>
  <c r="BE418" i="4"/>
  <c r="BE416" i="4"/>
  <c r="BE415" i="4"/>
  <c r="BE412" i="4"/>
  <c r="BE404" i="4"/>
  <c r="BE403" i="4"/>
  <c r="BC396" i="4"/>
  <c r="BC395" i="4"/>
  <c r="BB428" i="4"/>
  <c r="BA441" i="4"/>
  <c r="BA485" i="4" s="1"/>
  <c r="BA487" i="4" s="1"/>
  <c r="BB433" i="4"/>
  <c r="BB432" i="4"/>
  <c r="BB431" i="4"/>
  <c r="BD426" i="4"/>
  <c r="BD423" i="4"/>
  <c r="BD421" i="4"/>
  <c r="BD420" i="4"/>
  <c r="BD418" i="4"/>
  <c r="BD416" i="4"/>
  <c r="BD415" i="4"/>
  <c r="BD412" i="4"/>
  <c r="BD404" i="4"/>
  <c r="BD403" i="4"/>
  <c r="BB438" i="4" l="1"/>
  <c r="BB441" i="4" s="1"/>
  <c r="BB485" i="4" s="1"/>
  <c r="BB487" i="4" s="1"/>
  <c r="BD393" i="4"/>
  <c r="BD394" i="4" s="1"/>
  <c r="BD396" i="4" s="1"/>
  <c r="BE393" i="4"/>
  <c r="BD395" i="4"/>
  <c r="BC428" i="4"/>
  <c r="BC433" i="4"/>
  <c r="BC432" i="4"/>
  <c r="BC431" i="4"/>
  <c r="BC440" i="4"/>
  <c r="BE394" i="4"/>
  <c r="BC438" i="4" l="1"/>
  <c r="BC441" i="4" s="1"/>
  <c r="BC485" i="4" s="1"/>
  <c r="BC487" i="4" s="1"/>
  <c r="BE396" i="4"/>
  <c r="BE395" i="4"/>
  <c r="BD428" i="4"/>
  <c r="BD433" i="4"/>
  <c r="BD432" i="4"/>
  <c r="BD431" i="4"/>
  <c r="BD440" i="4"/>
  <c r="BD438" i="4"/>
  <c r="BE428" i="4" l="1"/>
  <c r="BD441" i="4"/>
  <c r="BD485" i="4" s="1"/>
  <c r="BD487" i="4" s="1"/>
  <c r="BE433" i="4"/>
  <c r="BE432" i="4"/>
  <c r="BE431" i="4"/>
  <c r="BE440" i="4"/>
  <c r="BE438" i="4"/>
  <c r="BE441" i="4" l="1"/>
  <c r="BE485" i="4" s="1"/>
  <c r="BE48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tc={1E73908E-7E21-4615-BECE-27A7C8D11B31}</author>
    <author>tc={77D84016-0DE8-407F-85C8-5E27EEF71A61}</author>
  </authors>
  <commentList>
    <comment ref="D37" authorId="0" shapeId="0" xr:uid="{00000000-0006-0000-0100-000001000000}">
      <text>
        <r>
          <rPr>
            <sz val="11"/>
            <color theme="1"/>
            <rFont val="Open Sans"/>
            <family val="2"/>
            <scheme val="minor"/>
          </rPr>
          <t>======
ID#AAAArZSiZP8
ucr    (2022-11-23 02:14:51)
No se asumen pérdidas en el proceso de extracción</t>
        </r>
      </text>
    </comment>
    <comment ref="E199" authorId="1" shapeId="0" xr:uid="{1E73908E-7E21-4615-BECE-27A7C8D11B31}">
      <text>
        <t xml:space="preserve">[Threaded comment]
Your version of Excel allows you to read this threaded comment; however, any edits to it will get removed if the file is opened in a newer version of Excel. Learn more: https://go.microsoft.com/fwlink/?linkid=870924
Comment:
    estos valores son de carga a refinerías no de consumo. El consumo de petróleo en, según datos de la ARCRNNR son nulos. </t>
      </text>
    </comment>
    <comment ref="I199" authorId="2" shapeId="0" xr:uid="{77D84016-0DE8-407F-85C8-5E27EEF71A61}">
      <text>
        <t xml:space="preserve">[Threaded comment]
Your version of Excel allows you to read this threaded comment; however, any edits to it will get removed if the file is opened in a newer version of Excel. Learn more: https://go.microsoft.com/fwlink/?linkid=870924
Comment:
    estos valores son de carga a refinerías no de consumo. El consumo de petróleo en, según datos de la ARCRNNR son nulos. </t>
      </text>
    </comment>
    <comment ref="C308" authorId="0" shapeId="0" xr:uid="{00000000-0006-0000-0100-000002000000}">
      <text>
        <r>
          <rPr>
            <sz val="11"/>
            <color theme="1"/>
            <rFont val="Open Sans"/>
            <family val="2"/>
            <scheme val="minor"/>
          </rPr>
          <t>======
ID#AAAArZSiZPk
tc={2720C424-EFE2-41E9-96C1-F58EB615F7FC}    (2022-11-23 02:14:51)
[Threaded comment]
Your version of Excel allows you to read this threaded comment; however, any edits to it will get removed if the file is opened in a newer version of Excel. Learn more: https://go.microsoft.com/fwlink/?linkid=870924
Comment:
    Esto lo calcula el equipo UCR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78" authorId="0" shapeId="0" xr:uid="{00000000-0006-0000-0200-000006000000}">
      <text>
        <r>
          <rPr>
            <sz val="11"/>
            <color theme="1"/>
            <rFont val="Open Sans"/>
            <family val="2"/>
            <scheme val="minor"/>
          </rPr>
          <t>======
ID#AAAAmSYig8M
tc={6655A617-E40B-403D-AF3E-A07032BD52FE}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 ref="D103" authorId="0" shapeId="0" xr:uid="{00000000-0006-0000-0200-000005000000}">
      <text>
        <r>
          <rPr>
            <sz val="11"/>
            <color theme="1"/>
            <rFont val="Open Sans"/>
            <family val="2"/>
            <scheme val="minor"/>
          </rPr>
          <t>======
ID#AAAArZSiZPs
tc={FC7B471B-3A9E-462C-8218-AFCA79F0999D}    (2022-11-23 02:14:51)
[Threaded comment]
Your version of Excel allows you to read this threaded comment; however, any edits to it will get removed if the file is opened in a newer version of Excel. Learn more: https://go.microsoft.com/fwlink/?linkid=870924
Comment:
    Nueva capacidad proyectada en los planes de expansión
Reply:
    Por favor categorizar igual que las tecnologías definidas en la capacidad instalada</t>
        </r>
      </text>
    </comment>
    <comment ref="I104" authorId="0" shapeId="0" xr:uid="{00000000-0006-0000-0200-000002000000}">
      <text>
        <r>
          <rPr>
            <sz val="11"/>
            <color theme="1"/>
            <rFont val="Open Sans"/>
            <family val="2"/>
            <scheme val="minor"/>
          </rPr>
          <t>======
ID#AAAAvSpYZa8
tc={76DC6C20-DA40-4C1D-B4A8-CB33F3D32C17}    (2023-04-18 18:00:33)
[Threaded comment]
Your version of Excel allows you to read this threaded comment; however, any edits to it will get removed if the file is opened in a newer version of Excel. Learn more: https://go.microsoft.com/fwlink/?linkid=870924
Comment:
    El 27 de Marzo se modificó las celdas que están en amarillo según el Excel compartido por el Ministerio de Energía en donde se modificó las fechas de ingreso de los proyectos.</t>
        </r>
      </text>
    </comment>
    <comment ref="C168" authorId="0" shapeId="0" xr:uid="{00000000-0006-0000-0200-00000A000000}">
      <text>
        <r>
          <rPr>
            <sz val="11"/>
            <color theme="1"/>
            <rFont val="Open Sans"/>
            <family val="2"/>
            <scheme val="minor"/>
          </rPr>
          <t>======
ID#AAAAmSYig8A
tc={6655A617-E40B-403D-AF3E-A07032BD52FE}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 ref="D178" authorId="0" shapeId="0" xr:uid="{00000000-0006-0000-0200-000003000000}">
      <text>
        <r>
          <rPr>
            <sz val="11"/>
            <color theme="1"/>
            <rFont val="Open Sans"/>
            <family val="2"/>
            <scheme val="minor"/>
          </rPr>
          <t>======
ID#AAAArZSiZPQ
tc={917D6582-6E5A-417E-A3E3-18667A6EA939}    (2022-11-23 02:14:51)
[Threaded comment]
Your version of Excel allows you to read this threaded comment; however, any edits to it will get removed if the file is opened in a newer version of Excel. Learn more: https://go.microsoft.com/fwlink/?linkid=870924
Comment:
    Esto está relacionado a la vida útil remanente, nos permite calcular la capacidad residual de cada tecnología. Una planta que ya tiene 25 años operando podría salir antes de operación</t>
        </r>
      </text>
    </comment>
    <comment ref="E267" authorId="0" shapeId="0" xr:uid="{00000000-0006-0000-0200-000001000000}">
      <text>
        <r>
          <rPr>
            <sz val="11"/>
            <color theme="1"/>
            <rFont val="Open Sans"/>
            <family val="2"/>
            <scheme val="minor"/>
          </rPr>
          <t>La planta que estaba categorizada con consumo de combustible "Otro" en realidad consume "Diesel" por lo que se debería agrupar bajo la categoría de Diesel.
======</t>
        </r>
      </text>
    </comment>
    <comment ref="C323" authorId="0" shapeId="0" xr:uid="{00000000-0006-0000-0200-000008000000}">
      <text>
        <r>
          <rPr>
            <sz val="11"/>
            <color theme="1"/>
            <rFont val="Open Sans"/>
            <family val="2"/>
            <scheme val="minor"/>
          </rPr>
          <t>======
ID#AAAArZSiZPU
tc={AFE08CCD-9A6E-404B-A0D9-C28B2690EF58}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 ref="C421" authorId="0" shapeId="0" xr:uid="{00000000-0006-0000-0200-000009000000}">
      <text>
        <r>
          <rPr>
            <sz val="11"/>
            <color theme="1"/>
            <rFont val="Open Sans"/>
            <family val="2"/>
            <scheme val="minor"/>
          </rPr>
          <t>======
ID#AAAArZSiZPo
tc={B03E35E0-DA1C-4972-8232-F5264CE6869F}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 ref="E465" authorId="0" shapeId="0" xr:uid="{00000000-0006-0000-0200-00000C000000}">
      <text>
        <r>
          <rPr>
            <sz val="11"/>
            <color theme="1"/>
            <rFont val="Open Sans"/>
            <family val="2"/>
            <scheme val="minor"/>
          </rPr>
          <t>======
ID#AAAAgbo_QmY
Lissete Dávila    (2022-09-20 01:05:50)
Ver "Copia de Electricidad" el por qué se utiliza las pérdidas en PJ en vez del %.</t>
        </r>
      </text>
    </comment>
    <comment ref="E472" authorId="0" shapeId="0" xr:uid="{00000000-0006-0000-0200-00000D000000}">
      <text>
        <r>
          <rPr>
            <sz val="11"/>
            <color theme="1"/>
            <rFont val="Open Sans"/>
            <family val="2"/>
            <scheme val="minor"/>
          </rPr>
          <t>======
ID#AAAAiBj5k7I
Lissete Dávila    (2022-09-20 01:04:50)
Ver "Copia de Electricidad" el por qué se utiliza las pérdidas en PJ en vez del %.</t>
        </r>
      </text>
    </comment>
    <comment ref="I479" authorId="0" shapeId="0" xr:uid="{00000000-0006-0000-0200-000004000000}">
      <text>
        <r>
          <rPr>
            <sz val="11"/>
            <color theme="1"/>
            <rFont val="Open Sans"/>
            <family val="2"/>
            <scheme val="minor"/>
          </rPr>
          <t>======
ID#AAAArZSiZQM
tc={054F33EF-6011-49EC-A1C0-E0029F5BF6B4}    (2022-11-23 02:14:51)
[Threaded comment]
Your version of Excel allows you to read this threaded comment; however, any edits to it will get removed if the file is opened in a newer version of Excel. Learn more: https://go.microsoft.com/fwlink/?linkid=870924
Comment:
    ¿Promedio? ¿En los planes actuales de Ecuador ya hay políticas para mejorar pérdidas?</t>
        </r>
      </text>
    </comment>
    <comment ref="E481" authorId="0" shapeId="0" xr:uid="{00000000-0006-0000-0200-00000B000000}">
      <text>
        <r>
          <rPr>
            <sz val="11"/>
            <color theme="1"/>
            <rFont val="Open Sans"/>
            <family val="2"/>
            <scheme val="minor"/>
          </rPr>
          <t>======
ID#AAAAiBj5k6o
Lissete Dávila    (2022-09-20 01:05:50)
Ver "Copia de Electricidad" el por qué se utiliza las pérdidas en PJ en vez del %.</t>
        </r>
      </text>
    </comment>
    <comment ref="D487" authorId="0" shapeId="0" xr:uid="{00000000-0006-0000-0200-00000E000000}">
      <text>
        <r>
          <rPr>
            <sz val="11"/>
            <color theme="1"/>
            <rFont val="Open Sans"/>
            <family val="2"/>
            <scheme val="minor"/>
          </rPr>
          <t>======
ID#AAAAiBj5k60
Lissete Dávila    (2022-09-20 01:04:13)
En la plantilla original habían estos comentarios:
¿ELENA contempla importaciones y exportaciones de electricidad?
Reply:
¿Promedio anual o por timeslices?</t>
        </r>
      </text>
    </comment>
    <comment ref="C602" authorId="0" shapeId="0" xr:uid="{00000000-0006-0000-0200-000007000000}">
      <text>
        <r>
          <rPr>
            <sz val="11"/>
            <color theme="1"/>
            <rFont val="Open Sans"/>
            <family val="2"/>
            <scheme val="minor"/>
          </rPr>
          <t>======
ID#AAAArZSiZP0
tc={31804B48-3652-4A19-B58B-645B550BB5B7}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278" authorId="0" shapeId="0" xr:uid="{00000000-0006-0000-0300-000002000000}">
      <text>
        <r>
          <rPr>
            <sz val="11"/>
            <color theme="1"/>
            <rFont val="Open Sans"/>
            <family val="2"/>
            <scheme val="minor"/>
          </rPr>
          <t>======
ID#AAAArZSiZQk
tc={6655A617-E40B-403D-AF3E-A07032BD52FE}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 ref="C365" authorId="0" shapeId="0" xr:uid="{00000000-0006-0000-0300-000001000000}">
      <text>
        <r>
          <rPr>
            <sz val="11"/>
            <color theme="1"/>
            <rFont val="Open Sans"/>
            <family val="2"/>
            <scheme val="minor"/>
          </rPr>
          <t>======
ID#AAAAmSYig8I
tc={6655A617-E40B-403D-AF3E-A07032BD52FE}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 ref="C473" authorId="0" shapeId="0" xr:uid="{00000000-0006-0000-0300-000003000000}">
      <text>
        <r>
          <rPr>
            <sz val="11"/>
            <color theme="1"/>
            <rFont val="Open Sans"/>
            <family val="2"/>
            <scheme val="minor"/>
          </rPr>
          <t>======
ID#AAAAmSYig8E
tc={6655A617-E40B-403D-AF3E-A07032BD52FE}    (2022-10-29 02:47:30)
[Comentario encadenado]
Su versión de Excel le permite leer este comentario encadenado; sin embargo, las ediciones que se apliquen se quitarán si el archivo se abre en una versión más reciente de Excel. Más información: https://go.microsoft.com/fwlink/?linkid=870924
Comentario:
    Esto es en realidad turbogas, corregir luego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tc={68841F87-D52B-4F4B-8FBD-FF37FAD28902}</author>
  </authors>
  <commentList>
    <comment ref="C1" authorId="0" shapeId="0" xr:uid="{68841F87-D52B-4F4B-8FBD-FF37FAD28902}">
      <text>
        <t>[Threaded comment]
Your version of Excel allows you to read this threaded comment; however, any edits to it will get removed if the file is opened in a newer version of Excel. Learn more: https://go.microsoft.com/fwlink/?linkid=870924
Comment:
    En esta V2 de la hoja "Emisiones de Energía" están los factores de emisión CO2/CH4/N2O/CO2eq.</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64" authorId="0" shapeId="0" xr:uid="{00000000-0006-0000-0500-000002000000}">
      <text>
        <r>
          <rPr>
            <sz val="11"/>
            <color theme="1"/>
            <rFont val="Open Sans"/>
            <family val="2"/>
            <scheme val="minor"/>
          </rPr>
          <t>======
ID#AAAAiBj5k6E
tc={18B1EC25-2F86-4805-ACE9-886BFE9156C8}    (2022-09-05 13:17:55)
[Threaded comment]
Your version of Excel allows you to read this threaded comment; however, any edits to it will get removed if the file is opened in a newer version of Excel. Learn more: https://go.microsoft.com/fwlink/?linkid=870924
Comment:
    ¿Incluimos generación con baterías?</t>
        </r>
      </text>
    </comment>
    <comment ref="C152" authorId="0" shapeId="0" xr:uid="{00000000-0006-0000-0500-000001000000}">
      <text>
        <r>
          <rPr>
            <sz val="11"/>
            <color theme="1"/>
            <rFont val="Open Sans"/>
            <family val="2"/>
            <scheme val="minor"/>
          </rPr>
          <t>======
ID#AAAAiBj5k5U
Lissete Dávila    (2022-10-06 03:00:32)
No se están considerando costos de combustible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65" authorId="0" shapeId="0" xr:uid="{00000000-0006-0000-0600-000001000000}">
      <text>
        <r>
          <rPr>
            <sz val="11"/>
            <color theme="1"/>
            <rFont val="Open Sans"/>
            <family val="2"/>
            <scheme val="minor"/>
          </rPr>
          <t>======
ID#AAAArZSiZPc
Lissete Dávila    (2022-11-28 00:50:46)
Costos CAPEX</t>
        </r>
      </text>
    </comment>
    <comment ref="C74" authorId="0" shapeId="0" xr:uid="{00000000-0006-0000-0600-00000C000000}">
      <text>
        <r>
          <rPr>
            <sz val="11"/>
            <color theme="1"/>
            <rFont val="Open Sans"/>
            <family val="2"/>
            <scheme val="minor"/>
          </rPr>
          <t>======
ID#AAAArZSiZQE
tc={4D4B3D65-65B3-4590-B89F-107C710F580D}    (2022-11-24 20:23:42)
[Threaded comment]
Your version of Excel allows you to read this threaded comment; however, any edits to it will get removed if the file is opened in a newer version of Excel. Learn more: https://go.microsoft.com/fwlink/?linkid=870924
Comment:
    Tomados en base a valores de ELENA</t>
        </r>
      </text>
    </comment>
    <comment ref="C86" authorId="0" shapeId="0" xr:uid="{00000000-0006-0000-0600-000009000000}">
      <text>
        <r>
          <rPr>
            <sz val="11"/>
            <color theme="1"/>
            <rFont val="Open Sans"/>
            <family val="2"/>
            <scheme val="minor"/>
          </rPr>
          <t>======
ID#AAAArZSiZPY
Lissete Dávila    (2022-11-24 23:04:18)
Tomado del paper de ELENA, supplementary information</t>
        </r>
      </text>
    </comment>
    <comment ref="C88" authorId="0" shapeId="0" xr:uid="{00000000-0006-0000-0600-000008000000}">
      <text>
        <r>
          <rPr>
            <sz val="11"/>
            <color theme="1"/>
            <rFont val="Open Sans"/>
            <family val="2"/>
            <scheme val="minor"/>
          </rPr>
          <t>======
ID#AAAArZSiZQU
Lissete Dávila    (2022-11-24 23:05:54)
Considero los valores de Loja porque Loja tiene más potencial eólico</t>
        </r>
      </text>
    </comment>
    <comment ref="C96" authorId="0" shapeId="0" xr:uid="{00000000-0006-0000-0600-00000A000000}">
      <text>
        <r>
          <rPr>
            <sz val="11"/>
            <color theme="1"/>
            <rFont val="Open Sans"/>
            <family val="2"/>
            <scheme val="minor"/>
          </rPr>
          <t>======
ID#AAAArZSiZQc
tc={6A10BBEA-6AAD-4786-97BD-B0C537A28390}    (2022-11-24 20:23:42)
[Threaded comment]
Your version of Excel allows you to read this threaded comment; however, any edits to it will get removed if the file is opened in a newer version of Excel. Learn more: https://go.microsoft.com/fwlink/?linkid=870924
Comment:
    Se consideró costos iguales para Amazonas y Pacífico porque solo había costos de referencia para tamaños, no por vertientes</t>
        </r>
      </text>
    </comment>
    <comment ref="C104" authorId="0" shapeId="0" xr:uid="{00000000-0006-0000-0600-00000B000000}">
      <text>
        <r>
          <rPr>
            <sz val="11"/>
            <color theme="1"/>
            <rFont val="Open Sans"/>
            <family val="2"/>
            <scheme val="minor"/>
          </rPr>
          <t>======
ID#AAAArZSiZQA
tc={5CCA4AF2-A62D-47BF-99BD-EEAAF2AB0C18}    (2022-11-24 20:23:42)
[Threaded comment]
Your version of Excel allows you to read this threaded comment; however, any edits to it will get removed if the file is opened in a newer version of Excel. Learn more: https://go.microsoft.com/fwlink/?linkid=870924
Comment:
    Se consideró costos iguales para Amazonas y Pacífico porque solo había costos de referencia para tamaños, no por vertientes</t>
        </r>
      </text>
    </comment>
    <comment ref="C119" authorId="0" shapeId="0" xr:uid="{00000000-0006-0000-0600-000007000000}">
      <text>
        <r>
          <rPr>
            <sz val="11"/>
            <color theme="1"/>
            <rFont val="Open Sans"/>
            <family val="2"/>
            <scheme val="minor"/>
          </rPr>
          <t>======
ID#AAAArZSiZQQ
Lissete Dávila    (2022-11-24 23:07:36)
Fuente: Supplementary Information paper ELENA</t>
        </r>
      </text>
    </comment>
    <comment ref="C120" authorId="0" shapeId="0" xr:uid="{00000000-0006-0000-0600-000006000000}">
      <text>
        <r>
          <rPr>
            <sz val="11"/>
            <color theme="1"/>
            <rFont val="Open Sans"/>
            <family val="2"/>
            <scheme val="minor"/>
          </rPr>
          <t>======
ID#AAAArZSiZQI
Lissete Dávila    (2022-11-24 23:09:19)
Fuente: Supplementary Information paper ELENA</t>
        </r>
      </text>
    </comment>
    <comment ref="C134" authorId="0" shapeId="0" xr:uid="{00000000-0006-0000-0600-000005000000}">
      <text>
        <r>
          <rPr>
            <sz val="11"/>
            <color theme="1"/>
            <rFont val="Open Sans"/>
            <family val="2"/>
            <scheme val="minor"/>
          </rPr>
          <t>======
ID#AAAArZSiZQg
Lissete Dávila    (2022-11-24 23:10:26)
Fuente: Supplementary Information paper ELENA</t>
        </r>
      </text>
    </comment>
    <comment ref="C207" authorId="0" shapeId="0" xr:uid="{00000000-0006-0000-0600-000004000000}">
      <text>
        <r>
          <rPr>
            <sz val="11"/>
            <color theme="1"/>
            <rFont val="Open Sans"/>
            <family val="2"/>
            <scheme val="minor"/>
          </rPr>
          <t>======
ID#AAAArZSiZPg
Lissete Dávila    (2022-11-25 13:08:44)
Costos variables no están considerando costos de combustible</t>
        </r>
      </text>
    </comment>
    <comment ref="C211" authorId="0" shapeId="0" xr:uid="{00000000-0006-0000-0600-000002000000}">
      <text>
        <r>
          <rPr>
            <sz val="11"/>
            <color theme="1"/>
            <rFont val="Open Sans"/>
            <family val="2"/>
            <scheme val="minor"/>
          </rPr>
          <t>======
ID#AAAArZSiZQY
Lissete Dávila    (2022-11-25 13:23:18)
Reportados como 0 en el Supplementary Information del paper ELENA</t>
        </r>
      </text>
    </comment>
    <comment ref="C214" authorId="0" shapeId="0" xr:uid="{00000000-0006-0000-0600-000003000000}">
      <text>
        <r>
          <rPr>
            <sz val="11"/>
            <color theme="1"/>
            <rFont val="Open Sans"/>
            <family val="2"/>
            <scheme val="minor"/>
          </rPr>
          <t>======
ID#AAAArZSiZP4
Lissete Dávila    (2022-11-25 13:20:19)
Reportado como 0 en el Supplementary Information del paper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F00-000002000000}">
      <text>
        <r>
          <rPr>
            <sz val="11"/>
            <color theme="1"/>
            <rFont val="Open Sans"/>
            <family val="2"/>
            <scheme val="minor"/>
          </rPr>
          <t>======
ID#AAAAiBj5k6A
Lissete Dávila    (2022-09-10 01:19:21)
En esta columna está el número de referencia bibliográfica. El detalle de la referencia se encuentra al finalizar la tabla.</t>
        </r>
      </text>
    </comment>
    <comment ref="C6" authorId="0" shapeId="0" xr:uid="{00000000-0006-0000-0F00-000005000000}">
      <text>
        <r>
          <rPr>
            <sz val="11"/>
            <color theme="1"/>
            <rFont val="Open Sans"/>
            <family val="2"/>
            <scheme val="minor"/>
          </rPr>
          <t>======
ID#AAAAiBj5k5s
Lissete Dávila    (2022-09-05 15:25:23)
Tomado del Potencial Hidrocarburífero</t>
        </r>
      </text>
    </comment>
    <comment ref="F6" authorId="0" shapeId="0" xr:uid="{00000000-0006-0000-0F00-000003000000}">
      <text>
        <r>
          <rPr>
            <sz val="11"/>
            <color theme="1"/>
            <rFont val="Open Sans"/>
            <family val="2"/>
            <scheme val="minor"/>
          </rPr>
          <t>======
ID#AAAAiBj5k5w
Lissete Dávila    (2022-09-09 23:55:19)
Interesante que incremente el valor con relación al año 2019</t>
        </r>
      </text>
    </comment>
    <comment ref="F15" authorId="0" shapeId="0" xr:uid="{00000000-0006-0000-0F00-000001000000}">
      <text>
        <r>
          <rPr>
            <sz val="11"/>
            <color theme="1"/>
            <rFont val="Open Sans"/>
            <family val="2"/>
            <scheme val="minor"/>
          </rPr>
          <t>======
ID#AAAAiBj5k6I
Lissete Dávila    (2022-09-10 01:21:09)
Interesante que incremente el valor con relación al año 2019</t>
        </r>
      </text>
    </comment>
    <comment ref="C22" authorId="0" shapeId="0" xr:uid="{00000000-0006-0000-0F00-00000D000000}">
      <text>
        <r>
          <rPr>
            <sz val="11"/>
            <color theme="1"/>
            <rFont val="Open Sans"/>
            <family val="2"/>
            <scheme val="minor"/>
          </rPr>
          <t>======
ID#AAAAiBj5k7E
Lissete Dávila    (2022-09-05 14:17:00)
Para estos datos consideré lo que en el Balance Energético Nacional está como "Producción Anual"</t>
        </r>
      </text>
    </comment>
    <comment ref="C24" authorId="0" shapeId="0" xr:uid="{00000000-0006-0000-0F00-00000C000000}">
      <text>
        <r>
          <rPr>
            <sz val="11"/>
            <color theme="1"/>
            <rFont val="Open Sans"/>
            <family val="2"/>
            <scheme val="minor"/>
          </rPr>
          <t>======
ID#AAAAiBj5k5c
Lissete Dávila    (2022-09-05 14:17:41)
En el BEN hay un rubro de "Líquidos de gas natural", le creo otra fila o le sumo tal vez dentro de la fila de gas natural?</t>
        </r>
      </text>
    </comment>
    <comment ref="C30" authorId="0" shapeId="0" xr:uid="{00000000-0006-0000-0F00-00000F000000}">
      <text>
        <r>
          <rPr>
            <sz val="11"/>
            <color theme="1"/>
            <rFont val="Open Sans"/>
            <family val="2"/>
            <scheme val="minor"/>
          </rPr>
          <t>======
ID#AAAAiBj5k7A
Lissete Dávila    (2022-09-05 13:57:44)
Solamente hay registro en el Balance Nacional Energético de pérdidas en transmisión de electricidad. Las pérdidas en petróleo y los demás combustibles aparece como "-"</t>
        </r>
      </text>
    </comment>
    <comment ref="C42" authorId="0" shapeId="0" xr:uid="{00000000-0006-0000-0F00-00000E000000}">
      <text>
        <r>
          <rPr>
            <sz val="11"/>
            <color theme="1"/>
            <rFont val="Open Sans"/>
            <family val="2"/>
            <scheme val="minor"/>
          </rPr>
          <t>======
ID#AAAAiBj5k58
Lissete Dávila    (2022-09-05 14:07:32)
No hay registro de que se importe petróleo crudo según el Balance Energético Nacional</t>
        </r>
      </text>
    </comment>
    <comment ref="C68" authorId="0" shapeId="0" xr:uid="{00000000-0006-0000-0F00-00000B000000}">
      <text>
        <r>
          <rPr>
            <sz val="11"/>
            <color theme="1"/>
            <rFont val="Open Sans"/>
            <family val="2"/>
            <scheme val="minor"/>
          </rPr>
          <t>======
ID#AAAAiBj5k6g
Lissete Dávila    (2022-09-05 14:21:43)
Se considera la Producción por Refinería del Balance Energético Nacional</t>
        </r>
      </text>
    </comment>
    <comment ref="C71" authorId="0" shapeId="0" xr:uid="{00000000-0006-0000-0F00-00000A000000}">
      <text>
        <r>
          <rPr>
            <sz val="11"/>
            <color theme="1"/>
            <rFont val="Open Sans"/>
            <family val="2"/>
            <scheme val="minor"/>
          </rPr>
          <t>======
ID#AAAAiBj5k6s
Lissete Dávila    (2022-09-05 14:25:46)
Incluye Diésel Oil y Diésel Premium</t>
        </r>
      </text>
    </comment>
    <comment ref="C74" authorId="0" shapeId="0" xr:uid="{00000000-0006-0000-0F00-000009000000}">
      <text>
        <r>
          <rPr>
            <sz val="11"/>
            <color theme="1"/>
            <rFont val="Open Sans"/>
            <family val="2"/>
            <scheme val="minor"/>
          </rPr>
          <t>======
ID#AAAAiBj5k6Q
Lissete Dávila    (2022-09-05 14:27:57)
Considera residuo de refinería más diluyente nacional</t>
        </r>
      </text>
    </comment>
    <comment ref="C80" authorId="0" shapeId="0" xr:uid="{00000000-0006-0000-0F00-000008000000}">
      <text>
        <r>
          <rPr>
            <sz val="11"/>
            <color theme="1"/>
            <rFont val="Open Sans"/>
            <family val="2"/>
            <scheme val="minor"/>
          </rPr>
          <t>======
ID#AAAAiBj5k5Y
Lissete Dávila    (2022-09-05 14:31:19)
Incluye Diésel 1 (Kerosene) y Diésel 2</t>
        </r>
      </text>
    </comment>
    <comment ref="C88" authorId="0" shapeId="0" xr:uid="{00000000-0006-0000-0F00-000007000000}">
      <text>
        <r>
          <rPr>
            <sz val="11"/>
            <color theme="1"/>
            <rFont val="Open Sans"/>
            <family val="2"/>
            <scheme val="minor"/>
          </rPr>
          <t>======
ID#AAAAiBj5k64
Lissete Dávila    (2022-09-05 14:35:24)
Incluye Diésel 1 (Kerosene) y Diésel 2</t>
        </r>
      </text>
    </comment>
    <comment ref="C96" authorId="0" shapeId="0" xr:uid="{00000000-0006-0000-0F00-000006000000}">
      <text>
        <r>
          <rPr>
            <sz val="11"/>
            <color theme="1"/>
            <rFont val="Open Sans"/>
            <family val="2"/>
            <scheme val="minor"/>
          </rPr>
          <t>======
ID#AAAAiBj5k5g
Lissete Dávila    (2022-09-05 14:38:48)
Incluye Diésel 1 (Kerosene) y Diésel 2</t>
        </r>
      </text>
    </comment>
    <comment ref="C106" authorId="0" shapeId="0" xr:uid="{00000000-0006-0000-0F00-000004000000}">
      <text>
        <r>
          <rPr>
            <sz val="11"/>
            <color theme="1"/>
            <rFont val="Open Sans"/>
            <family val="2"/>
            <scheme val="minor"/>
          </rPr>
          <t>======
ID#AAAAiBj5k6c
Lissete Dávila    (2022-09-05 15:36:48)
En el Balance Energético Nacional hay datos de carga y producción en refinerías, se podría hacer la diferencia entre la carga total y la producción total para tener una referencia de pérdidas de energía pero no se podría tener pérdidas específicas de diésel oil, gasolina,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Lissete Davila</author>
  </authors>
  <commentList>
    <comment ref="C104" authorId="0" shapeId="0" xr:uid="{00000000-0006-0000-1000-000005000000}">
      <text>
        <r>
          <rPr>
            <sz val="11"/>
            <color theme="1"/>
            <rFont val="Open Sans"/>
            <family val="2"/>
            <scheme val="minor"/>
          </rPr>
          <t>======
ID#AAAAiBj5k5I
Lissete Dávila    (2022-09-18 18:01:49)
Los valores desde el 2020 fueron tomados en base a la tabla que muestra el hipervinculo.</t>
        </r>
      </text>
    </comment>
    <comment ref="R114" authorId="1" shapeId="0" xr:uid="{B540DA25-3922-4578-99A3-9CB0A58DBBCF}">
      <text>
        <r>
          <rPr>
            <sz val="11"/>
            <color theme="1"/>
            <rFont val="Open Sans"/>
            <family val="2"/>
            <scheme val="minor"/>
          </rPr>
          <t>Lissete Davila:
Cambio hecho el 22 de Abril del 2023.
Representan a Santiago I y II, según conversaciones con Vero el día 21 de Abril se pidió que los proyectos entren en 2032 según conversaciones llevadas a cabo con CELEC.</t>
        </r>
      </text>
    </comment>
    <comment ref="M129" authorId="0" shapeId="0" xr:uid="{00000000-0006-0000-1000-000002000000}">
      <text>
        <r>
          <rPr>
            <sz val="11"/>
            <color theme="1"/>
            <rFont val="Open Sans"/>
            <family val="2"/>
            <scheme val="minor"/>
          </rPr>
          <t>======
ID#AAAAvSpYZbI
Lissete Davila    (2023-04-18 18:00:33)
Bloque ERNC III</t>
        </r>
      </text>
    </comment>
    <comment ref="L131" authorId="0" shapeId="0" xr:uid="{00000000-0006-0000-1000-000003000000}">
      <text>
        <r>
          <rPr>
            <sz val="11"/>
            <color theme="1"/>
            <rFont val="Open Sans"/>
            <family val="2"/>
            <scheme val="minor"/>
          </rPr>
          <t>======
ID#AAAAvSpYZbE
Lissete Davila    (2023-04-18 18:00:33)
Bloque ERNC II</t>
        </r>
      </text>
    </comment>
    <comment ref="L132" authorId="0" shapeId="0" xr:uid="{00000000-0006-0000-1000-000001000000}">
      <text>
        <r>
          <rPr>
            <sz val="11"/>
            <color theme="1"/>
            <rFont val="Open Sans"/>
            <family val="2"/>
            <scheme val="minor"/>
          </rPr>
          <t>======
ID#AAAAvSpYZbM
Lissete Davila    (2023-04-18 18:00:33)
Bloque ERNC II</t>
        </r>
      </text>
    </comment>
    <comment ref="C137" authorId="0" shapeId="0" xr:uid="{00000000-0006-0000-1000-00000C000000}">
      <text>
        <r>
          <rPr>
            <sz val="11"/>
            <color theme="1"/>
            <rFont val="Open Sans"/>
            <family val="2"/>
            <scheme val="minor"/>
          </rPr>
          <t>======
ID#AAAAiBj5k54
Lissete Dávila    (2022-09-07 00:19:46)
No se posee este tipo de información</t>
        </r>
      </text>
    </comment>
    <comment ref="B309" authorId="0" shapeId="0" xr:uid="{00000000-0006-0000-1000-000007000000}">
      <text>
        <r>
          <rPr>
            <sz val="11"/>
            <color theme="1"/>
            <rFont val="Open Sans"/>
            <family val="2"/>
            <scheme val="minor"/>
          </rPr>
          <t>======
ID#AAAAiBj5k6M
Lissete Dávila    (2022-09-10 02:12:51)
No se posee factores de capacidad por timeslices</t>
        </r>
      </text>
    </comment>
    <comment ref="C312" authorId="0" shapeId="0" xr:uid="{00000000-0006-0000-1000-000008000000}">
      <text>
        <r>
          <rPr>
            <sz val="11"/>
            <color theme="1"/>
            <rFont val="Open Sans"/>
            <family val="2"/>
            <scheme val="minor"/>
          </rPr>
          <t>======
ID#AAAAiBj5k68
Lissete Dávila    (2022-09-09 23:15:10)
Se hizo de referencia la presentación de Energía del modelo Elena</t>
        </r>
      </text>
    </comment>
    <comment ref="C339" authorId="0" shapeId="0" xr:uid="{00000000-0006-0000-1000-00000B000000}">
      <text>
        <r>
          <rPr>
            <sz val="11"/>
            <color theme="1"/>
            <rFont val="Open Sans"/>
            <family val="2"/>
            <scheme val="minor"/>
          </rPr>
          <t>======
ID#AAAAiBj5k6k
Lissete Dávila    (2022-09-07 03:54:26)
Total Energía Entregada para Demanda Regulada y No Regulada</t>
        </r>
      </text>
    </comment>
    <comment ref="C341" authorId="0" shapeId="0" xr:uid="{00000000-0006-0000-1000-000009000000}">
      <text>
        <r>
          <rPr>
            <sz val="11"/>
            <color theme="1"/>
            <rFont val="Open Sans"/>
            <family val="2"/>
            <scheme val="minor"/>
          </rPr>
          <t>======
ID#AAAAiBj5k6Y
Lissete Dávila    (2022-09-07 04:03:01)
A pesar de que en el documento oficial [3] hay un valor de pérdidas en transmisión en porcentaje, al momento de considerar este porcentaje para calcular la energía luego de pérdidas no dá el valor del documento oficial [3], por esta razón he colocado el valor de pérdidas en transmisión en unidades de energía para poder realizar la resta y obtener los valores oficiales del documento [3]</t>
        </r>
      </text>
    </comment>
    <comment ref="C343" authorId="0" shapeId="0" xr:uid="{00000000-0006-0000-1000-00000A000000}">
      <text>
        <r>
          <rPr>
            <sz val="11"/>
            <color theme="1"/>
            <rFont val="Open Sans"/>
            <family val="2"/>
            <scheme val="minor"/>
          </rPr>
          <t>======
ID#AAAAiBj5k5M
Lissete Dávila    (2022-09-07 03:57:09)
Total Energía Disponible para Demanda Regulada y No Regulada</t>
        </r>
      </text>
    </comment>
    <comment ref="B357" authorId="0" shapeId="0" xr:uid="{00000000-0006-0000-1000-000006000000}">
      <text>
        <r>
          <rPr>
            <sz val="11"/>
            <color theme="1"/>
            <rFont val="Open Sans"/>
            <family val="2"/>
            <scheme val="minor"/>
          </rPr>
          <t>======
ID#AAAAiBj5k5o
Lissete Dávila    (2022-09-10 02:42:01)
No se tiene por timeslices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51" authorId="0" shapeId="0" xr:uid="{00000000-0006-0000-1200-000002000000}">
      <text>
        <r>
          <rPr>
            <sz val="11"/>
            <color theme="1"/>
            <rFont val="Open Sans"/>
            <family val="2"/>
            <scheme val="minor"/>
          </rPr>
          <t>======
ID#AAAAiBj5k50
Lissete Dávila    (2022-09-14 03:03:09)
Datos tomados de la fila "Producción" en la pestaña "base_GEI"</t>
        </r>
      </text>
    </comment>
    <comment ref="C83" authorId="0" shapeId="0" xr:uid="{00000000-0006-0000-1200-000003000000}">
      <text>
        <r>
          <rPr>
            <sz val="11"/>
            <color theme="1"/>
            <rFont val="Open Sans"/>
            <family val="2"/>
            <scheme val="minor"/>
          </rPr>
          <t>======
ID#AAAAiBj5k5Q
Lissete Dávila    (2022-09-13 23:16:09)
Fila "consumo final" de la pestaña "base GEI"</t>
        </r>
      </text>
    </comment>
    <comment ref="A124" authorId="0" shapeId="0" xr:uid="{00000000-0006-0000-1200-000001000000}">
      <text>
        <r>
          <rPr>
            <sz val="11"/>
            <color theme="1"/>
            <rFont val="Open Sans"/>
            <family val="2"/>
            <scheme val="minor"/>
          </rPr>
          <t>======
ID#AAAArZSiZPw
Lissete Dávila    (2022-12-21 23:09:03)
Tabla 2.7 del Balance Energético Nacional 2021</t>
        </r>
      </text>
    </comment>
  </commentList>
</comments>
</file>

<file path=xl/sharedStrings.xml><?xml version="1.0" encoding="utf-8"?>
<sst xmlns="http://schemas.openxmlformats.org/spreadsheetml/2006/main" count="5804" uniqueCount="1069">
  <si>
    <t>Laplantillaesunaguíapararecopilardatosnecesariosparalamodelación,nosedetallannecesariamentetodaslastecnologías.Incorporamosalgunasdeellasyescuestióndeagregarmáslíneasparacaracterizarcadatecnología.</t>
  </si>
  <si>
    <t>Puedendejarcomentariosenlasplantillasconformelasvanllenando,vamosaentrarperiódicamentearevisarycontestarcualquierinquitud.Tambiénpodemosagendarreunionesvirtualescuandosehayanacumuladovariaspreguntas.</t>
  </si>
  <si>
    <t>Enunaprimeraetapavamosamodelarhastalademandafinaldelossectores:residencial,comercial,industrial,agricultura,construcciónyotros.Altenerfuncionalelmodeloañadimosespecificidadacadasectoreincluimosusosfinales.</t>
  </si>
  <si>
    <t>Sialgunatecnologíanoseutilizaenelpaíspuedeneliminarlafila</t>
  </si>
  <si>
    <t>Sifaltaalgúntipodeinformaciónquecreanqueesimportantenosavisan.NosotrosvamosairtrabajandoenelRRSyconformeloarmemospuedenhabersolicitudesdeotrosdatos.</t>
  </si>
  <si>
    <t>ComentarioEquipoUSFQ:Cadaplantilla(excepto"CostosEnergía")poseeunacopialocalizadaalfinaldeldocumento.Lacopiaseutilizóparacolocar:(i)losvaloresenlasunidadesoficialesdelosreporteseinformes,(ii)comentariosrelevantes,y(iii)fuentesbibliográficas.Mientrasquelasplantillasoriginalesseutilizaronparatransformarlosvaloresalasunidadessolicitadasinicialmente.</t>
  </si>
  <si>
    <t>Persona que realizó el cambio</t>
  </si>
  <si>
    <t>Fecha</t>
  </si>
  <si>
    <t>Hoja del Cambio</t>
  </si>
  <si>
    <t>Descripción del Cambio</t>
  </si>
  <si>
    <t>Lissete Dávila</t>
  </si>
  <si>
    <t>Copia de Emisiones Energía</t>
  </si>
  <si>
    <t>Cambio de unidades de la celda C12 cambió de "Gg de contaminante/10^3 m3" a "Gg de contaminante/Mm^3"</t>
  </si>
  <si>
    <t>Emisiones Energía V2</t>
  </si>
  <si>
    <t>Modificación de la celda D137 para tener un factor de conversión GgCO2/Mm^3 a MtonCO2/PJ. Esta modificación afectó las siguientes celdas:</t>
  </si>
  <si>
    <t>#</t>
  </si>
  <si>
    <t>Sector</t>
  </si>
  <si>
    <t>Energía</t>
  </si>
  <si>
    <t xml:space="preserve">Mejorar la cadena de gas natural, desde importaciones hasta consumo. Considerando la componente de regasificación. </t>
  </si>
  <si>
    <t>Ecuador</t>
  </si>
  <si>
    <t>Combustibles fósiles</t>
  </si>
  <si>
    <t>Reservas probadas (puedeserunvalorparatodoelperiodo)</t>
  </si>
  <si>
    <t>Petróleo[PJ]</t>
  </si>
  <si>
    <t>Gas Natural [PJ]</t>
  </si>
  <si>
    <t>Carbón [PJ]</t>
  </si>
  <si>
    <t>Total [PJ]</t>
  </si>
  <si>
    <t>Potencial Hidrocarburifero (Petróleo)</t>
  </si>
  <si>
    <t>Reservas totales (3P) [PJ]</t>
  </si>
  <si>
    <t>Recursos contingentes (3C) [PJ]</t>
  </si>
  <si>
    <t>Recursos prospectivos [PJ]</t>
  </si>
  <si>
    <t>Potencial Hidrocarburifero (Gas Natural)</t>
  </si>
  <si>
    <t>1,2</t>
  </si>
  <si>
    <t>Extracción anual</t>
  </si>
  <si>
    <t>Petróleo [PJ]</t>
  </si>
  <si>
    <t>**Pérdidas por extracción anual</t>
  </si>
  <si>
    <t>Petróleo [PJ] Extrae + Importa - Entradas de refinación - Exportaciones</t>
  </si>
  <si>
    <t>InputActivityRatio Extracción</t>
  </si>
  <si>
    <t>2022-2070</t>
  </si>
  <si>
    <t>No aprovechado</t>
  </si>
  <si>
    <t>* Esto no se introduce directamente al modelo, se usa para corroborar el comportamiento</t>
  </si>
  <si>
    <t>Importación</t>
  </si>
  <si>
    <t>Petróleo crudo [PJ]</t>
  </si>
  <si>
    <t>107.34</t>
  </si>
  <si>
    <t>152.09</t>
  </si>
  <si>
    <t>188.59</t>
  </si>
  <si>
    <t>232.28</t>
  </si>
  <si>
    <t>273.43</t>
  </si>
  <si>
    <t>345.84</t>
  </si>
  <si>
    <t>379.09</t>
  </si>
  <si>
    <t>Diésel oil [PJ]</t>
  </si>
  <si>
    <t>Gasolina [PJ]</t>
  </si>
  <si>
    <t>GLP [PJ]</t>
  </si>
  <si>
    <t>Fuel oil [PJ]</t>
  </si>
  <si>
    <t>Jet Fuel [PJ]</t>
  </si>
  <si>
    <t>Coque de Petróleo [PJ]</t>
  </si>
  <si>
    <t xml:space="preserve">Refinación anual  (Entradas) </t>
  </si>
  <si>
    <t>REFINERÍA ESMERALDAS</t>
  </si>
  <si>
    <t>REFINERÍA LA LIBERTAD</t>
  </si>
  <si>
    <t>Líquidos de gas natural [PJ]</t>
  </si>
  <si>
    <t>Total</t>
  </si>
  <si>
    <t>REFINERÍA SHUSHUFINDI</t>
  </si>
  <si>
    <t>OTRAS REFINERÍAS</t>
  </si>
  <si>
    <t>TOTAL ENTRADAS A REFINACIÓN</t>
  </si>
  <si>
    <t xml:space="preserve">Refinación anual  (Producción) </t>
  </si>
  <si>
    <t>Gases de refinería [PJ]</t>
  </si>
  <si>
    <t>No energético [PJ]</t>
  </si>
  <si>
    <t>Crudo reducido [PJ]</t>
  </si>
  <si>
    <t>InputActivityRatio</t>
  </si>
  <si>
    <t>Esmeraldas</t>
  </si>
  <si>
    <t>La Libertad</t>
  </si>
  <si>
    <t>Shushufindi</t>
  </si>
  <si>
    <t>Otras refinerías</t>
  </si>
  <si>
    <t>Promedio</t>
  </si>
  <si>
    <t xml:space="preserve">Centros de gas  (Entradas) </t>
  </si>
  <si>
    <t>Gas natural [PJ]</t>
  </si>
  <si>
    <t xml:space="preserve">Centros de gas  (Salidas) </t>
  </si>
  <si>
    <t>Gases (Propano y gas combustible) [PJ]</t>
  </si>
  <si>
    <t xml:space="preserve">InputActivityRatio Centros de gas </t>
  </si>
  <si>
    <t>Exportación</t>
  </si>
  <si>
    <t>E5_EXPCRU</t>
  </si>
  <si>
    <t>E5_EXPPURDSL</t>
  </si>
  <si>
    <t>E5_EXPPURGSL</t>
  </si>
  <si>
    <t>E5_EXPLPG</t>
  </si>
  <si>
    <t>E5_EXPFOI</t>
  </si>
  <si>
    <t>E5_EXPREDCRU</t>
  </si>
  <si>
    <t> </t>
  </si>
  <si>
    <t>Bunkers</t>
  </si>
  <si>
    <t>2021-2050</t>
  </si>
  <si>
    <t>Kerosene/Jetfuel</t>
  </si>
  <si>
    <t>Bunkers Input Activity Ratio</t>
  </si>
  <si>
    <t>Vida útil refinerías (Colocar por refinería si existe la información) (Valor único)</t>
  </si>
  <si>
    <t>Todas las refinerías existentes [años]</t>
  </si>
  <si>
    <t>Otros combustibles</t>
  </si>
  <si>
    <t>Producción total</t>
  </si>
  <si>
    <t>Leña [PJ]</t>
  </si>
  <si>
    <t>Productos de caña [PJ]</t>
  </si>
  <si>
    <t>Aceite de piñón [PJ]</t>
  </si>
  <si>
    <t>Hidrógeno [PJ]</t>
  </si>
  <si>
    <t>...</t>
  </si>
  <si>
    <t>Bombeo en oleoductos (Información agregada por Liss D el 2023/01/06)</t>
  </si>
  <si>
    <t>Consumo Estaciones de Bombeo SOTE según PetroEcuador [PJ]</t>
  </si>
  <si>
    <t>Cantidad de crudo bombeado por los oleoductos SOTE y OCP [PJ]</t>
  </si>
  <si>
    <t>Potencia de las bombas de estaciones de bombeo [HP]</t>
  </si>
  <si>
    <t>[PJ]</t>
  </si>
  <si>
    <t>Consumo de combustibles en refinerías (Carga de refinería y consumo propio)</t>
  </si>
  <si>
    <t>PETRÓLEO [PJ] Carga de refinería</t>
  </si>
  <si>
    <t>GAS NATURAL [PJ]</t>
  </si>
  <si>
    <t>BAGAZO [PJ]</t>
  </si>
  <si>
    <t>GAS LICUADO [PJ]</t>
  </si>
  <si>
    <t>GASOLINAS [PJ]</t>
  </si>
  <si>
    <t>JETFUEL [PJ]</t>
  </si>
  <si>
    <t>DIÉSEL OIL [PJ]</t>
  </si>
  <si>
    <t>FUEL OIL [PJ]</t>
  </si>
  <si>
    <t>Gas de refinería [PJ]</t>
  </si>
  <si>
    <t>CRUDO REDUCIDO [PJ]</t>
  </si>
  <si>
    <t>BIOGÁS [PJ]</t>
  </si>
  <si>
    <t>RESIDUOS</t>
  </si>
  <si>
    <t>Fuente: ARCRRNNR</t>
  </si>
  <si>
    <t>Proceso de Refinación Input Activity Ratio</t>
  </si>
  <si>
    <t>PETRÓLEO [PJ]</t>
  </si>
  <si>
    <t>Consumo Propio oleoductos y poliductos</t>
  </si>
  <si>
    <t>PETRÓLEO OCP y SOTE [PJ]</t>
  </si>
  <si>
    <t>Fuente: BEN y ARCRRNNR</t>
  </si>
  <si>
    <t>Consumo Propio oleoductos y poliductos IAR</t>
  </si>
  <si>
    <t>Consumo de combustibles para electricidad</t>
  </si>
  <si>
    <t>Energía generada por combustible</t>
  </si>
  <si>
    <t>PJ/PJ</t>
  </si>
  <si>
    <t>2021-2070</t>
  </si>
  <si>
    <t>PETRÓLEO [PJ/PJ]</t>
  </si>
  <si>
    <t>GAS NATURAL [PJ/PJ]</t>
  </si>
  <si>
    <t>BAGAZO [PJ/PJ]</t>
  </si>
  <si>
    <t>GAS LICUADO [PJ/PJ]</t>
  </si>
  <si>
    <t>GASOLINAS [PJ/PJ]</t>
  </si>
  <si>
    <t>DIÉSEL OIL [PJ/PJ]</t>
  </si>
  <si>
    <t>FUEL OIL [PJ/PJ]</t>
  </si>
  <si>
    <t>CRUDO REDUCIDO [PJ/PJ]</t>
  </si>
  <si>
    <t>BIOGÁS</t>
  </si>
  <si>
    <t>Inpout</t>
  </si>
  <si>
    <t>Factores de conversión utilizados</t>
  </si>
  <si>
    <t>(Petróleo)                                 1 MMBLS =</t>
  </si>
  <si>
    <t>kBEP</t>
  </si>
  <si>
    <t>MMBLS</t>
  </si>
  <si>
    <t>BLS</t>
  </si>
  <si>
    <t>BBL</t>
  </si>
  <si>
    <t>kBBL</t>
  </si>
  <si>
    <t xml:space="preserve">    (Gas Natural)                           1 MMSCF =</t>
  </si>
  <si>
    <t>MMSCF</t>
  </si>
  <si>
    <t>SCF</t>
  </si>
  <si>
    <t>PC</t>
  </si>
  <si>
    <t>m3</t>
  </si>
  <si>
    <t>BEP</t>
  </si>
  <si>
    <t>1 kBEP =</t>
  </si>
  <si>
    <t>PJ</t>
  </si>
  <si>
    <t>TOE</t>
  </si>
  <si>
    <t>TJ</t>
  </si>
  <si>
    <t>TotalAnnualAcivityLowerLimit Extracción anual</t>
  </si>
  <si>
    <t>TotalAnnualAcivityLowerLimit Producción</t>
  </si>
  <si>
    <t>,,</t>
  </si>
  <si>
    <t>TotalAnnualAcivityLowerLimit Refinación de productos</t>
  </si>
  <si>
    <t>Crudo Reducido [PJ]</t>
  </si>
  <si>
    <t>TotalAnnualAcivityUpperLimit Refinación de productos</t>
  </si>
  <si>
    <t>TotalAnnualAcivityLowerLimit  Importación</t>
  </si>
  <si>
    <t>TotalAnnualAcivityUpperLimit Importación</t>
  </si>
  <si>
    <t>Demanda Refinación</t>
  </si>
  <si>
    <t>Generación eléctrica</t>
  </si>
  <si>
    <t>Capacidad instalada (SNI) [GW]</t>
  </si>
  <si>
    <t>Biomasa</t>
  </si>
  <si>
    <t xml:space="preserve"> Turbovapor </t>
  </si>
  <si>
    <t>PP_SUG</t>
  </si>
  <si>
    <t>Bagazo de caña</t>
  </si>
  <si>
    <t>PP_WND_US</t>
  </si>
  <si>
    <t>Eólica</t>
  </si>
  <si>
    <t>Hidraúlica</t>
  </si>
  <si>
    <t xml:space="preserve"> Embalse</t>
  </si>
  <si>
    <t>Amazonas</t>
  </si>
  <si>
    <t>Pacífico</t>
  </si>
  <si>
    <t xml:space="preserve">  Pasada</t>
  </si>
  <si>
    <t>PP_SPV_US</t>
  </si>
  <si>
    <t>Solar</t>
  </si>
  <si>
    <t>Térmica</t>
  </si>
  <si>
    <t xml:space="preserve">  MCI</t>
  </si>
  <si>
    <t>PP_DSLICE</t>
  </si>
  <si>
    <t>Diesel MCI</t>
  </si>
  <si>
    <t>PP_FOIICE</t>
  </si>
  <si>
    <t>Fuel Oil MCI</t>
  </si>
  <si>
    <t>Otro MCI</t>
  </si>
  <si>
    <t>PP_WASICE</t>
  </si>
  <si>
    <t>Residuo MCI</t>
  </si>
  <si>
    <t xml:space="preserve">  Turbogas</t>
  </si>
  <si>
    <t>PP_DSLTGS</t>
  </si>
  <si>
    <t>Diesel</t>
  </si>
  <si>
    <t>PP_NGSTGS</t>
  </si>
  <si>
    <t xml:space="preserve">OC Gas Natural </t>
  </si>
  <si>
    <t xml:space="preserve">  Turbovapor</t>
  </si>
  <si>
    <t>PP_FOITST</t>
  </si>
  <si>
    <t>Fuel Oil</t>
  </si>
  <si>
    <t>Biogás</t>
  </si>
  <si>
    <t xml:space="preserve"> MCI </t>
  </si>
  <si>
    <t>PP_BGSICE</t>
  </si>
  <si>
    <t>Hidroeléctrico represa [GW]</t>
  </si>
  <si>
    <t>PP_HYDPACDAMSMA</t>
  </si>
  <si>
    <t>Pacífico (pequeñas)</t>
  </si>
  <si>
    <t>PP_HYDPACDAMMED</t>
  </si>
  <si>
    <t>Pacífico (medianas)</t>
  </si>
  <si>
    <t>PP_HYDPACDAMLAR</t>
  </si>
  <si>
    <t>Pacífico (grandes)</t>
  </si>
  <si>
    <t>PP_HYDAMADAMSMA</t>
  </si>
  <si>
    <t>Amazonas (pequeñas)</t>
  </si>
  <si>
    <t>PP_HYDAMADAMMED</t>
  </si>
  <si>
    <t>Amazonas (medianas)</t>
  </si>
  <si>
    <t>PP_HYDAMADAMLAR</t>
  </si>
  <si>
    <t>Amazonas (grandes)</t>
  </si>
  <si>
    <t>Hidroeléctrico filo de agua [GW]</t>
  </si>
  <si>
    <t>PP_HYDPACRORSMA</t>
  </si>
  <si>
    <t>PP_HYDPACRORMED</t>
  </si>
  <si>
    <t>PP_HYDPACRORLAR</t>
  </si>
  <si>
    <t>PP_HYDAMARORSMA</t>
  </si>
  <si>
    <t>PP_HYDAMARORMED</t>
  </si>
  <si>
    <t>PP_HYDAMARORLAR</t>
  </si>
  <si>
    <t>Capacidad instalada (Sistemas Aislados)</t>
  </si>
  <si>
    <t>Biomasa [GW]</t>
  </si>
  <si>
    <t>-</t>
  </si>
  <si>
    <t>PPIWNDGAL</t>
  </si>
  <si>
    <t>Galápagos</t>
  </si>
  <si>
    <t xml:space="preserve"> Pasada</t>
  </si>
  <si>
    <t>Electrificación Rural</t>
  </si>
  <si>
    <t>PPIHYDAMAELR</t>
  </si>
  <si>
    <t xml:space="preserve"> Amazonas</t>
  </si>
  <si>
    <t>PPIHYDPACELR</t>
  </si>
  <si>
    <t xml:space="preserve"> Pacífico</t>
  </si>
  <si>
    <t>Cementera</t>
  </si>
  <si>
    <t>PPIHYDAMACEM</t>
  </si>
  <si>
    <t>PPIHYDPACCEM</t>
  </si>
  <si>
    <t>PPISPVGAL</t>
  </si>
  <si>
    <t>PPISPVELR</t>
  </si>
  <si>
    <t>PPIDSLELRICE</t>
  </si>
  <si>
    <t xml:space="preserve"> Diesel</t>
  </si>
  <si>
    <t>PPIDSLGALICE</t>
  </si>
  <si>
    <t>Petrolero</t>
  </si>
  <si>
    <t>PPICRUPETICE</t>
  </si>
  <si>
    <t xml:space="preserve"> Crudo</t>
  </si>
  <si>
    <t>PPIDSLPETICE</t>
  </si>
  <si>
    <t>PPIFOIPETICE</t>
  </si>
  <si>
    <t xml:space="preserve"> Fuel Oil</t>
  </si>
  <si>
    <t>PPINGSPETICE</t>
  </si>
  <si>
    <t xml:space="preserve"> Gas Natural</t>
  </si>
  <si>
    <t>PPIDSLPETTGS</t>
  </si>
  <si>
    <t>PPINGSPETTGS</t>
  </si>
  <si>
    <t xml:space="preserve"> OC Gas Natural</t>
  </si>
  <si>
    <t>PPICRUPETTST</t>
  </si>
  <si>
    <t>PPIDSLELRTST</t>
  </si>
  <si>
    <t>PPIDSLCEMTST</t>
  </si>
  <si>
    <t>PPINGSPETTST</t>
  </si>
  <si>
    <t>Biogás [GW]</t>
  </si>
  <si>
    <t>Capacidad instalada (Total)</t>
  </si>
  <si>
    <t>Eólica [GW]</t>
  </si>
  <si>
    <t>Hidraúlica [GW]</t>
  </si>
  <si>
    <t>Solar [GW]</t>
  </si>
  <si>
    <t>Térmica [GW]</t>
  </si>
  <si>
    <t>Nueva capacidad proyectada en los actuales planes de expansión</t>
  </si>
  <si>
    <t>Por favor categorizar la nueva capacidad igual que la capacidad instalada</t>
  </si>
  <si>
    <t>Fuel oil [GW]</t>
  </si>
  <si>
    <t>Geotérmico [GW]</t>
  </si>
  <si>
    <t>Diesel [GW]</t>
  </si>
  <si>
    <t>Fotovoltaico  [GW]</t>
  </si>
  <si>
    <t>Eólico  [GW]</t>
  </si>
  <si>
    <t>Carbón [GW]</t>
  </si>
  <si>
    <t>Distribuida solar [GW]</t>
  </si>
  <si>
    <t>Distribuida eólica [GW]</t>
  </si>
  <si>
    <t>Termoeléctrico (Ciclo Combinado gas natural) [GW]</t>
  </si>
  <si>
    <t>ERNC [GW]</t>
  </si>
  <si>
    <t>Hidroeléctricas de pasada</t>
  </si>
  <si>
    <t>Eólicos</t>
  </si>
  <si>
    <t>Solares fotovoltaicos</t>
  </si>
  <si>
    <t>Biomasa, biogás, y biogás de residuos urbanos</t>
  </si>
  <si>
    <t>Total [GW]</t>
  </si>
  <si>
    <t>**Pérdida de capacidad  (relacionado a la vida útil remanente)</t>
  </si>
  <si>
    <t>No se tiene información oficial sobre perdidas de capacidad</t>
  </si>
  <si>
    <t>Vida útil (años)</t>
  </si>
  <si>
    <t>Vida útil</t>
  </si>
  <si>
    <t>Año de salida si fue instalada en 2018</t>
  </si>
  <si>
    <t>Fuel oil motor</t>
  </si>
  <si>
    <t>Geotérmico</t>
  </si>
  <si>
    <t>Hidroeléctrico represa</t>
  </si>
  <si>
    <t xml:space="preserve"> </t>
  </si>
  <si>
    <t>Hidroeléctrico filo de agua</t>
  </si>
  <si>
    <t>Diesel motor</t>
  </si>
  <si>
    <t>Fotovoltaico</t>
  </si>
  <si>
    <t xml:space="preserve">Eólico </t>
  </si>
  <si>
    <t>Carbón</t>
  </si>
  <si>
    <t xml:space="preserve">Distribuida solar </t>
  </si>
  <si>
    <t>Distribuida eólica</t>
  </si>
  <si>
    <t>Gas</t>
  </si>
  <si>
    <t>Diesel vapor</t>
  </si>
  <si>
    <t>Fuel oil vapor</t>
  </si>
  <si>
    <t>Solid waste</t>
  </si>
  <si>
    <t>Solar CSP</t>
  </si>
  <si>
    <t>Agrupación</t>
  </si>
  <si>
    <t>Potencial eléctrico de las fuentes renovables</t>
  </si>
  <si>
    <t>PP_BMSTST</t>
  </si>
  <si>
    <t xml:space="preserve"> Residuos de biomasa: Pot. Técnico-ambiental </t>
  </si>
  <si>
    <t xml:space="preserve"> Biogás con residuos agropecuarios: Pot. Técnico</t>
  </si>
  <si>
    <t xml:space="preserve"> Cascarilla de arroz: Pot. Técnico(Rankine)-geográfico</t>
  </si>
  <si>
    <t>PP_GEO</t>
  </si>
  <si>
    <t xml:space="preserve"> Cascarilla de arroz: Pot. Técnico(ORC)-geográfico</t>
  </si>
  <si>
    <t xml:space="preserve"> Residuos municipales: Pot. Técnico</t>
  </si>
  <si>
    <t>En nueva capacidad se está instalando una planta en esta tech</t>
  </si>
  <si>
    <t xml:space="preserve"> Bagazo de caña: Pot. Técnico-económico</t>
  </si>
  <si>
    <t xml:space="preserve"> Palma Africana (cuesco y fibra de palma): Pot. Técnico-económico</t>
  </si>
  <si>
    <t xml:space="preserve"> Palma Africana: Pot. Técnico-económico-ambiental-comercial</t>
  </si>
  <si>
    <t xml:space="preserve"> Cascarilla de Arroz: Pot. Técnico-económico</t>
  </si>
  <si>
    <t xml:space="preserve"> Cascarilla de Arroz: Pot. Técnico-económico-ambiental-comercial</t>
  </si>
  <si>
    <t xml:space="preserve"> Geotérmico: Potencial Técnico-económico</t>
  </si>
  <si>
    <t>Hidroeléctrico [GW]</t>
  </si>
  <si>
    <t xml:space="preserve"> Potencial bruto</t>
  </si>
  <si>
    <t xml:space="preserve"> Potencial técnico</t>
  </si>
  <si>
    <t xml:space="preserve"> Potencial técnico-económico total</t>
  </si>
  <si>
    <t>Remanente</t>
  </si>
  <si>
    <t>Cambiar por 0.88 en el modelo</t>
  </si>
  <si>
    <t xml:space="preserve"> Potencial técnico-económico-ambiental total</t>
  </si>
  <si>
    <t>Distribución</t>
  </si>
  <si>
    <t>Remanente total</t>
  </si>
  <si>
    <t>Embalse (20% del total)</t>
  </si>
  <si>
    <t>Filo de Agua (80% de total)</t>
  </si>
  <si>
    <t xml:space="preserve">  Potencial técnico-económico-ambiental Pacífico (pequeñas)</t>
  </si>
  <si>
    <t xml:space="preserve">  Potencial técnico-económico-ambiental Pacífico (medianas)</t>
  </si>
  <si>
    <t xml:space="preserve">  Pacífico (grandes)</t>
  </si>
  <si>
    <t xml:space="preserve">  Potencial técnico-económico-ambiental Amazonas (pequeñas)</t>
  </si>
  <si>
    <t xml:space="preserve">  Potencial técnico-económico-ambiental Amazonas (medianas)</t>
  </si>
  <si>
    <t xml:space="preserve">  Potencial técnico-económico-ambiental Amazonas (grandes)</t>
  </si>
  <si>
    <t>Fotovoltaico [GW]</t>
  </si>
  <si>
    <t xml:space="preserve"> Fotovoltaico: Potencial Técnico-geográfico</t>
  </si>
  <si>
    <t xml:space="preserve"> Eólico: Potencial bruto</t>
  </si>
  <si>
    <t xml:space="preserve"> Eólico: Potencial económico</t>
  </si>
  <si>
    <t>Distribuida solar [MWp]</t>
  </si>
  <si>
    <t xml:space="preserve"> Distribuida solar: Potencial Técnico-económico</t>
  </si>
  <si>
    <t>**Distribuida eólica [GW]</t>
  </si>
  <si>
    <t xml:space="preserve">Energía generada </t>
  </si>
  <si>
    <t>Energia generada (SNI)</t>
  </si>
  <si>
    <t>Biomasa [PJ]</t>
  </si>
  <si>
    <t>Eólica [PJ]</t>
  </si>
  <si>
    <t>Hidraúlica [PJ]</t>
  </si>
  <si>
    <t>Solar [PJ]</t>
  </si>
  <si>
    <t>Térmica [PJ]</t>
  </si>
  <si>
    <t>Otro</t>
  </si>
  <si>
    <t>Residuo</t>
  </si>
  <si>
    <t>OC Gas Natural</t>
  </si>
  <si>
    <t>Biogás [PJ]</t>
  </si>
  <si>
    <t>Hidroeléctrico represa [PJ]</t>
  </si>
  <si>
    <t>Hidroeléctrico filo de agua [PJ]</t>
  </si>
  <si>
    <t xml:space="preserve">Total </t>
  </si>
  <si>
    <t>Energia generada (Sistemas Aislados)</t>
  </si>
  <si>
    <t>Energia generada (Total)</t>
  </si>
  <si>
    <t>Factor de capacidad calculado</t>
  </si>
  <si>
    <t>Factor de capacidad calculado (Sistemas Aislados)</t>
  </si>
  <si>
    <t xml:space="preserve">Factores de capacidad </t>
  </si>
  <si>
    <t>Timeslice 1</t>
  </si>
  <si>
    <t xml:space="preserve">Fuel oil motor </t>
  </si>
  <si>
    <t xml:space="preserve">Fotovoltaico </t>
  </si>
  <si>
    <t>Eólico</t>
  </si>
  <si>
    <t>Energía transmitida y distribuida Teórica</t>
  </si>
  <si>
    <t>Energía transmitida [PJ]</t>
  </si>
  <si>
    <t>Pérdidas en transmisión [PJ]</t>
  </si>
  <si>
    <t>InputActivityRatio (Tecnología de transmisión)</t>
  </si>
  <si>
    <t>Energía luego de pérdidas en transmisión [PJ]</t>
  </si>
  <si>
    <t>Energía exportada a Colombia y Perú [PJ]</t>
  </si>
  <si>
    <t>Energía disponible en sistemas de distribución (descontando exportaciones)[PJ]</t>
  </si>
  <si>
    <t>Pérdidas en distribución [PJ]</t>
  </si>
  <si>
    <t>Energía disponible en distribución luego de pérdidas [PJ]</t>
  </si>
  <si>
    <t>Energía con sistemas aislados+SIN</t>
  </si>
  <si>
    <t>Energía transmitida y distribuida Calculada</t>
  </si>
  <si>
    <t>Energía Disponible</t>
  </si>
  <si>
    <t>Energía total generada - Consumo de electricidad</t>
  </si>
  <si>
    <t>Definir metodología de cálculo de pérdidas</t>
  </si>
  <si>
    <t>IAR Pérdidas de transmisión</t>
  </si>
  <si>
    <t>Pérdidas de transmisión</t>
  </si>
  <si>
    <t>Pérdidas de distribución</t>
  </si>
  <si>
    <t>IAR Pérdidas de distribución</t>
  </si>
  <si>
    <t>Energía importada y exportada</t>
  </si>
  <si>
    <t>Energía importada [PJ]</t>
  </si>
  <si>
    <t>E5_EXPELE</t>
  </si>
  <si>
    <t>Energía exportada [PJ]</t>
  </si>
  <si>
    <t>Energía generada - consumo</t>
  </si>
  <si>
    <t xml:space="preserve">Consumos de electricidad SNI </t>
  </si>
  <si>
    <t>2,3</t>
  </si>
  <si>
    <t>E5_RESELE</t>
  </si>
  <si>
    <t>Consumo residencial [PJ]</t>
  </si>
  <si>
    <t>E5_COMELE</t>
  </si>
  <si>
    <t>Consumo comercial y servicios públicos [PJ]</t>
  </si>
  <si>
    <t>E5_INDELE</t>
  </si>
  <si>
    <t>Consumo Industrial [PJ]</t>
  </si>
  <si>
    <t>E5_CONELE</t>
  </si>
  <si>
    <t>Consumo construcción y otros [PJ]</t>
  </si>
  <si>
    <t>E5_AGRELE</t>
  </si>
  <si>
    <t>Consumo Agro, pesca y minería [PJ]</t>
  </si>
  <si>
    <t>Consumo transporte (terrestre pasajeros) [PJ]</t>
  </si>
  <si>
    <t xml:space="preserve">  Terrestre carga</t>
  </si>
  <si>
    <t xml:space="preserve">  Terrestre pasajeros</t>
  </si>
  <si>
    <t xml:space="preserve">  Marítimo</t>
  </si>
  <si>
    <t xml:space="preserve">  Aéreo</t>
  </si>
  <si>
    <t>Total [PJ] Cosumo</t>
  </si>
  <si>
    <t xml:space="preserve">Consumos de electricidad Galápagos </t>
  </si>
  <si>
    <t>Consumo + Exportaciones</t>
  </si>
  <si>
    <t>Balance</t>
  </si>
  <si>
    <t>Tiempo de vida promedio en años</t>
  </si>
  <si>
    <t>Hidroeléctricas de embalse</t>
  </si>
  <si>
    <t>Térmicas con Fuel Oil 6</t>
  </si>
  <si>
    <t>Térmicas con Diesel</t>
  </si>
  <si>
    <t>Térmicas con Fuel Oil 4</t>
  </si>
  <si>
    <t>Térmicas con Nafta</t>
  </si>
  <si>
    <t>TotalTechnologyAnnualActivityLowerLimit</t>
  </si>
  <si>
    <t>Gas Natural</t>
  </si>
  <si>
    <t>**Información no disponible en documentos oficiales</t>
  </si>
  <si>
    <t>(Electricidad)                                          1 GWh =</t>
  </si>
  <si>
    <t>GWh</t>
  </si>
  <si>
    <t>kWh</t>
  </si>
  <si>
    <t>Electrolyzer</t>
  </si>
  <si>
    <t>Efficiency electricidad (PJ) para producir un PJ de hidrógeno</t>
  </si>
  <si>
    <t>Lifetime</t>
  </si>
  <si>
    <t>Parameter_Category</t>
  </si>
  <si>
    <t>Parameter</t>
  </si>
  <si>
    <t>Set</t>
  </si>
  <si>
    <t>Source</t>
  </si>
  <si>
    <t>Info_Type</t>
  </si>
  <si>
    <t>Value_Type</t>
  </si>
  <si>
    <t>Units</t>
  </si>
  <si>
    <t>Projection Mode</t>
  </si>
  <si>
    <t>Value</t>
  </si>
  <si>
    <t>Transport</t>
  </si>
  <si>
    <t>Levelized cost of transport</t>
  </si>
  <si>
    <t>Pipeline Cost at 1000 km</t>
  </si>
  <si>
    <t>IRENA 2022 - Part 2</t>
  </si>
  <si>
    <t>Numerical</t>
  </si>
  <si>
    <t>Min</t>
  </si>
  <si>
    <t>$/kg</t>
  </si>
  <si>
    <t>Flat</t>
  </si>
  <si>
    <t>Max</t>
  </si>
  <si>
    <t>General</t>
  </si>
  <si>
    <t>Specific energy</t>
  </si>
  <si>
    <t>Hydrogeno</t>
  </si>
  <si>
    <t>Ammonia for power (Science Direct)</t>
  </si>
  <si>
    <t>LHV</t>
  </si>
  <si>
    <t>MJ/kg</t>
  </si>
  <si>
    <t>M$/PJ</t>
  </si>
  <si>
    <t>Capacidad instalada (SNI)</t>
  </si>
  <si>
    <t>Capacidad instalada (Aislados) Reordenado</t>
  </si>
  <si>
    <t>GALÁPAGOS</t>
  </si>
  <si>
    <t>ELÉCTRIFICACIÓN RURAL</t>
  </si>
  <si>
    <t>Hidro Amazonas</t>
  </si>
  <si>
    <t>Hidro Pacífico</t>
  </si>
  <si>
    <t xml:space="preserve">Diesel </t>
  </si>
  <si>
    <t>Diesel Turbovapor</t>
  </si>
  <si>
    <t>CEMENTERA</t>
  </si>
  <si>
    <t>PETROLERO</t>
  </si>
  <si>
    <t>Crudo</t>
  </si>
  <si>
    <t xml:space="preserve"> Crudo MCI</t>
  </si>
  <si>
    <t xml:space="preserve"> Crudo Turbogas</t>
  </si>
  <si>
    <t xml:space="preserve"> Fuel Oil MCI</t>
  </si>
  <si>
    <t xml:space="preserve"> Diesel Turbogas</t>
  </si>
  <si>
    <t xml:space="preserve"> Diesel MCI</t>
  </si>
  <si>
    <t xml:space="preserve"> Gas Natural Turbovapor</t>
  </si>
  <si>
    <t xml:space="preserve"> Gas Natural MCI</t>
  </si>
  <si>
    <t xml:space="preserve"> Gas Natural Turbogas</t>
  </si>
  <si>
    <t>TotalAnnualMinCapacityInvestment</t>
  </si>
  <si>
    <t>Total Annual Max Capacity (Considera el potencial máximo y la nueva capacidad)</t>
  </si>
  <si>
    <t>Energía generada en los años de calibración</t>
  </si>
  <si>
    <t>Porcentajes de energía generada</t>
  </si>
  <si>
    <t>Average</t>
  </si>
  <si>
    <t>Porcentaje con respecto al total de represas menos Pacífico mediana y grande</t>
  </si>
  <si>
    <t>Porcentajes en filo de agua  menos Pacífico mediana y grande</t>
  </si>
  <si>
    <t>Total sin Pacíficas Med y Lar</t>
  </si>
  <si>
    <t>Actividad mínima</t>
  </si>
  <si>
    <t>Actividad min-Aislados-Hidro fijas-geotérmico</t>
  </si>
  <si>
    <t>Actividad hidros sin fijas</t>
  </si>
  <si>
    <t>Nueva energía generada con hidro</t>
  </si>
  <si>
    <t>Represas</t>
  </si>
  <si>
    <t>Filo de agua</t>
  </si>
  <si>
    <t>TotalAnnualActivityLowerLimit</t>
  </si>
  <si>
    <t>Demandas de combustibles</t>
  </si>
  <si>
    <t>Demandas de Gasolina</t>
  </si>
  <si>
    <t>Demanda residencial [PJ]</t>
  </si>
  <si>
    <t>E5_COMPURGSL</t>
  </si>
  <si>
    <t>Demanda comercial y servicios públicos [PJ]</t>
  </si>
  <si>
    <t>E5_INDPURGSL</t>
  </si>
  <si>
    <t>Demanda Industrial [PJ]</t>
  </si>
  <si>
    <t>E5_CONPURGSL</t>
  </si>
  <si>
    <t>Demanda construcción y otros [PJ]</t>
  </si>
  <si>
    <t>E5_AGRPURGSL</t>
  </si>
  <si>
    <t>Demanda Agro, pesca y minería [PJ]</t>
  </si>
  <si>
    <t>Demanda transporte [PJ]</t>
  </si>
  <si>
    <t>E5_SHITRNPURGSL</t>
  </si>
  <si>
    <t>E5_AERTRNPURGSL</t>
  </si>
  <si>
    <t>Demandas de Diesel</t>
  </si>
  <si>
    <t>E5_COMPURDSL</t>
  </si>
  <si>
    <t>E5_INDPURDSL</t>
  </si>
  <si>
    <t>E5_CONPURDSL</t>
  </si>
  <si>
    <t>E5_SHITRNPURDSL</t>
  </si>
  <si>
    <t>Demandas de GLP</t>
  </si>
  <si>
    <t>E5_RESLPG</t>
  </si>
  <si>
    <t>E5_COMLPG</t>
  </si>
  <si>
    <t>E5_INDLPG</t>
  </si>
  <si>
    <t>E5_CONLPG</t>
  </si>
  <si>
    <t>E5_AGRLPG</t>
  </si>
  <si>
    <t>Demanda transporte (terrestre pasajeros) [PJ]</t>
  </si>
  <si>
    <t>Demandas de Kerosene/Jet Fuel</t>
  </si>
  <si>
    <t>E5_CONKJF</t>
  </si>
  <si>
    <t>E5_AERTRNKJF</t>
  </si>
  <si>
    <t>Demandas de Fuel Oil</t>
  </si>
  <si>
    <t>E5_COMFOI</t>
  </si>
  <si>
    <t>E5_INDFOI</t>
  </si>
  <si>
    <t>E5_SHITRNFOI</t>
  </si>
  <si>
    <t>Demandas de gas natural</t>
  </si>
  <si>
    <t>E5_INDNGS</t>
  </si>
  <si>
    <t>E5_RESNGS</t>
  </si>
  <si>
    <t>Demandas de Leña</t>
  </si>
  <si>
    <t>E5_INDFIR</t>
  </si>
  <si>
    <t>Demanda industrial [PJ]</t>
  </si>
  <si>
    <t>E5_RESFIR</t>
  </si>
  <si>
    <t>Demandas de productos de caña</t>
  </si>
  <si>
    <t>E5_INDSUG</t>
  </si>
  <si>
    <t>Demandas de Biomasa</t>
  </si>
  <si>
    <t>Demanda electrica en Galápagos [PJ]</t>
  </si>
  <si>
    <t>Galapagos Wind</t>
  </si>
  <si>
    <t>Galápagos PV</t>
  </si>
  <si>
    <t>Galapagos diesel</t>
  </si>
  <si>
    <t>Demanda eléctrica rural PJ</t>
  </si>
  <si>
    <t>Electrificación rural hidro</t>
  </si>
  <si>
    <t>Electrificación rural solar</t>
  </si>
  <si>
    <t>Electrificación rural diesel</t>
  </si>
  <si>
    <t>Combustibles</t>
  </si>
  <si>
    <t>Factores de emisión para emisiones fugitivas</t>
  </si>
  <si>
    <t xml:space="preserve">Petróleo </t>
  </si>
  <si>
    <t>[Mton CO2 / PJ]</t>
  </si>
  <si>
    <t>[Mton CH4 / PJ]</t>
  </si>
  <si>
    <t>[Mton N2O / PJ]</t>
  </si>
  <si>
    <t>[Mton CO2eq / PJ]</t>
  </si>
  <si>
    <t>Venteo</t>
  </si>
  <si>
    <t>Se incluyen agrupadas</t>
  </si>
  <si>
    <t>Quema en antorcha</t>
  </si>
  <si>
    <t>Exploración</t>
  </si>
  <si>
    <t>Producción y Refinación</t>
  </si>
  <si>
    <t>Transporte por tuberías</t>
  </si>
  <si>
    <t xml:space="preserve">Gas Natural </t>
  </si>
  <si>
    <t>Producción</t>
  </si>
  <si>
    <t>Procesamiento</t>
  </si>
  <si>
    <t>Transmisión y almacenamiento</t>
  </si>
  <si>
    <t>Factores de emisión por quema de combustible</t>
  </si>
  <si>
    <t>1A1a Producción de electricidad y calor como actividad principal</t>
  </si>
  <si>
    <t>Factores de emisión [Mton CO2/PJ]</t>
  </si>
  <si>
    <t>Gas/Diesel Oil</t>
  </si>
  <si>
    <t>Fuel oil residual</t>
  </si>
  <si>
    <t>Gas Natural (seco)</t>
  </si>
  <si>
    <t>Desechos municipales</t>
  </si>
  <si>
    <t>1A1b Refinación del Petróleo</t>
  </si>
  <si>
    <t>Gasolina</t>
  </si>
  <si>
    <t>Queroseno</t>
  </si>
  <si>
    <t>Gas licuado de petróleo</t>
  </si>
  <si>
    <t>Gas de refinería</t>
  </si>
  <si>
    <t>1A4a Consumo</t>
  </si>
  <si>
    <t>Gas natural</t>
  </si>
  <si>
    <t>Leña</t>
  </si>
  <si>
    <t>Gasolina para motores</t>
  </si>
  <si>
    <t>Gasolina para aviación</t>
  </si>
  <si>
    <t>Coque de petróleo</t>
  </si>
  <si>
    <t>Emisiones asociadas a la producción</t>
  </si>
  <si>
    <t>Petróleo [Mton CO2 eq]</t>
  </si>
  <si>
    <t>Líquidos de gas natural [Mton CO2 eq]</t>
  </si>
  <si>
    <t>Gas natural [Mton CO2 eq]</t>
  </si>
  <si>
    <t>Total [Mton CO2 eq]</t>
  </si>
  <si>
    <t>Electricidad</t>
  </si>
  <si>
    <t>Emisiones asociadas a la generación de electricidad en centrales electricas</t>
  </si>
  <si>
    <t>Productos de caña [Mton CO2 eq]</t>
  </si>
  <si>
    <t>Diesel oil [Mton CO2 eq]</t>
  </si>
  <si>
    <t>Fuel oil [Mton CO2 eq]</t>
  </si>
  <si>
    <t>Otros productos de petróleo y gas [Mton CO2 eq]</t>
  </si>
  <si>
    <t>Emisiones asociadas a la generación de electricidad en autoproductores</t>
  </si>
  <si>
    <t>GLP [Mton CO2 eq]</t>
  </si>
  <si>
    <t>Emisiones asociadas al consumo de combustibles</t>
  </si>
  <si>
    <t>Leña [Mton CO2 eq]</t>
  </si>
  <si>
    <t>Gasolina [Mton CO2 eq]</t>
  </si>
  <si>
    <t>Kerosene/Jet Fuel [Mton CO2 eq]</t>
  </si>
  <si>
    <t>Coque [Mton CO2 eq]</t>
  </si>
  <si>
    <t>No energéticos [Mton CO2 eq]</t>
  </si>
  <si>
    <t>Emisiones asociadas a centros de gas</t>
  </si>
  <si>
    <t>Emisiones asociadas a consumo propio</t>
  </si>
  <si>
    <t>Gas de refinería [Mton CO2 eq]</t>
  </si>
  <si>
    <t>Total emisiones de gases de efecto invernadero</t>
  </si>
  <si>
    <t>Datos faltantes</t>
  </si>
  <si>
    <t>Petróleo quemado en autoproductoras eléctricas [PJ]</t>
  </si>
  <si>
    <t>Factores de emisión de gen. eléctrica en autoproductores térmicos que queman petróleo [MtonCO2eq/PJ]</t>
  </si>
  <si>
    <t>* Se utiliza este factor de emisión para todas las PPI</t>
  </si>
  <si>
    <t>Factor de emisión de Refinerías por quema de petróleo [Mton CO2/PJ]</t>
  </si>
  <si>
    <t xml:space="preserve">Petróleo utilizado para consumo en sistema de bombeo de oleoductos SOTE y OCP según BEN [PJ] </t>
  </si>
  <si>
    <t>Emisiones totales del sistema de bombeo en tuberias de petróleo [MtonCO2eq]</t>
  </si>
  <si>
    <t xml:space="preserve"> (Petróleo)                             1 GgCO2/miles m3 =</t>
  </si>
  <si>
    <t>MtonCO2/PJ</t>
  </si>
  <si>
    <t>GgCO2</t>
  </si>
  <si>
    <t>miles m3</t>
  </si>
  <si>
    <t>MtonCO2</t>
  </si>
  <si>
    <t xml:space="preserve"> (Gas Natural)                        1 GgCO2/Mm3 =</t>
  </si>
  <si>
    <t>Mm3</t>
  </si>
  <si>
    <t xml:space="preserve"> (Factores de emisión)                      1 kgCO2/TJ =</t>
  </si>
  <si>
    <t>kgCO2</t>
  </si>
  <si>
    <t>GWP IPCC AR4</t>
  </si>
  <si>
    <t>CO2</t>
  </si>
  <si>
    <t>CH4</t>
  </si>
  <si>
    <t>N2O</t>
  </si>
  <si>
    <t>Petróleo  [Mton CO2/PJ]</t>
  </si>
  <si>
    <t>[Mton CO2/PJ]</t>
  </si>
  <si>
    <t>[Mton CH4CO2eq/PJ]</t>
  </si>
  <si>
    <t>[Mton NH4CO2eq/PJ]</t>
  </si>
  <si>
    <t>kbbl</t>
  </si>
  <si>
    <t>Mton CO2</t>
  </si>
  <si>
    <t>CH4CO2eq</t>
  </si>
  <si>
    <t>N2OCO2eq</t>
  </si>
  <si>
    <t>Technology in OSeMOSYS</t>
  </si>
  <si>
    <t>1B2ai</t>
  </si>
  <si>
    <t>PROCRU</t>
  </si>
  <si>
    <t>1B2aii</t>
  </si>
  <si>
    <t>1B2aiii1</t>
  </si>
  <si>
    <t>RSVCRU</t>
  </si>
  <si>
    <t>1B2aiii2</t>
  </si>
  <si>
    <t>Producción y refinación</t>
  </si>
  <si>
    <t>1B2aiii3</t>
  </si>
  <si>
    <t>Transporte</t>
  </si>
  <si>
    <t xml:space="preserve">Refinación </t>
  </si>
  <si>
    <t>1B2aiii4</t>
  </si>
  <si>
    <t>Refinación</t>
  </si>
  <si>
    <t>REFCRU</t>
  </si>
  <si>
    <t>Gas Natural  [Mton CO2/PJ]</t>
  </si>
  <si>
    <t>Carbón  [Mton CO2/PJ]</t>
  </si>
  <si>
    <t>Se usa el consumo propio total en PJ y las emisiones del INGEI</t>
  </si>
  <si>
    <t>Gg CO2eq</t>
  </si>
  <si>
    <t>IAR Consumo propio</t>
  </si>
  <si>
    <t>PJ Consumo Propio</t>
  </si>
  <si>
    <t>Mton CO2eq/PJ</t>
  </si>
  <si>
    <t xml:space="preserve"> (Gas Natural)                        1 GgCO2/miles m3 =</t>
  </si>
  <si>
    <t>Costos variables de producción</t>
  </si>
  <si>
    <t>Diésel oil [Millones de US$/PJ]</t>
  </si>
  <si>
    <t>Gasolina [Millones de US$/PJ]</t>
  </si>
  <si>
    <t>GLP [Millones de US$/PJ]</t>
  </si>
  <si>
    <t>Fuel Oil [Millones de US$/PJ]</t>
  </si>
  <si>
    <t>Jet Fuel [Millones de US$/PJ]</t>
  </si>
  <si>
    <t>Gas Natural Fuel [Millones de US$/PJ]</t>
  </si>
  <si>
    <t>Total [Millones de US$/PJ]</t>
  </si>
  <si>
    <t>Costos fijos de producción</t>
  </si>
  <si>
    <t>Costos capitales de producción</t>
  </si>
  <si>
    <t>Costos variables de los combustibles</t>
  </si>
  <si>
    <t>Leña [Millones de US$/PJ]</t>
  </si>
  <si>
    <t>Productos de caña [Millones de US$/PJ]</t>
  </si>
  <si>
    <t>Aceite de piñón [Millones de US$/PJ]</t>
  </si>
  <si>
    <t>Hidrógeno [Millones de US$/PJ]</t>
  </si>
  <si>
    <t>Plantas de Generación</t>
  </si>
  <si>
    <t>Costos Capitales</t>
  </si>
  <si>
    <t>Biomasa [Millones de US$/GW]</t>
  </si>
  <si>
    <t>Bagasse Sub-critical</t>
  </si>
  <si>
    <t>Bagasse Sub-critical CCS</t>
  </si>
  <si>
    <t>Existing Bagasse</t>
  </si>
  <si>
    <t>New Bagasse</t>
  </si>
  <si>
    <t>Integrated coal gasification combined cycle (IGCC)</t>
  </si>
  <si>
    <t>Integrated coal gasification combined cycle (IGCC) with CCS</t>
  </si>
  <si>
    <t>Solid waste [Millones de U+C88:C107S$/GW]</t>
  </si>
  <si>
    <t>Geotérmico [Millones de US$/GW]</t>
  </si>
  <si>
    <t>Hidroeléctrico represa [Millones de US$/GW]</t>
  </si>
  <si>
    <t>Pequeña (&lt;50MW)</t>
  </si>
  <si>
    <t>Mediana (50MW-450MW)</t>
  </si>
  <si>
    <t>Grande &gt;450MW</t>
  </si>
  <si>
    <t>Hidroeléctrico filo de agua [Millones de US$/GW]</t>
  </si>
  <si>
    <t>Natural Gas [Millones de US$/GW]</t>
  </si>
  <si>
    <t>Existentes</t>
  </si>
  <si>
    <t>Open Cycle</t>
  </si>
  <si>
    <t>Close Cycle</t>
  </si>
  <si>
    <t>Close Cycle with CCS</t>
  </si>
  <si>
    <t>Diesel [Millones de US$/GW]</t>
  </si>
  <si>
    <t>Existing Steam</t>
  </si>
  <si>
    <t>Existing Internal combustion engine</t>
  </si>
  <si>
    <t>Heavy oil [Millones de US$/GW]</t>
  </si>
  <si>
    <t>Ranking Cycle</t>
  </si>
  <si>
    <t>Ranking Cycle with CCS</t>
  </si>
  <si>
    <t>Carbón [Millones de US$/GW]</t>
  </si>
  <si>
    <t>Sin CCS</t>
  </si>
  <si>
    <t>Con CCS</t>
  </si>
  <si>
    <t>Solar [Millones de US$/GW]</t>
  </si>
  <si>
    <t>Existente FV</t>
  </si>
  <si>
    <t>Nuevo FV</t>
  </si>
  <si>
    <t>FV generación distribuida</t>
  </si>
  <si>
    <t>…</t>
  </si>
  <si>
    <t>Total [Millones de US$/kW]</t>
  </si>
  <si>
    <t>Costos Fijos</t>
  </si>
  <si>
    <t>Biomasa [Millones de US$/GW-año]</t>
  </si>
  <si>
    <t>Solid waste [Millones de US$/GW-año]</t>
  </si>
  <si>
    <t>Geotérmico [Millones de US$/GW-año]</t>
  </si>
  <si>
    <t>Hidroeléctrico represa [Millones de US$/GW-año]</t>
  </si>
  <si>
    <t>Hidroeléctrico filo de agua [Millones de US$/GW-año]</t>
  </si>
  <si>
    <t>Natural Gas [Millones de US$/GW-año]</t>
  </si>
  <si>
    <t>Diesel [Millones de US$/GW-año]</t>
  </si>
  <si>
    <t>Steam</t>
  </si>
  <si>
    <t>Internal combustion engine</t>
  </si>
  <si>
    <t>Heavy oil [Millones de US$/-año]</t>
  </si>
  <si>
    <t>Carbón [Millones de US$/GW-año]</t>
  </si>
  <si>
    <t>Solar [Millones de US$/GW-año]</t>
  </si>
  <si>
    <t>Eólico [Millones de US$/GW-año]</t>
  </si>
  <si>
    <t>Total [Millones de US$/GW-año]</t>
  </si>
  <si>
    <t>Costos variables</t>
  </si>
  <si>
    <t>Biomasa [Millones de US$/PJ]</t>
  </si>
  <si>
    <t>Solid waste [Millones de US$/PJ]</t>
  </si>
  <si>
    <t>Geotérmico [Millones de US$/PJ]</t>
  </si>
  <si>
    <t>Hidroeléctrico represa [Millones de US$/PJ]</t>
  </si>
  <si>
    <t>Diesel [Millones de US$/PJ]</t>
  </si>
  <si>
    <t>Heavy oil Existing [Millones de US$/PJ]</t>
  </si>
  <si>
    <t>Carbón [Millones de US$/PJ]</t>
  </si>
  <si>
    <t>Fotovoltaico [Millones de US$/PJ]</t>
  </si>
  <si>
    <t>Eólico [Millones de US$/PJ]</t>
  </si>
  <si>
    <t>Distribuida solar [Millones de US$/PJ]</t>
  </si>
  <si>
    <t>Distribuida eólica [Millones de US$/PJ]</t>
  </si>
  <si>
    <t>Total [Millones de US$/GW]</t>
  </si>
  <si>
    <t>Costo final de la biomasa (USD/MJ)</t>
  </si>
  <si>
    <t>Bagazo de caña (Ciclo Rankine con recalentamiento intermedio)</t>
  </si>
  <si>
    <t>0.033-0.444</t>
  </si>
  <si>
    <t>Cascarilla de arroz (Ciclo Rankine con recalentamiento intermedio)</t>
  </si>
  <si>
    <t>0.033-0.047</t>
  </si>
  <si>
    <t>Cuesco y fibra de palma (Ciclo Rankine con recalentamiento intermedio)</t>
  </si>
  <si>
    <t>0.031-0.047</t>
  </si>
  <si>
    <t>Informe estadistico 2020 y 2019, Petroecuador EP</t>
  </si>
  <si>
    <t>Valores utilizados en ELENA</t>
  </si>
  <si>
    <t>Evaluación del Potencial Técnico y Económico de Plantas de Generación Eléctrica basadas en desechos agrícolas y agroindustriales, reproducibles en distintas localizaciones Ecuador</t>
  </si>
  <si>
    <t>Kerosene [Millones de US$/PJ]</t>
  </si>
  <si>
    <t>Petroleum gases [Millones de US$/PJ]</t>
  </si>
  <si>
    <t>Costos de importación</t>
  </si>
  <si>
    <t>Gasolina [US$/BEP]</t>
  </si>
  <si>
    <t>Diésel oil [US$/BEP]</t>
  </si>
  <si>
    <t>GLP [US$/BEP]</t>
  </si>
  <si>
    <t>Electricidad Colombia [MUS$/PJ]</t>
  </si>
  <si>
    <t>Electricidad Perú [MUS$/PJ]</t>
  </si>
  <si>
    <t>Entre 2017 y 2021 no se reporta importación de electricidad desde Perú. En el período 2014-2016 se importó energía desde perú a un valor promedio de 14.71[MUS$/PJ]</t>
  </si>
  <si>
    <t xml:space="preserve">       Electrolyzer (Alkaline Electrolyzer Type)</t>
  </si>
  <si>
    <t xml:space="preserve">       Electrolyzer (Proton Exchange Membrane Type)</t>
  </si>
  <si>
    <t xml:space="preserve">       Electrolyzer (Solid Oxide Electrolyzer Cell Type)</t>
  </si>
  <si>
    <t>Costos Capitales [Millones de US$/GW]</t>
  </si>
  <si>
    <t xml:space="preserve">Tipo de biomasa: </t>
  </si>
  <si>
    <t xml:space="preserve">      Bagazo de caña (Existing)</t>
  </si>
  <si>
    <t xml:space="preserve">      Bagazo de caña (Nuevo)</t>
  </si>
  <si>
    <t xml:space="preserve">Tecnología: </t>
  </si>
  <si>
    <t xml:space="preserve">      Turbovapor-Integrated coal gasification combined cycle (IGCC)</t>
  </si>
  <si>
    <t xml:space="preserve">      Turbovapor-Integrated coal gasification combined cycle (IGCC) with CCS</t>
  </si>
  <si>
    <t xml:space="preserve">Tipo de eólica: </t>
  </si>
  <si>
    <t xml:space="preserve">      Eólica (Existing)</t>
  </si>
  <si>
    <t xml:space="preserve">      Eólica (Nuevo)</t>
  </si>
  <si>
    <t xml:space="preserve">Tipos de centrales: </t>
  </si>
  <si>
    <t xml:space="preserve">      Embalse</t>
  </si>
  <si>
    <t xml:space="preserve">          Vertiente-Tamaño:</t>
  </si>
  <si>
    <t xml:space="preserve">             Amazonas-Pequeñas</t>
  </si>
  <si>
    <t xml:space="preserve">             Amazonas-Medianas</t>
  </si>
  <si>
    <t xml:space="preserve">             Amazonas-Grandes</t>
  </si>
  <si>
    <t xml:space="preserve">             Pacífico-Pequeñas</t>
  </si>
  <si>
    <t xml:space="preserve">             Pacífico-Medianas</t>
  </si>
  <si>
    <t xml:space="preserve">             Pacífico-Grandes</t>
  </si>
  <si>
    <t xml:space="preserve">      Pasada</t>
  </si>
  <si>
    <t xml:space="preserve">Tipo de solar: </t>
  </si>
  <si>
    <t xml:space="preserve">      Existente FV</t>
  </si>
  <si>
    <t xml:space="preserve">      Nuevo FV</t>
  </si>
  <si>
    <t xml:space="preserve">      FV generación distribuida</t>
  </si>
  <si>
    <t xml:space="preserve">      Solar CSP</t>
  </si>
  <si>
    <t xml:space="preserve">      MCI</t>
  </si>
  <si>
    <t xml:space="preserve">          Combustible:</t>
  </si>
  <si>
    <t xml:space="preserve">             Biogás (from Solid Waste)</t>
  </si>
  <si>
    <t xml:space="preserve">             Diesel</t>
  </si>
  <si>
    <t xml:space="preserve">             Fuel Oil (Heavy Oil)</t>
  </si>
  <si>
    <t xml:space="preserve">             Residuo</t>
  </si>
  <si>
    <t xml:space="preserve">      Turbogas</t>
  </si>
  <si>
    <t xml:space="preserve">          Tipo-Combustible:</t>
  </si>
  <si>
    <t xml:space="preserve">             Sin especificar-Gas Natural (Existentes)</t>
  </si>
  <si>
    <t xml:space="preserve">             Open Cycle-Gas Natural</t>
  </si>
  <si>
    <t xml:space="preserve">             Close Cycle-Gas Natural</t>
  </si>
  <si>
    <t xml:space="preserve">             Close Cycle with CCS-Gas Natural</t>
  </si>
  <si>
    <t xml:space="preserve">      Turbovapor</t>
  </si>
  <si>
    <t xml:space="preserve">             Geotérmico-Calor geotérmico</t>
  </si>
  <si>
    <t xml:space="preserve">             Rankine Cycle-Heavy Oil (Fuel Oil)</t>
  </si>
  <si>
    <t xml:space="preserve">             Rankine Cycle with CCS-Heavy Oil (Fuel Oil)</t>
  </si>
  <si>
    <t xml:space="preserve">Tipo de carbón: </t>
  </si>
  <si>
    <t xml:space="preserve">      Sin CCS</t>
  </si>
  <si>
    <t xml:space="preserve">      Con CCS</t>
  </si>
  <si>
    <t>Costos Fijos [Millones de US$/GW-año]</t>
  </si>
  <si>
    <t xml:space="preserve">             Sin especificar-Gas Natural</t>
  </si>
  <si>
    <t>Costos Variables [Millones de US$/PJ]</t>
  </si>
  <si>
    <t>Cifras mensuales del Sector Petrolero Ecuatoriano, Banco Central del Ecuador</t>
  </si>
  <si>
    <t>Assessment of Hydrogen Production Costs from Electrolysis: United States and Europe</t>
  </si>
  <si>
    <t>Precios Sector Residencial</t>
  </si>
  <si>
    <t>Electrodomésticos</t>
  </si>
  <si>
    <t>Artefacto</t>
  </si>
  <si>
    <t>Especificación de la referencia</t>
  </si>
  <si>
    <t>Modelos Eficientes Precio 2018</t>
  </si>
  <si>
    <t>Modelos Ineficientes Precio 2018</t>
  </si>
  <si>
    <t>Cocina a GN - con horno</t>
  </si>
  <si>
    <t>4 hornillas, horno 48 lt, grill</t>
  </si>
  <si>
    <t>Cocina a GLP - con horno</t>
  </si>
  <si>
    <t>Cocina eléctrica de inducción (encimera)</t>
  </si>
  <si>
    <t>4 hornillas, sin horno (solo la "encimera"), potencia total 7,2 kW</t>
  </si>
  <si>
    <t>Cocina eléctrica de inducción-con horno</t>
  </si>
  <si>
    <t>4 hornillas (potencia total 7,2 kW), horno 52 lt</t>
  </si>
  <si>
    <t>Horno microondas/ microondas</t>
  </si>
  <si>
    <t>25lt, 800 W</t>
  </si>
  <si>
    <t>Refrigerador o freezer</t>
  </si>
  <si>
    <t>No frost, 340 lts, 2 puertas (nevera 269 lts y freezer 92lts), 250 W, consumo de aprox. 40  kWh/mes</t>
  </si>
  <si>
    <t>Aire acondicionado</t>
  </si>
  <si>
    <t>Split pared, capacidad de refrigeración de 18.000 BTU/h, potencia de 1811 W</t>
  </si>
  <si>
    <t>Computadora (laptop)</t>
  </si>
  <si>
    <t>Laptop,  14 inch, Core i3, 8GB en RAM, 256 GB SSD, potencia 200 W</t>
  </si>
  <si>
    <t>Radio</t>
  </si>
  <si>
    <t>Equipo de sonido 720W de potencia RMS, 3 parlantes</t>
  </si>
  <si>
    <t xml:space="preserve">Televisor </t>
  </si>
  <si>
    <t>43 pulg, LED, smart TV, potencia 65 W</t>
  </si>
  <si>
    <t>Lavadora de ropa</t>
  </si>
  <si>
    <t>Lavadora y secadora, carga frontal, 12 kg. Potencia Lavado 2100W. Potencia secado 1500W</t>
  </si>
  <si>
    <t>Referencias Bibliográficas</t>
  </si>
  <si>
    <t>https://www.dismac.com.bo/</t>
  </si>
  <si>
    <t>https://www.tibo.bo/tiendasbolivia/</t>
  </si>
  <si>
    <t>https://www.creditoseconomicos.com/</t>
  </si>
  <si>
    <t>Input Activity Ratio</t>
  </si>
  <si>
    <t>Annual Activity Lower Limit</t>
  </si>
  <si>
    <t>Capacidad Instalada</t>
  </si>
  <si>
    <t>Capacidad Proyectada en los actuales planes de expansión</t>
  </si>
  <si>
    <t>Consumos de electricidad</t>
  </si>
  <si>
    <t>Technology Annual Activity Lower Limit</t>
  </si>
  <si>
    <t>Factores de emisión por quema de combustibles</t>
  </si>
  <si>
    <t>Petróleo quemado en refinerías [PJ]</t>
  </si>
  <si>
    <t>Emisiones emitidas por refinación de petróleo [MtonCO2eq]</t>
  </si>
  <si>
    <t>Factor de emisión de Refinerías por quema de petróleo [GgtonCO2eq/TJ]</t>
  </si>
  <si>
    <t>PIB</t>
  </si>
  <si>
    <t>Demandas de ...</t>
  </si>
  <si>
    <t>Demanda comercial [PJ]</t>
  </si>
  <si>
    <t>Demanda servicios públicos [PJ]</t>
  </si>
  <si>
    <t>Demanda Agricultura, Construcción y Otros [PJ]</t>
  </si>
  <si>
    <t>1 BEP=6.29903E6 PJ</t>
  </si>
  <si>
    <t>Proyecciones a 2050 tomadas de ELENA en un escenario BAU</t>
  </si>
  <si>
    <t>Reservas probadas (puede ser un valor para todo el periodo)</t>
  </si>
  <si>
    <t>Petróleo [MMBls]</t>
  </si>
  <si>
    <t>Gas Natural [MMSCF]</t>
  </si>
  <si>
    <t xml:space="preserve">Carbón [PJ] </t>
  </si>
  <si>
    <t>Reservas totales (3P) [MMBls]</t>
  </si>
  <si>
    <t>Recursos contingentes (3C) [MMBls]</t>
  </si>
  <si>
    <t>Recursos prospectivos [MMBls]</t>
  </si>
  <si>
    <t>Reservas totales (3P) [MMSCF]</t>
  </si>
  <si>
    <t>Recursos contingentes (3C) [MMSCF]</t>
  </si>
  <si>
    <t>Recursos prospectivos [MMSCF]</t>
  </si>
  <si>
    <t>Petróleo [kBEP]</t>
  </si>
  <si>
    <t>Gas Natural [kBEP]</t>
  </si>
  <si>
    <t xml:space="preserve">Carbón [kBEP] </t>
  </si>
  <si>
    <t>..</t>
  </si>
  <si>
    <t>Total [kBEP]</t>
  </si>
  <si>
    <t>Pérdidas por extracción anual</t>
  </si>
  <si>
    <t>Petróleo crudo [kBEP]</t>
  </si>
  <si>
    <t>Diésel oil [kBEP]</t>
  </si>
  <si>
    <t>Gasolina [kBEP]</t>
  </si>
  <si>
    <t>GLP [kBEP]</t>
  </si>
  <si>
    <t>Fuel oil [kBEP]</t>
  </si>
  <si>
    <t>Jet Fuel [kBEP]</t>
  </si>
  <si>
    <t>Coque de Petróleo [kBEP]</t>
  </si>
  <si>
    <t>Líquidos de gas natural [kBEP]</t>
  </si>
  <si>
    <t>Gases de refinería [kBEP]</t>
  </si>
  <si>
    <t>No energético [kBEP]</t>
  </si>
  <si>
    <t>Crudo reducido [kBEP]</t>
  </si>
  <si>
    <t xml:space="preserve">Pérdidas en el proceso de refinación  (Colocar por refinería si existe la información) </t>
  </si>
  <si>
    <t xml:space="preserve">… </t>
  </si>
  <si>
    <t>Gas natural [kBEP]</t>
  </si>
  <si>
    <t>Gases (Propano y gas combustible) [kBEP]</t>
  </si>
  <si>
    <t>Leña [kBEP]</t>
  </si>
  <si>
    <t>Productos de caña [kBEP]</t>
  </si>
  <si>
    <t>Aceite de piñón</t>
  </si>
  <si>
    <t>Hidrógeno</t>
  </si>
  <si>
    <t>PETRÓLEO</t>
  </si>
  <si>
    <t>GAS NATURAL</t>
  </si>
  <si>
    <t>BAGAZO</t>
  </si>
  <si>
    <t>GAS LICUADO</t>
  </si>
  <si>
    <t>GASOLINAS</t>
  </si>
  <si>
    <t>DIÉSEL OIL</t>
  </si>
  <si>
    <t>FUEL OIL</t>
  </si>
  <si>
    <t>CRUDO REDUCIDO</t>
  </si>
  <si>
    <t>RESIDUOS MUNICIPALES</t>
  </si>
  <si>
    <t>Consumo Estaciones de Bombeo SOTE [BEP]</t>
  </si>
  <si>
    <t>Cantidad de crudo bombeado por los oleoductos SOTE y OCP [BEP]</t>
  </si>
  <si>
    <r>
      <rPr>
        <b/>
        <sz val="11"/>
        <color theme="1"/>
        <rFont val="Calibri"/>
        <family val="2"/>
      </rPr>
      <t xml:space="preserve">Nota 1: </t>
    </r>
    <r>
      <rPr>
        <sz val="11"/>
        <color theme="1"/>
        <rFont val="Calibri"/>
        <family val="2"/>
      </rPr>
      <t>No se considera al carbón dentro de la producción o importación nacional</t>
    </r>
  </si>
  <si>
    <r>
      <rPr>
        <b/>
        <sz val="11"/>
        <color theme="1"/>
        <rFont val="Calibri"/>
        <family val="2"/>
      </rPr>
      <t xml:space="preserve">Nota 2: </t>
    </r>
    <r>
      <rPr>
        <sz val="11"/>
        <color theme="1"/>
        <rFont val="Calibri"/>
        <family val="2"/>
      </rPr>
      <t>Se marcó ciertas celdas en amarillo para denotar que esas filas no se encontraban en las plantillas originales, sino que fueron agregadas por el equipo USFQ</t>
    </r>
  </si>
  <si>
    <t>Informe Anual del Potencial Hidrocarburífero del Ecuador</t>
  </si>
  <si>
    <t xml:space="preserve">Balance Energético Nacional 2021 </t>
  </si>
  <si>
    <r>
      <rPr>
        <sz val="11"/>
        <color theme="1"/>
        <rFont val="Calibri"/>
        <family val="2"/>
      </rPr>
      <t xml:space="preserve">Villamar, D., Soria, R., Rochedo, P., Szklo, A., Imperio, M., Carvajal, P., &amp; Schaeffer, R. (2021). Long-term deep decarbonisation pathways for Ecuador: Insights from an integrated assessment model. Energy Strategy Reviews, 35, 100637. </t>
    </r>
    <r>
      <rPr>
        <u/>
        <sz val="11"/>
        <color rgb="FF1155CC"/>
        <rFont val="Calibri"/>
        <family val="2"/>
      </rPr>
      <t>https://doi.org/10.1016/j.esr.2021.100637</t>
    </r>
    <r>
      <rPr>
        <sz val="11"/>
        <color theme="1"/>
        <rFont val="Calibri"/>
        <family val="2"/>
      </rPr>
      <t xml:space="preserve">
</t>
    </r>
  </si>
  <si>
    <t>[kBEP]</t>
  </si>
  <si>
    <t>Consumo de combustibles en refinerías (Consumo Propio)</t>
  </si>
  <si>
    <t xml:space="preserve">PETRÓLEO </t>
  </si>
  <si>
    <t xml:space="preserve">GAS NATURAL </t>
  </si>
  <si>
    <t xml:space="preserve">BAGAZO </t>
  </si>
  <si>
    <t xml:space="preserve">GAS LICUADO </t>
  </si>
  <si>
    <t>KEROSENE/JET FUEL</t>
  </si>
  <si>
    <t>GAS DE REFINERÍA</t>
  </si>
  <si>
    <t>Identificar el sistema al que pertenecen: Interconectado o Aislado (Petroleros, Galápagos...) Duplicar la tecnología si existe en los distintos sistemas aislados. Por ejemplo: Biomasa Galápagos, Fuel Oil Petroleros...</t>
  </si>
  <si>
    <t>Biomasa [MW]</t>
  </si>
  <si>
    <t>Eólica [MW]</t>
  </si>
  <si>
    <t>Hidraúlica [MW]</t>
  </si>
  <si>
    <t>Solar [MW]</t>
  </si>
  <si>
    <t>Térmica [MW]</t>
  </si>
  <si>
    <t>Biogás [MW]</t>
  </si>
  <si>
    <t>Hidroeléctrico represa [MW]</t>
  </si>
  <si>
    <t>Hidroeléctrico filo de agua [MW]</t>
  </si>
  <si>
    <t>Geotérmico [MW]</t>
  </si>
  <si>
    <t>2,4</t>
  </si>
  <si>
    <t>Fotovoltaico  [MW]</t>
  </si>
  <si>
    <t>Eólico  [MW]</t>
  </si>
  <si>
    <t>Termoeléctrico (gas natural) [MW]</t>
  </si>
  <si>
    <t>ERNC [MW]</t>
  </si>
  <si>
    <t>5, 11</t>
  </si>
  <si>
    <t>Pérdida de capacidad  (relacionado a la vida útil remanente)</t>
  </si>
  <si>
    <t>Rafa</t>
  </si>
  <si>
    <t>Geotérmico [MWe]</t>
  </si>
  <si>
    <t xml:space="preserve"> Potencial Técnico-económico</t>
  </si>
  <si>
    <t>Hidroeléctrico [MW]</t>
  </si>
  <si>
    <t xml:space="preserve">  Pacífico (pequeñas)</t>
  </si>
  <si>
    <t xml:space="preserve">  Pacífico (medianas)</t>
  </si>
  <si>
    <t xml:space="preserve">  Amazonas (pequeñas)</t>
  </si>
  <si>
    <t xml:space="preserve">  Amazonas (medianas)</t>
  </si>
  <si>
    <t xml:space="preserve">  Amazonas (grandes)</t>
  </si>
  <si>
    <t>Fotovoltaico [MWp]</t>
  </si>
  <si>
    <t xml:space="preserve"> Potencial Técnico-geográfico</t>
  </si>
  <si>
    <t xml:space="preserve"> Potencial económico</t>
  </si>
  <si>
    <t>Energía generada (Total)</t>
  </si>
  <si>
    <t>Biomasa [GWh]</t>
  </si>
  <si>
    <t>Eólica [GWh]</t>
  </si>
  <si>
    <t>Hidraúlica [GWh]</t>
  </si>
  <si>
    <t>Solar [GWh]</t>
  </si>
  <si>
    <t>Térmica [GWh]</t>
  </si>
  <si>
    <t>Biogás [GWh]</t>
  </si>
  <si>
    <t>Hidroeléctrico represa [GWh]</t>
  </si>
  <si>
    <t>Hidroeléctrico filo de agua [GWh]</t>
  </si>
  <si>
    <t>Factores de capacidad</t>
  </si>
  <si>
    <t xml:space="preserve">Energía transmitida y distribuida </t>
  </si>
  <si>
    <t>Energía transmitida [GWh]</t>
  </si>
  <si>
    <t>Pérdidas en transmisión [GWh]</t>
  </si>
  <si>
    <t>Pérdidas en transmisión [%]</t>
  </si>
  <si>
    <t>Energía luego de pérdidas [GWh]</t>
  </si>
  <si>
    <t>Energía exportada a Colombia y Perú [GWh]</t>
  </si>
  <si>
    <t>Energía disponible en sistemas de distribución [GWh]</t>
  </si>
  <si>
    <t>Pérdidas en distribución [GWh]</t>
  </si>
  <si>
    <t>Pérdidas en distribución [%]</t>
  </si>
  <si>
    <t>Energía disponible en distribución luego de pérdidas [GWh]</t>
  </si>
  <si>
    <t>Energía importada [GWh]</t>
  </si>
  <si>
    <t>Energía exportada [GWh]</t>
  </si>
  <si>
    <t>Consumo de electricidad</t>
  </si>
  <si>
    <t>Consumo residencial [kBEP]</t>
  </si>
  <si>
    <t>Consumo comercial y servicios públicos [kBEP]</t>
  </si>
  <si>
    <t>Consmo Industrial [kBEP]</t>
  </si>
  <si>
    <t>Consumo construcción y otros [kBEP]</t>
  </si>
  <si>
    <t>Consumo Agro, pesca y minería [kBEP]</t>
  </si>
  <si>
    <t>Consumo transporte [kBEP]</t>
  </si>
  <si>
    <r>
      <rPr>
        <b/>
        <sz val="11"/>
        <color theme="1"/>
        <rFont val="Calibri"/>
        <family val="2"/>
      </rPr>
      <t xml:space="preserve">Nota 1: </t>
    </r>
    <r>
      <rPr>
        <sz val="11"/>
        <color theme="1"/>
        <rFont val="Calibri"/>
        <family val="2"/>
      </rPr>
      <t>Se marcó ciertas celdas en verde para denotar que esas filas no se encontraban en las plantillas originales, sino que fueron agregadas por el equipo USFQ</t>
    </r>
  </si>
  <si>
    <r>
      <rPr>
        <b/>
        <sz val="11"/>
        <color theme="1"/>
        <rFont val="Calibri"/>
        <family val="2"/>
      </rPr>
      <t xml:space="preserve">Nota 2: </t>
    </r>
    <r>
      <rPr>
        <sz val="11"/>
        <color theme="1"/>
        <rFont val="Calibri"/>
        <family val="2"/>
      </rPr>
      <t>No hay información disponible</t>
    </r>
  </si>
  <si>
    <t>Atlas del Sector Eléctrico Ecuatoriano</t>
  </si>
  <si>
    <r>
      <rPr>
        <sz val="11"/>
        <color theme="1"/>
        <rFont val="Calibri"/>
        <family val="2"/>
      </rPr>
      <t xml:space="preserve">Villamar, D., Soria, R., Rochedo, P., Szklo, A., Imperio, M., Carvajal, P., &amp; Schaeffer, R. (2021). Long-term deep decarbonisation pathways for Ecuador: Insights from an integrated assessment model. Energy Strategy Reviews, 35, 100637. </t>
    </r>
    <r>
      <rPr>
        <u/>
        <sz val="11"/>
        <color rgb="FF1155CC"/>
        <rFont val="Calibri"/>
        <family val="2"/>
      </rPr>
      <t>https://doi.org/10.1016/j.esr.2021.100637</t>
    </r>
  </si>
  <si>
    <t>Registro Nacional de Autorizaciones para Consumidores con SFV (ARCERNNR)</t>
  </si>
  <si>
    <t>Plan Maestro de Electricidad</t>
  </si>
  <si>
    <t>Folleto Bloque ERNC 2021</t>
  </si>
  <si>
    <t>Estadística Anual y Multianual del Sector Eléctrico Ecuatoriano</t>
  </si>
  <si>
    <t>Balance Energético Nacional 2021</t>
  </si>
  <si>
    <t>CELEC-Aprovechamiento biomasa para producción eléctrica (palma africana y cascarilla de arroz)</t>
  </si>
  <si>
    <t>Evaluación del potencial técnico y económico de plantas de generación eléctrica basadas en desechos agrícolas y agroindustriales, reproducibles en distintas localizaciones Ecuador</t>
  </si>
  <si>
    <t>ARC SISDAT_centrales electricas</t>
  </si>
  <si>
    <t>https://www.review-energy.com/otras-fuentes/ecuador-adjudica-la-totalidad-del-bloque-de-500-mw-renovables</t>
  </si>
  <si>
    <t xml:space="preserve">La tabla mostrada a continuación está basado en el Anexo actualizado del Plan Maestro de Electricidad. </t>
  </si>
  <si>
    <t>Año de entrada en operación</t>
  </si>
  <si>
    <t>Proyecto</t>
  </si>
  <si>
    <t>Tipo</t>
  </si>
  <si>
    <t>Vertiente</t>
  </si>
  <si>
    <t>Potencia [MW]</t>
  </si>
  <si>
    <t>Tamaño</t>
  </si>
  <si>
    <t>San José de Minas</t>
  </si>
  <si>
    <t>Hidroeléctrico de pasada</t>
  </si>
  <si>
    <t>Pequeña</t>
  </si>
  <si>
    <t>Chalpi Grande</t>
  </si>
  <si>
    <t>Hidroeléctrico de pasada*</t>
  </si>
  <si>
    <t>Toachi Pilatón, Central Sarapullo</t>
  </si>
  <si>
    <t>Hidroeléctrico de embalse</t>
  </si>
  <si>
    <t>Minas de Huascachaca</t>
  </si>
  <si>
    <t>Toachi Pilatón, Central Alluriquín</t>
  </si>
  <si>
    <t>Mediana</t>
  </si>
  <si>
    <t>El Aromo</t>
  </si>
  <si>
    <t>Sabanilla</t>
  </si>
  <si>
    <t>Mazar-Dudas, Central San Antonio</t>
  </si>
  <si>
    <t>Villonaco III</t>
  </si>
  <si>
    <t>Maravilla</t>
  </si>
  <si>
    <t>La Magdalena</t>
  </si>
  <si>
    <t>Mazar-Dudas, Central Dudas</t>
  </si>
  <si>
    <t>Machala Gas Ciclo Combinado</t>
  </si>
  <si>
    <t>Termoeléctrico (gas natural)</t>
  </si>
  <si>
    <t>Soldados Yanuncay, Central Soldados</t>
  </si>
  <si>
    <t>Chorrillos</t>
  </si>
  <si>
    <t>El Salto</t>
  </si>
  <si>
    <t>Soldados Yanuncay, Central Yanuncay</t>
  </si>
  <si>
    <t>Bloque ERNC 1</t>
  </si>
  <si>
    <t>ERNC</t>
  </si>
  <si>
    <t>Quijos</t>
  </si>
  <si>
    <t>Bloque ERNC 2</t>
  </si>
  <si>
    <t>Bloque CCGN Etapa 1</t>
  </si>
  <si>
    <t>Termoeléctrico</t>
  </si>
  <si>
    <t>Bloque ERNC 3</t>
  </si>
  <si>
    <t>Bloque ERNC 4</t>
  </si>
  <si>
    <t>Chachimbiro</t>
  </si>
  <si>
    <t>Chontal</t>
  </si>
  <si>
    <t>Hidroeléctrico de pasada**</t>
  </si>
  <si>
    <t>Paute-Cardenillo</t>
  </si>
  <si>
    <t>Grande</t>
  </si>
  <si>
    <t>Santiago Etapa 1</t>
  </si>
  <si>
    <t>Santiago Etapa 2</t>
  </si>
  <si>
    <t>Suposiciones:</t>
  </si>
  <si>
    <t>* Se consideró que todos los proyectos hidroeléctricos que tienen un tamaño "pequeña" y que no se encontró una fuente bibliográfica para verificar si son de pasada o de embalse, serán de pasada</t>
  </si>
  <si>
    <t>** No se encontró información de esta hidroeléctrica, se consideró que por ser de "mediana" capacidad será de pasada</t>
  </si>
  <si>
    <t>Criterio utilizado en Elena para clasificación de hidroeléctricas:</t>
  </si>
  <si>
    <t>&lt;50 Pequeñas</t>
  </si>
  <si>
    <t>50-450 Medianas</t>
  </si>
  <si>
    <t>&gt;450 Grandes</t>
  </si>
  <si>
    <t>ERNC-Bloque 1</t>
  </si>
  <si>
    <t>Sub-bloque 1 (Hidroeléctricas de pasada*)</t>
  </si>
  <si>
    <t>150 MW</t>
  </si>
  <si>
    <t>Sub-bloque 2 (Eólicos)</t>
  </si>
  <si>
    <t>200 MW</t>
  </si>
  <si>
    <t>Sub-bloque 3 (Solares Fotovoltaicas)</t>
  </si>
  <si>
    <t>120 MW</t>
  </si>
  <si>
    <t>Sub-bloque 4 (Biomasa, biogás, y biogás de residuos urbanos)</t>
  </si>
  <si>
    <t>30 MW</t>
  </si>
  <si>
    <t>Demanda residencial [kBEP]</t>
  </si>
  <si>
    <t>Demanda comercial y servicios públicos [kBEP]</t>
  </si>
  <si>
    <t>Demanda Industrial [kBEP]</t>
  </si>
  <si>
    <t>Demanda construcción y otros [kBEP]</t>
  </si>
  <si>
    <t>Demanda Agro, pesca y minería [kBEP]</t>
  </si>
  <si>
    <t>Demanda transporte [kBEP]</t>
  </si>
  <si>
    <t>Demanda industrial [kBEP]</t>
  </si>
  <si>
    <t>INCLUIR PARA TODOS LOS COMBUSTIBLES</t>
  </si>
  <si>
    <t>Petróleo  [Gg contaminante/10^3 m^3]</t>
  </si>
  <si>
    <t>Gas Natural  [Gg contaminante/Mm^3]</t>
  </si>
  <si>
    <t>Carbón  [Gg CO2/10^3 m^3]</t>
  </si>
  <si>
    <t>Factores de emisión [kgCO2/TJ]</t>
  </si>
  <si>
    <t>Petróleo [kton CO2 eq]</t>
  </si>
  <si>
    <t>Líquidos de gas natural [kton CO2 eq]</t>
  </si>
  <si>
    <t>Gas natural [kton CO2 eq]</t>
  </si>
  <si>
    <t>Total [kton CO2 eq]</t>
  </si>
  <si>
    <t>Productos de caña [kton CO2 eq]</t>
  </si>
  <si>
    <t>Diesel oil [kton CO2 eq]</t>
  </si>
  <si>
    <t>Fuel oil [kton CO2 eq]</t>
  </si>
  <si>
    <t>Otros productos de petróleo y gas [kton CO2 eq]</t>
  </si>
  <si>
    <t>GLP [kton CO2 eq]</t>
  </si>
  <si>
    <t>Leña [kton CO2 eq]</t>
  </si>
  <si>
    <t>Gasolina [kton CO2 eq]</t>
  </si>
  <si>
    <t>Kerosene/Jet Fuel [kton CO2 eq]</t>
  </si>
  <si>
    <t>Coque [kton CO2 eq]</t>
  </si>
  <si>
    <t>No energéticos [kton CO2 eq]</t>
  </si>
  <si>
    <t>Gas de refinería [kton CO2 eq]</t>
  </si>
  <si>
    <t>Petróleo quemado en autoproductoras eléctricas [kBEP]</t>
  </si>
  <si>
    <t>Factor de emisión de Refinerías por quema de petróleo [kgCO2eq/TJ]</t>
  </si>
  <si>
    <t>Petróleo utilizado para consumo en sistema de bombeo de oleoductos SOTE y OCP [kBBL]</t>
  </si>
  <si>
    <t>Petróleo utilizado para consumo en sistema de bombeo de oleoductos SOTE y OCP [TJ]</t>
  </si>
  <si>
    <t>Factor de emisión por transporte a través de tuberías de petróleo [kgCO2eq/TJ]</t>
  </si>
  <si>
    <t>Emisiones totales [kgCO2eq]</t>
  </si>
  <si>
    <t>Emisiones totales [ktonCO2eq]</t>
  </si>
  <si>
    <t xml:space="preserve">	Incluir otros factores de emisiones incluidos en el modelo</t>
  </si>
  <si>
    <r>
      <rPr>
        <b/>
        <sz val="11"/>
        <color theme="1"/>
        <rFont val="Calibri"/>
        <family val="2"/>
      </rPr>
      <t xml:space="preserve">Nota 1: </t>
    </r>
    <r>
      <rPr>
        <sz val="11"/>
        <color theme="1"/>
        <rFont val="Calibri"/>
        <family val="2"/>
      </rPr>
      <t>En datos faltantes, el factor de transformación utilizado entre kBBL de petróleo y TJ, fue de 5.82 ya que esté valor se dió en el "ingei_multianual_2018" en la hoja "unidades"</t>
    </r>
  </si>
  <si>
    <t>Hoja "1B" del documento compartido "ingei_multianual_2018"</t>
  </si>
  <si>
    <t>Hoja "1A1a" del documento compartido "ingei_multianual_2018"</t>
  </si>
  <si>
    <t>Hoja "1A1b" del documento compartido "ingei_multianual_2018"</t>
  </si>
  <si>
    <t>Hoja "1A4a" del documento compartido "ingei_multianual_2018"</t>
  </si>
  <si>
    <t>Hoja "base_resumen" del documento compartido "ingei_multianual_2018"</t>
  </si>
  <si>
    <t>Hoja "1A3ei" del documento compartido "ingei_multianual_2018"</t>
  </si>
  <si>
    <t>Despues de 2021 los valors que se expresan para las termicas son factores de capacidad máximos de la tecnología. Al usar estos valores se previene al modelo de sobreestimar la capacidad térmica requerida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</si>
</sst>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0"/>
    <numFmt numFmtId="165" formatCode="0.000"/>
    <numFmt numFmtId="166" formatCode="0.0"/>
    <numFmt numFmtId="167" formatCode="0.000000"/>
    <numFmt numFmtId="168" formatCode="#,##0.00000"/>
    <numFmt numFmtId="169" formatCode="#,##0.000"/>
    <numFmt numFmtId="170" formatCode="0.00000"/>
    <numFmt numFmtId="171" formatCode="#,##0.0000"/>
    <numFmt numFmtId="172" formatCode="#,##0.000000"/>
    <numFmt numFmtId="173" formatCode="&quot;$&quot;#,##0.00"/>
    <numFmt numFmtId="174" formatCode="0.0000000000"/>
    <numFmt numFmtId="175" formatCode="0.0E+00"/>
    <numFmt numFmtId="176" formatCode="0.0000000"/>
  </numFmts>
  <fonts count="33" x14ac:knownFonts="1">
    <font>
      <sz val="11"/>
      <color theme="1"/>
      <name val="Open Sans"/>
      <scheme val="minor"/>
    </font>
    <font>
      <sz val="11"/>
      <color theme="1"/>
      <name val="Open Sans"/>
      <family val="2"/>
      <scheme val="minor"/>
    </font>
    <font>
      <sz val="11"/>
      <color theme="1"/>
      <name val="Calibri"/>
      <family val="2"/>
    </font>
    <font>
      <sz val="11"/>
      <name val="Open Sans"/>
      <family val="2"/>
    </font>
    <font>
      <sz val="11"/>
      <color theme="1"/>
      <name val="Open Sans"/>
      <family val="2"/>
    </font>
    <font>
      <b/>
      <sz val="13"/>
      <color theme="1"/>
      <name val="Calibri"/>
      <family val="2"/>
    </font>
    <font>
      <b/>
      <sz val="11"/>
      <color theme="1"/>
      <name val="Calibri"/>
      <family val="2"/>
    </font>
    <font>
      <b/>
      <sz val="14"/>
      <color rgb="FF000000"/>
      <name val="Calibri"/>
      <family val="2"/>
    </font>
    <font>
      <b/>
      <sz val="11"/>
      <color rgb="FF385623"/>
      <name val="Calibri"/>
      <family val="2"/>
    </font>
    <font>
      <b/>
      <u/>
      <sz val="11"/>
      <color theme="1"/>
      <name val="Calibri"/>
      <family val="2"/>
    </font>
    <font>
      <sz val="11"/>
      <color rgb="FFFF0000"/>
      <name val="Calibri"/>
      <family val="2"/>
    </font>
    <font>
      <b/>
      <u/>
      <sz val="11"/>
      <color rgb="FF0000FF"/>
      <name val="Calibri"/>
      <family val="2"/>
    </font>
    <font>
      <sz val="11"/>
      <color rgb="FF000000"/>
      <name val="Calibri"/>
      <family val="2"/>
    </font>
    <font>
      <b/>
      <sz val="14"/>
      <color theme="1"/>
      <name val="Calibri"/>
      <family val="2"/>
    </font>
    <font>
      <u/>
      <sz val="11"/>
      <color rgb="FF0000FF"/>
      <name val="Calibri"/>
      <family val="2"/>
    </font>
    <font>
      <b/>
      <sz val="11"/>
      <color theme="1"/>
      <name val="Open Sans"/>
      <family val="2"/>
    </font>
    <font>
      <b/>
      <sz val="11"/>
      <color rgb="FF000000"/>
      <name val="Calibri"/>
      <family val="2"/>
    </font>
    <font>
      <b/>
      <sz val="11"/>
      <color rgb="FFFFFFFF"/>
      <name val="Calibri"/>
      <family val="2"/>
    </font>
    <font>
      <b/>
      <sz val="11"/>
      <color rgb="FFFF0000"/>
      <name val="Calibri"/>
      <family val="2"/>
    </font>
    <font>
      <b/>
      <sz val="12"/>
      <color theme="1"/>
      <name val="Calibri"/>
      <family val="2"/>
    </font>
    <font>
      <u/>
      <sz val="11"/>
      <color theme="1"/>
      <name val="Calibri"/>
      <family val="2"/>
    </font>
    <font>
      <sz val="11"/>
      <color rgb="FF000000"/>
      <name val="Open Sans"/>
      <family val="2"/>
    </font>
    <font>
      <u/>
      <sz val="11"/>
      <color rgb="FF0563C1"/>
      <name val="Calibri"/>
      <family val="2"/>
    </font>
    <font>
      <b/>
      <sz val="16"/>
      <color theme="1"/>
      <name val="Calibri"/>
      <family val="2"/>
    </font>
    <font>
      <u/>
      <sz val="11"/>
      <color rgb="FF1155CC"/>
      <name val="Calibri"/>
      <family val="2"/>
    </font>
    <font>
      <u/>
      <sz val="11"/>
      <color theme="10"/>
      <name val="Open Sans"/>
      <scheme val="minor"/>
    </font>
    <font>
      <sz val="11"/>
      <color theme="1"/>
      <name val="Arial"/>
    </font>
    <font>
      <b/>
      <sz val="11"/>
      <color theme="1"/>
      <name val="Arial"/>
    </font>
    <font>
      <b/>
      <sz val="11"/>
      <color rgb="FF000000"/>
      <name val="Arial"/>
    </font>
    <font>
      <sz val="11"/>
      <color rgb="FF000000"/>
      <name val="Arial"/>
      <family val="2"/>
    </font>
    <font>
      <sz val="11"/>
      <name val="Arial"/>
      <family val="2"/>
    </font>
    <font>
      <b/>
      <sz val="12"/>
      <name val="Arial"/>
      <family val="2"/>
    </font>
    <font>
      <u/>
      <sz val="11"/>
      <color theme="10"/>
      <name val="Open Sans"/>
      <family val="2"/>
      <scheme val="minor"/>
    </font>
  </fonts>
  <fills count="59">
    <fill>
      <patternFill patternType="none"/>
    </fill>
    <fill>
      <patternFill patternType="gray125"/>
    </fill>
    <fill>
      <patternFill patternType="solid">
        <fgColor rgb="FFDEEAF6"/>
        <bgColor rgb="FFDEEAF6"/>
      </patternFill>
    </fill>
    <fill>
      <patternFill patternType="solid">
        <fgColor rgb="FFD8D8D8"/>
        <bgColor rgb="FFD8D8D8"/>
      </patternFill>
    </fill>
    <fill>
      <patternFill patternType="solid">
        <fgColor rgb="FFC5E0B3"/>
        <bgColor rgb="FFC5E0B3"/>
      </patternFill>
    </fill>
    <fill>
      <patternFill patternType="solid">
        <fgColor rgb="FFFF0000"/>
        <bgColor rgb="FFFF0000"/>
      </patternFill>
    </fill>
    <fill>
      <patternFill patternType="solid">
        <fgColor rgb="FFE2EFD9"/>
        <bgColor rgb="FFE2EFD9"/>
      </patternFill>
    </fill>
    <fill>
      <patternFill patternType="solid">
        <fgColor theme="9"/>
        <bgColor theme="9"/>
      </patternFill>
    </fill>
    <fill>
      <patternFill patternType="solid">
        <fgColor theme="7"/>
        <bgColor theme="7"/>
      </patternFill>
    </fill>
    <fill>
      <patternFill patternType="solid">
        <fgColor theme="6"/>
        <bgColor theme="6"/>
      </patternFill>
    </fill>
    <fill>
      <patternFill patternType="solid">
        <fgColor rgb="FF8EA9DB"/>
        <bgColor rgb="FF8EA9DB"/>
      </patternFill>
    </fill>
    <fill>
      <patternFill patternType="solid">
        <fgColor rgb="FFD5AFE3"/>
        <bgColor rgb="FFD5AFE3"/>
      </patternFill>
    </fill>
    <fill>
      <patternFill patternType="solid">
        <fgColor rgb="FFFFFF00"/>
        <bgColor rgb="FFFFFF00"/>
      </patternFill>
    </fill>
    <fill>
      <patternFill patternType="solid">
        <fgColor rgb="FFECECEC"/>
        <bgColor rgb="FFECECEC"/>
      </patternFill>
    </fill>
    <fill>
      <patternFill patternType="solid">
        <fgColor theme="0"/>
        <bgColor theme="0"/>
      </patternFill>
    </fill>
    <fill>
      <patternFill patternType="solid">
        <fgColor rgb="FFD9EAD3"/>
        <bgColor rgb="FFD9EAD3"/>
      </patternFill>
    </fill>
    <fill>
      <patternFill patternType="solid">
        <fgColor rgb="FFFFF2CC"/>
        <bgColor rgb="FFFFF2CC"/>
      </patternFill>
    </fill>
    <fill>
      <patternFill patternType="solid">
        <fgColor theme="4"/>
        <bgColor theme="4"/>
      </patternFill>
    </fill>
    <fill>
      <patternFill patternType="solid">
        <fgColor rgb="FFFFE598"/>
        <bgColor rgb="FFFFE598"/>
      </patternFill>
    </fill>
    <fill>
      <patternFill patternType="solid">
        <fgColor rgb="FFFEF2CB"/>
        <bgColor rgb="FFFEF2CB"/>
      </patternFill>
    </fill>
    <fill>
      <patternFill patternType="solid">
        <fgColor rgb="FFF1C232"/>
        <bgColor rgb="FFF1C232"/>
      </patternFill>
    </fill>
    <fill>
      <patternFill patternType="solid">
        <fgColor rgb="FFFFD966"/>
        <bgColor rgb="FFFFD966"/>
      </patternFill>
    </fill>
    <fill>
      <patternFill patternType="solid">
        <fgColor rgb="FFFFD965"/>
        <bgColor rgb="FFFFD965"/>
      </patternFill>
    </fill>
    <fill>
      <patternFill patternType="solid">
        <fgColor rgb="FFFFE599"/>
        <bgColor rgb="FFFFE599"/>
      </patternFill>
    </fill>
    <fill>
      <patternFill patternType="solid">
        <fgColor rgb="FF92D050"/>
        <bgColor rgb="FF92D050"/>
      </patternFill>
    </fill>
    <fill>
      <patternFill patternType="solid">
        <fgColor rgb="FFD9D2E9"/>
        <bgColor rgb="FFD9D2E9"/>
      </patternFill>
    </fill>
    <fill>
      <patternFill patternType="solid">
        <fgColor theme="5"/>
        <bgColor theme="5"/>
      </patternFill>
    </fill>
    <fill>
      <patternFill patternType="solid">
        <fgColor rgb="FFD5A6BD"/>
        <bgColor rgb="FFD5A6BD"/>
      </patternFill>
    </fill>
    <fill>
      <patternFill patternType="solid">
        <fgColor rgb="FFBF9000"/>
        <bgColor rgb="FFBF9000"/>
      </patternFill>
    </fill>
    <fill>
      <patternFill patternType="solid">
        <fgColor theme="8"/>
        <bgColor theme="8"/>
      </patternFill>
    </fill>
    <fill>
      <patternFill patternType="solid">
        <fgColor rgb="FFFFFFFF"/>
        <bgColor rgb="FFFFFFFF"/>
      </patternFill>
    </fill>
    <fill>
      <patternFill patternType="solid">
        <fgColor rgb="FFBDD6EE"/>
        <bgColor rgb="FFBDD6EE"/>
      </patternFill>
    </fill>
    <fill>
      <patternFill patternType="solid">
        <fgColor rgb="FFDDEBF7"/>
        <bgColor rgb="FFDDEBF7"/>
      </patternFill>
    </fill>
    <fill>
      <patternFill patternType="solid">
        <fgColor rgb="FFD3CBFD"/>
        <bgColor rgb="FFD3CBFD"/>
      </patternFill>
    </fill>
    <fill>
      <patternFill patternType="solid">
        <fgColor rgb="FFFFE699"/>
        <bgColor rgb="FFFFE699"/>
      </patternFill>
    </fill>
    <fill>
      <patternFill patternType="solid">
        <fgColor rgb="FFB6D7A8"/>
        <bgColor rgb="FFB6D7A8"/>
      </patternFill>
    </fill>
    <fill>
      <patternFill patternType="solid">
        <fgColor rgb="FFF4CCCC"/>
        <bgColor rgb="FFF4CCCC"/>
      </patternFill>
    </fill>
    <fill>
      <patternFill patternType="solid">
        <fgColor rgb="FF4472C4"/>
        <bgColor rgb="FF4472C4"/>
      </patternFill>
    </fill>
    <fill>
      <patternFill patternType="solid">
        <fgColor rgb="FFD9E2F3"/>
        <bgColor rgb="FFD9E2F3"/>
      </patternFill>
    </fill>
    <fill>
      <patternFill patternType="solid">
        <fgColor rgb="FFFFC000"/>
        <bgColor rgb="FFFFC000"/>
      </patternFill>
    </fill>
    <fill>
      <patternFill patternType="solid">
        <fgColor rgb="FF4472C4"/>
        <bgColor indexed="64"/>
      </patternFill>
    </fill>
    <fill>
      <patternFill patternType="solid">
        <fgColor rgb="FFFFFF00"/>
        <bgColor rgb="FFFEF2CB"/>
      </patternFill>
    </fill>
    <fill>
      <patternFill patternType="solid">
        <fgColor rgb="FFFFFF00"/>
        <bgColor rgb="FFE2EFD9"/>
      </patternFill>
    </fill>
    <fill>
      <patternFill patternType="solid">
        <fgColor theme="5"/>
        <bgColor rgb="FFE2EFD9"/>
      </patternFill>
    </fill>
    <fill>
      <patternFill patternType="solid">
        <fgColor theme="5"/>
        <bgColor rgb="FFFF0000"/>
      </patternFill>
    </fill>
    <fill>
      <patternFill patternType="solid">
        <fgColor theme="5"/>
        <bgColor rgb="FFFEF2CB"/>
      </patternFill>
    </fill>
    <fill>
      <patternFill patternType="solid">
        <fgColor theme="9"/>
        <bgColor rgb="FFFEF2CB"/>
      </patternFill>
    </fill>
    <fill>
      <patternFill patternType="solid">
        <fgColor rgb="FFFFFF00"/>
        <bgColor indexed="64"/>
      </patternFill>
    </fill>
    <fill>
      <patternFill patternType="solid">
        <fgColor rgb="FF70AD47"/>
        <bgColor rgb="FF70AD47"/>
      </patternFill>
    </fill>
    <fill>
      <patternFill patternType="solid">
        <fgColor theme="7" tint="0.79998168889431442"/>
        <bgColor theme="7"/>
      </patternFill>
    </fill>
    <fill>
      <patternFill patternType="solid">
        <fgColor theme="5" tint="0.79998168889431442"/>
        <bgColor rgb="FFFEF2CB"/>
      </patternFill>
    </fill>
    <fill>
      <patternFill patternType="solid">
        <fgColor rgb="FFDDEBF7"/>
        <bgColor indexed="64"/>
      </patternFill>
    </fill>
    <fill>
      <patternFill patternType="solid">
        <fgColor rgb="FFE2EFDA"/>
        <bgColor indexed="64"/>
      </patternFill>
    </fill>
    <fill>
      <patternFill patternType="solid">
        <fgColor rgb="FFA9D08E"/>
        <bgColor indexed="64"/>
      </patternFill>
    </fill>
    <fill>
      <patternFill patternType="solid">
        <fgColor rgb="FFBDD7EE"/>
        <bgColor indexed="64"/>
      </patternFill>
    </fill>
    <fill>
      <patternFill patternType="solid">
        <fgColor rgb="FFF8CBAD"/>
        <bgColor rgb="FF000000"/>
      </patternFill>
    </fill>
    <fill>
      <patternFill patternType="solid">
        <fgColor theme="7" tint="0.59999389629810485"/>
        <bgColor rgb="FFFEF2CB"/>
      </patternFill>
    </fill>
    <fill>
      <patternFill patternType="solid">
        <fgColor theme="7" tint="0.59999389629810485"/>
        <bgColor rgb="FFD5AFE3"/>
      </patternFill>
    </fill>
    <fill>
      <patternFill patternType="solid">
        <fgColor theme="7" tint="0.59999389629810485"/>
        <bgColor rgb="FFDEEAF6"/>
      </patternFill>
    </fill>
  </fills>
  <borders count="39">
    <border>
      <left/>
      <right/>
      <top/>
      <bottom/>
      <diagonal/>
    </border>
    <border>
      <left style="medium">
        <color rgb="FF000000"/>
      </left>
      <right/>
      <top style="medium">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style="thin">
        <color rgb="FFFEF2CB"/>
      </left>
      <right style="thin">
        <color rgb="FFFEF2CB"/>
      </right>
      <top style="thin">
        <color rgb="FFFEF2CB"/>
      </top>
      <bottom style="thin">
        <color rgb="FFFEF2CB"/>
      </bottom>
      <diagonal/>
    </border>
    <border>
      <left style="thin">
        <color rgb="FFFEF2CB"/>
      </left>
      <right style="medium">
        <color rgb="FF000000"/>
      </right>
      <top style="thin">
        <color rgb="FFFEF2CB"/>
      </top>
      <bottom style="thin">
        <color rgb="FFFEF2CB"/>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style="thin">
        <color rgb="FFFEF2CB"/>
      </left>
      <right/>
      <top style="thin">
        <color rgb="FFFEF2CB"/>
      </top>
      <bottom style="thin">
        <color rgb="FFFEF2CB"/>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style="thin">
        <color rgb="FFDEEAF6"/>
      </left>
      <right style="thin">
        <color rgb="FFDEEAF6"/>
      </right>
      <top style="thin">
        <color rgb="FFDEEAF6"/>
      </top>
      <bottom style="thin">
        <color rgb="FFDEEAF6"/>
      </bottom>
      <diagonal/>
    </border>
    <border>
      <left/>
      <right/>
      <top style="medium">
        <color rgb="FF000000"/>
      </top>
      <bottom style="medium">
        <color rgb="FF000000"/>
      </bottom>
      <diagonal/>
    </border>
    <border>
      <left style="medium">
        <color rgb="FF000000"/>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thin">
        <color indexed="64"/>
      </bottom>
      <diagonal/>
    </border>
  </borders>
  <cellStyleXfs count="5">
    <xf numFmtId="0" fontId="0" fillId="0" borderId="0"/>
    <xf numFmtId="0" fontId="25" fillId="0" borderId="0" applyNumberFormat="0" applyFill="0" applyBorder="0" applyAlignment="0" applyProtection="0"/>
    <xf numFmtId="0" fontId="1" fillId="0" borderId="23"/>
    <xf numFmtId="9" fontId="1" fillId="0" borderId="23" applyFont="0" applyFill="0" applyBorder="0" applyAlignment="0" applyProtection="0"/>
    <xf numFmtId="0" fontId="32" fillId="0" borderId="23" applyNumberFormat="0" applyFill="0" applyBorder="0" applyAlignment="0" applyProtection="0"/>
  </cellStyleXfs>
  <cellXfs count="652">
    <xf numFmtId="0" fontId="0" fillId="0" borderId="0" xfId="0"/>
    <xf numFmtId="0" fontId="2" fillId="0" borderId="0" xfId="0" applyFont="1"/>
    <xf numFmtId="0" fontId="2" fillId="0" borderId="0" xfId="0" applyFont="1" applyAlignment="1">
      <alignment vertical="center" wrapText="1"/>
    </xf>
    <xf numFmtId="0" fontId="4" fillId="0" borderId="0" xfId="0" applyFont="1"/>
    <xf numFmtId="0" fontId="6" fillId="0" borderId="0" xfId="0" applyFont="1" applyAlignment="1">
      <alignment horizontal="center" vertical="center"/>
    </xf>
    <xf numFmtId="0" fontId="2" fillId="0" borderId="0" xfId="0" applyFont="1" applyAlignment="1">
      <alignment horizontal="left" vertical="center"/>
    </xf>
    <xf numFmtId="164" fontId="2" fillId="0" borderId="0" xfId="0" applyNumberFormat="1" applyFont="1" applyAlignment="1">
      <alignment horizontal="center" vertical="center"/>
    </xf>
    <xf numFmtId="0" fontId="2"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6" borderId="1" xfId="0" applyFont="1" applyFill="1" applyBorder="1" applyAlignment="1">
      <alignment vertical="center"/>
    </xf>
    <xf numFmtId="0" fontId="4" fillId="13" borderId="2" xfId="0" applyFont="1" applyFill="1" applyBorder="1" applyAlignment="1">
      <alignment horizontal="left"/>
    </xf>
    <xf numFmtId="0" fontId="4" fillId="14" borderId="2" xfId="0" applyFont="1" applyFill="1" applyBorder="1" applyAlignment="1">
      <alignment horizontal="left"/>
    </xf>
    <xf numFmtId="0" fontId="6" fillId="0" borderId="0" xfId="0" applyFont="1" applyAlignment="1">
      <alignment vertical="center"/>
    </xf>
    <xf numFmtId="0" fontId="12" fillId="0" borderId="0" xfId="0" applyFont="1" applyAlignment="1">
      <alignment horizontal="center" vertical="center"/>
    </xf>
    <xf numFmtId="0" fontId="6" fillId="0" borderId="0" xfId="0" applyFont="1" applyAlignment="1">
      <alignment horizontal="left" vertical="center"/>
    </xf>
    <xf numFmtId="2" fontId="2" fillId="0" borderId="0" xfId="0" applyNumberFormat="1" applyFont="1" applyAlignment="1">
      <alignment horizontal="center" vertical="center"/>
    </xf>
    <xf numFmtId="1" fontId="2" fillId="0" borderId="0" xfId="0" applyNumberFormat="1" applyFont="1" applyAlignment="1">
      <alignment horizontal="center" vertical="center"/>
    </xf>
    <xf numFmtId="0" fontId="14" fillId="0" borderId="0" xfId="0" applyFont="1" applyAlignment="1">
      <alignment horizontal="center" vertical="center"/>
    </xf>
    <xf numFmtId="0" fontId="6" fillId="0" borderId="0" xfId="0" applyFont="1"/>
    <xf numFmtId="0" fontId="15" fillId="0" borderId="0" xfId="0" applyFont="1"/>
    <xf numFmtId="0" fontId="12" fillId="0" borderId="0" xfId="0" applyFont="1" applyAlignment="1">
      <alignment horizontal="center"/>
    </xf>
    <xf numFmtId="164" fontId="12" fillId="4" borderId="3" xfId="0" applyNumberFormat="1" applyFont="1" applyFill="1" applyBorder="1" applyAlignment="1">
      <alignment horizontal="center"/>
    </xf>
    <xf numFmtId="164" fontId="12" fillId="4" borderId="4" xfId="0" applyNumberFormat="1" applyFont="1" applyFill="1" applyBorder="1" applyAlignment="1">
      <alignment horizontal="center"/>
    </xf>
    <xf numFmtId="164" fontId="2" fillId="0" borderId="0" xfId="0" applyNumberFormat="1" applyFont="1"/>
    <xf numFmtId="168" fontId="2" fillId="0" borderId="0" xfId="0" applyNumberFormat="1" applyFont="1" applyAlignment="1">
      <alignment horizontal="center" vertical="center"/>
    </xf>
    <xf numFmtId="0" fontId="10" fillId="0" borderId="0" xfId="0" applyFont="1" applyAlignment="1">
      <alignment horizontal="center" vertical="center"/>
    </xf>
    <xf numFmtId="0" fontId="2" fillId="18" borderId="1" xfId="0" applyFont="1" applyFill="1" applyBorder="1" applyAlignment="1">
      <alignment horizontal="center" vertical="center"/>
    </xf>
    <xf numFmtId="0" fontId="16" fillId="0" borderId="0" xfId="0" applyFont="1" applyAlignment="1">
      <alignment horizontal="center" vertical="center"/>
    </xf>
    <xf numFmtId="4" fontId="2" fillId="19" borderId="5" xfId="0" applyNumberFormat="1" applyFont="1" applyFill="1" applyBorder="1" applyAlignment="1">
      <alignment horizontal="center" vertical="center"/>
    </xf>
    <xf numFmtId="168" fontId="2" fillId="19" borderId="5" xfId="0" applyNumberFormat="1" applyFont="1" applyFill="1" applyBorder="1" applyAlignment="1">
      <alignment horizontal="center" vertical="center"/>
    </xf>
    <xf numFmtId="168" fontId="2" fillId="19" borderId="6" xfId="0" applyNumberFormat="1" applyFont="1" applyFill="1" applyBorder="1" applyAlignment="1">
      <alignment horizontal="center" vertical="center"/>
    </xf>
    <xf numFmtId="4" fontId="2" fillId="22" borderId="5" xfId="0" applyNumberFormat="1" applyFont="1" applyFill="1" applyBorder="1" applyAlignment="1">
      <alignment horizontal="center" vertical="center"/>
    </xf>
    <xf numFmtId="4" fontId="10" fillId="22" borderId="6" xfId="0" applyNumberFormat="1" applyFont="1" applyFill="1" applyBorder="1" applyAlignment="1">
      <alignment horizontal="center" vertical="center"/>
    </xf>
    <xf numFmtId="4" fontId="2" fillId="0" borderId="0" xfId="0" applyNumberFormat="1" applyFont="1" applyAlignment="1">
      <alignment horizontal="center" vertical="center"/>
    </xf>
    <xf numFmtId="0" fontId="4" fillId="0" borderId="7" xfId="0" applyFont="1" applyBorder="1"/>
    <xf numFmtId="0" fontId="2" fillId="0" borderId="7" xfId="0" applyFont="1" applyBorder="1" applyAlignment="1">
      <alignment horizontal="center" vertical="center"/>
    </xf>
    <xf numFmtId="0" fontId="2" fillId="0" borderId="8" xfId="0" applyFont="1" applyBorder="1" applyAlignment="1">
      <alignment horizontal="center" vertical="center"/>
    </xf>
    <xf numFmtId="168" fontId="2" fillId="12" borderId="5" xfId="0" applyNumberFormat="1" applyFont="1" applyFill="1" applyBorder="1" applyAlignment="1">
      <alignment horizontal="center" vertical="center"/>
    </xf>
    <xf numFmtId="0" fontId="4" fillId="0" borderId="2" xfId="0" applyFont="1" applyBorder="1"/>
    <xf numFmtId="0" fontId="4" fillId="6" borderId="2" xfId="0" applyFont="1" applyFill="1" applyBorder="1"/>
    <xf numFmtId="0" fontId="4" fillId="0" borderId="2" xfId="0" applyFont="1" applyBorder="1" applyAlignment="1">
      <alignment vertical="center"/>
    </xf>
    <xf numFmtId="4" fontId="2" fillId="27" borderId="5" xfId="0" applyNumberFormat="1" applyFont="1" applyFill="1" applyBorder="1" applyAlignment="1">
      <alignment horizontal="center" vertical="center"/>
    </xf>
    <xf numFmtId="4" fontId="2" fillId="19" borderId="6" xfId="0" applyNumberFormat="1" applyFont="1" applyFill="1" applyBorder="1" applyAlignment="1">
      <alignment horizontal="center" vertical="center"/>
    </xf>
    <xf numFmtId="171" fontId="2" fillId="19" borderId="5" xfId="0" applyNumberFormat="1" applyFont="1" applyFill="1" applyBorder="1" applyAlignment="1">
      <alignment horizontal="center" vertical="center"/>
    </xf>
    <xf numFmtId="171" fontId="2" fillId="27" borderId="5" xfId="0" applyNumberFormat="1" applyFont="1" applyFill="1" applyBorder="1" applyAlignment="1">
      <alignment horizontal="center" vertical="center"/>
    </xf>
    <xf numFmtId="171" fontId="2" fillId="19" borderId="10" xfId="0" applyNumberFormat="1" applyFont="1" applyFill="1" applyBorder="1" applyAlignment="1">
      <alignment horizontal="center" vertical="center"/>
    </xf>
    <xf numFmtId="171" fontId="2" fillId="27" borderId="10" xfId="0" applyNumberFormat="1" applyFont="1" applyFill="1" applyBorder="1" applyAlignment="1">
      <alignment horizontal="center" vertical="center"/>
    </xf>
    <xf numFmtId="172" fontId="2" fillId="19" borderId="5" xfId="0" applyNumberFormat="1" applyFont="1" applyFill="1" applyBorder="1" applyAlignment="1">
      <alignment horizontal="center" vertical="center"/>
    </xf>
    <xf numFmtId="172" fontId="2" fillId="19" borderId="10" xfId="0" applyNumberFormat="1" applyFont="1" applyFill="1" applyBorder="1" applyAlignment="1">
      <alignment horizontal="center" vertical="center"/>
    </xf>
    <xf numFmtId="0" fontId="2" fillId="19" borderId="1" xfId="0" applyFont="1" applyFill="1" applyBorder="1" applyAlignment="1">
      <alignment horizontal="center" vertical="center"/>
    </xf>
    <xf numFmtId="0" fontId="2" fillId="18" borderId="1" xfId="0" applyFont="1" applyFill="1" applyBorder="1"/>
    <xf numFmtId="4" fontId="2" fillId="19" borderId="10" xfId="0" applyNumberFormat="1" applyFont="1" applyFill="1" applyBorder="1" applyAlignment="1">
      <alignment horizontal="center" vertical="center"/>
    </xf>
    <xf numFmtId="168" fontId="2" fillId="0" borderId="0" xfId="0" applyNumberFormat="1" applyFont="1"/>
    <xf numFmtId="0" fontId="10" fillId="0" borderId="0" xfId="0" applyFont="1"/>
    <xf numFmtId="0" fontId="2" fillId="3" borderId="12" xfId="0" applyFont="1" applyFill="1" applyBorder="1" applyAlignment="1">
      <alignment horizontal="center" vertical="center"/>
    </xf>
    <xf numFmtId="0" fontId="2" fillId="0" borderId="0" xfId="0" applyFont="1" applyAlignment="1">
      <alignment horizontal="left"/>
    </xf>
    <xf numFmtId="4" fontId="2" fillId="18" borderId="5" xfId="0" applyNumberFormat="1" applyFont="1" applyFill="1" applyBorder="1" applyAlignment="1">
      <alignment horizontal="left" vertical="center"/>
    </xf>
    <xf numFmtId="0" fontId="2" fillId="19" borderId="5" xfId="0" applyFont="1" applyFill="1" applyBorder="1" applyAlignment="1">
      <alignment horizontal="center" vertical="center"/>
    </xf>
    <xf numFmtId="0" fontId="2" fillId="12" borderId="5" xfId="0" applyFont="1" applyFill="1" applyBorder="1" applyAlignment="1">
      <alignment horizontal="center" vertical="center"/>
    </xf>
    <xf numFmtId="168" fontId="2" fillId="0" borderId="0" xfId="0" applyNumberFormat="1" applyFont="1" applyAlignment="1">
      <alignment horizontal="left"/>
    </xf>
    <xf numFmtId="4" fontId="2" fillId="0" borderId="0" xfId="0" applyNumberFormat="1" applyFont="1" applyAlignment="1">
      <alignment horizontal="left"/>
    </xf>
    <xf numFmtId="0" fontId="2" fillId="0" borderId="0" xfId="0" applyFont="1" applyAlignment="1">
      <alignment horizontal="right"/>
    </xf>
    <xf numFmtId="172" fontId="2" fillId="0" borderId="0" xfId="0" applyNumberFormat="1" applyFont="1" applyAlignment="1">
      <alignment horizontal="left"/>
    </xf>
    <xf numFmtId="0" fontId="2" fillId="31" borderId="1" xfId="0" applyFont="1" applyFill="1" applyBorder="1" applyAlignment="1">
      <alignment horizontal="center" vertical="center"/>
    </xf>
    <xf numFmtId="0" fontId="4" fillId="0" borderId="2" xfId="0" applyFont="1" applyBorder="1" applyAlignment="1">
      <alignment horizontal="center"/>
    </xf>
    <xf numFmtId="1" fontId="20" fillId="0" borderId="0" xfId="0" applyNumberFormat="1" applyFont="1" applyAlignment="1">
      <alignment horizontal="center" vertical="center"/>
    </xf>
    <xf numFmtId="165" fontId="4" fillId="0" borderId="0" xfId="0" applyNumberFormat="1" applyFont="1"/>
    <xf numFmtId="0" fontId="12" fillId="0" borderId="0" xfId="0" applyFont="1"/>
    <xf numFmtId="11" fontId="12" fillId="0" borderId="0" xfId="0" applyNumberFormat="1" applyFont="1"/>
    <xf numFmtId="11" fontId="21" fillId="0" borderId="0" xfId="0" applyNumberFormat="1" applyFont="1"/>
    <xf numFmtId="0" fontId="21" fillId="0" borderId="0" xfId="0" applyFont="1"/>
    <xf numFmtId="0" fontId="2" fillId="3" borderId="13" xfId="0" applyFont="1" applyFill="1" applyBorder="1" applyAlignment="1">
      <alignment horizontal="center" vertical="center"/>
    </xf>
    <xf numFmtId="0" fontId="6" fillId="20" borderId="14" xfId="0" applyFont="1" applyFill="1" applyBorder="1" applyAlignment="1">
      <alignment horizontal="left" vertical="center"/>
    </xf>
    <xf numFmtId="0" fontId="6" fillId="20" borderId="3" xfId="0" applyFont="1" applyFill="1" applyBorder="1" applyAlignment="1">
      <alignment horizontal="left" vertical="center"/>
    </xf>
    <xf numFmtId="0" fontId="6" fillId="20" borderId="15" xfId="0" applyFont="1" applyFill="1" applyBorder="1" applyAlignment="1">
      <alignment horizontal="left" vertical="center"/>
    </xf>
    <xf numFmtId="0" fontId="6" fillId="21" borderId="16" xfId="0" applyFont="1" applyFill="1" applyBorder="1" applyAlignment="1">
      <alignment horizontal="left" vertical="center"/>
    </xf>
    <xf numFmtId="0" fontId="2" fillId="21" borderId="17" xfId="0" applyFont="1" applyFill="1" applyBorder="1" applyAlignment="1">
      <alignment horizontal="center" vertical="center"/>
    </xf>
    <xf numFmtId="0" fontId="2" fillId="19" borderId="16" xfId="0" applyFont="1" applyFill="1" applyBorder="1" applyAlignment="1">
      <alignment horizontal="left" vertical="center"/>
    </xf>
    <xf numFmtId="0" fontId="2" fillId="19" borderId="17" xfId="0" applyFont="1" applyFill="1" applyBorder="1" applyAlignment="1">
      <alignment horizontal="center" vertical="center"/>
    </xf>
    <xf numFmtId="0" fontId="2" fillId="34" borderId="16" xfId="0" applyFont="1" applyFill="1" applyBorder="1" applyAlignment="1">
      <alignment horizontal="left" vertical="center"/>
    </xf>
    <xf numFmtId="0" fontId="2" fillId="34" borderId="17" xfId="0" applyFont="1" applyFill="1" applyBorder="1" applyAlignment="1">
      <alignment horizontal="center" vertical="center"/>
    </xf>
    <xf numFmtId="0" fontId="6" fillId="20" borderId="16" xfId="0" applyFont="1" applyFill="1" applyBorder="1" applyAlignment="1">
      <alignment horizontal="left" vertical="center"/>
    </xf>
    <xf numFmtId="0" fontId="6" fillId="20" borderId="17" xfId="0" applyFont="1" applyFill="1" applyBorder="1" applyAlignment="1">
      <alignment horizontal="left" vertical="center"/>
    </xf>
    <xf numFmtId="0" fontId="2" fillId="25" borderId="16" xfId="0" applyFont="1" applyFill="1" applyBorder="1" applyAlignment="1">
      <alignment horizontal="left" vertical="center"/>
    </xf>
    <xf numFmtId="0" fontId="6" fillId="34" borderId="16" xfId="0" applyFont="1" applyFill="1" applyBorder="1" applyAlignment="1">
      <alignment horizontal="left" vertical="center"/>
    </xf>
    <xf numFmtId="0" fontId="2" fillId="16" borderId="16" xfId="0" applyFont="1" applyFill="1" applyBorder="1" applyAlignment="1">
      <alignment horizontal="left" vertical="center"/>
    </xf>
    <xf numFmtId="0" fontId="2" fillId="19" borderId="18" xfId="0" applyFont="1" applyFill="1" applyBorder="1" applyAlignment="1">
      <alignment horizontal="left" vertical="center"/>
    </xf>
    <xf numFmtId="0" fontId="2" fillId="19" borderId="19" xfId="0" applyFont="1" applyFill="1" applyBorder="1" applyAlignment="1">
      <alignment horizontal="center" vertical="center"/>
    </xf>
    <xf numFmtId="0" fontId="2" fillId="19" borderId="20" xfId="0" applyFont="1" applyFill="1" applyBorder="1" applyAlignment="1">
      <alignment horizontal="center" vertical="center"/>
    </xf>
    <xf numFmtId="0" fontId="2" fillId="20" borderId="17" xfId="0" applyFont="1" applyFill="1" applyBorder="1" applyAlignment="1">
      <alignment horizontal="center" vertical="center"/>
    </xf>
    <xf numFmtId="0" fontId="22" fillId="0" borderId="0" xfId="0" applyFont="1"/>
    <xf numFmtId="0" fontId="12" fillId="19" borderId="5" xfId="0" applyFont="1" applyFill="1" applyBorder="1" applyAlignment="1">
      <alignment horizontal="left"/>
    </xf>
    <xf numFmtId="0" fontId="12" fillId="2" borderId="24" xfId="0" applyFont="1" applyFill="1" applyBorder="1" applyAlignment="1">
      <alignment horizontal="left"/>
    </xf>
    <xf numFmtId="2" fontId="2" fillId="0" borderId="0" xfId="0" applyNumberFormat="1" applyFont="1"/>
    <xf numFmtId="167" fontId="2" fillId="0" borderId="0" xfId="0" applyNumberFormat="1" applyFont="1" applyAlignment="1">
      <alignment horizontal="center" vertical="center"/>
    </xf>
    <xf numFmtId="0" fontId="10" fillId="19" borderId="5" xfId="0" applyFont="1" applyFill="1" applyBorder="1" applyAlignment="1">
      <alignment horizontal="center" vertical="center"/>
    </xf>
    <xf numFmtId="0" fontId="2" fillId="0" borderId="21" xfId="0" applyFont="1" applyBorder="1"/>
    <xf numFmtId="0" fontId="4" fillId="0" borderId="0" xfId="0" applyFont="1" applyAlignment="1">
      <alignment wrapText="1"/>
    </xf>
    <xf numFmtId="165" fontId="2" fillId="0" borderId="0" xfId="0" applyNumberFormat="1" applyFont="1"/>
    <xf numFmtId="165" fontId="6" fillId="0" borderId="0" xfId="0" applyNumberFormat="1" applyFont="1"/>
    <xf numFmtId="0" fontId="2" fillId="0" borderId="0" xfId="0" applyFont="1" applyAlignment="1">
      <alignment horizontal="center"/>
    </xf>
    <xf numFmtId="4" fontId="2" fillId="12" borderId="5" xfId="0" applyNumberFormat="1" applyFont="1" applyFill="1" applyBorder="1" applyAlignment="1">
      <alignment horizontal="center" vertical="center"/>
    </xf>
    <xf numFmtId="168" fontId="2" fillId="40" borderId="5" xfId="0" applyNumberFormat="1" applyFont="1" applyFill="1" applyBorder="1" applyAlignment="1">
      <alignment horizontal="center" vertical="center"/>
    </xf>
    <xf numFmtId="0" fontId="6" fillId="4" borderId="7" xfId="0" applyFont="1" applyFill="1" applyBorder="1" applyAlignment="1">
      <alignment vertical="center"/>
    </xf>
    <xf numFmtId="164" fontId="2" fillId="4" borderId="7" xfId="0" applyNumberFormat="1" applyFont="1" applyFill="1" applyBorder="1" applyAlignment="1">
      <alignment horizontal="center" vertical="center"/>
    </xf>
    <xf numFmtId="164" fontId="2" fillId="4" borderId="8" xfId="0" applyNumberFormat="1" applyFont="1" applyFill="1" applyBorder="1" applyAlignment="1">
      <alignment horizontal="center" vertical="center"/>
    </xf>
    <xf numFmtId="0" fontId="2" fillId="4" borderId="26" xfId="0" applyFont="1" applyFill="1" applyBorder="1" applyAlignment="1">
      <alignment horizontal="center" vertical="center"/>
    </xf>
    <xf numFmtId="0" fontId="7" fillId="4" borderId="23" xfId="0" applyFont="1" applyFill="1" applyBorder="1" applyAlignment="1">
      <alignment vertical="center"/>
    </xf>
    <xf numFmtId="164" fontId="2" fillId="4" borderId="23" xfId="0" applyNumberFormat="1" applyFont="1" applyFill="1" applyBorder="1" applyAlignment="1">
      <alignment horizontal="center" vertical="center"/>
    </xf>
    <xf numFmtId="164" fontId="2" fillId="4" borderId="21" xfId="0" applyNumberFormat="1" applyFont="1" applyFill="1" applyBorder="1" applyAlignment="1">
      <alignment horizontal="center" vertical="center"/>
    </xf>
    <xf numFmtId="0" fontId="6" fillId="5" borderId="26" xfId="0" applyFont="1" applyFill="1" applyBorder="1" applyAlignment="1">
      <alignment horizontal="center" vertical="center"/>
    </xf>
    <xf numFmtId="0" fontId="6" fillId="6" borderId="23" xfId="0" applyFont="1" applyFill="1" applyBorder="1" applyAlignment="1">
      <alignment vertical="center"/>
    </xf>
    <xf numFmtId="0" fontId="8" fillId="7" borderId="23" xfId="0" applyFont="1" applyFill="1" applyBorder="1" applyAlignment="1">
      <alignment horizontal="center" vertical="center"/>
    </xf>
    <xf numFmtId="0" fontId="8" fillId="7" borderId="21" xfId="0" applyFont="1" applyFill="1" applyBorder="1" applyAlignment="1">
      <alignment horizontal="center" vertical="center"/>
    </xf>
    <xf numFmtId="0" fontId="2" fillId="5" borderId="26" xfId="0" applyFont="1" applyFill="1" applyBorder="1" applyAlignment="1">
      <alignment horizontal="center" vertical="center"/>
    </xf>
    <xf numFmtId="0" fontId="2" fillId="6" borderId="23" xfId="0" applyFont="1" applyFill="1" applyBorder="1" applyAlignment="1">
      <alignment vertical="center"/>
    </xf>
    <xf numFmtId="2" fontId="2" fillId="6" borderId="23" xfId="0" applyNumberFormat="1" applyFont="1" applyFill="1" applyBorder="1" applyAlignment="1">
      <alignment horizontal="center" vertical="center"/>
    </xf>
    <xf numFmtId="2" fontId="2" fillId="6" borderId="21" xfId="0" applyNumberFormat="1" applyFont="1" applyFill="1" applyBorder="1" applyAlignment="1">
      <alignment horizontal="center" vertical="center"/>
    </xf>
    <xf numFmtId="0" fontId="2" fillId="4" borderId="11" xfId="0" applyFont="1" applyFill="1" applyBorder="1" applyAlignment="1">
      <alignment horizontal="center" vertical="center"/>
    </xf>
    <xf numFmtId="0" fontId="2" fillId="6" borderId="9" xfId="0" applyFont="1" applyFill="1" applyBorder="1" applyAlignment="1">
      <alignment vertical="center"/>
    </xf>
    <xf numFmtId="2" fontId="2" fillId="6" borderId="9" xfId="0" applyNumberFormat="1" applyFont="1" applyFill="1" applyBorder="1" applyAlignment="1">
      <alignment horizontal="center" vertical="center"/>
    </xf>
    <xf numFmtId="2" fontId="2" fillId="6" borderId="22" xfId="0" applyNumberFormat="1" applyFont="1" applyFill="1" applyBorder="1" applyAlignment="1">
      <alignment horizontal="center" vertical="center"/>
    </xf>
    <xf numFmtId="0" fontId="6" fillId="6" borderId="7" xfId="0" applyFont="1" applyFill="1" applyBorder="1" applyAlignment="1">
      <alignment vertical="center"/>
    </xf>
    <xf numFmtId="0" fontId="8" fillId="7" borderId="7" xfId="0" applyFont="1" applyFill="1" applyBorder="1" applyAlignment="1">
      <alignment horizontal="center" vertical="center"/>
    </xf>
    <xf numFmtId="0" fontId="8" fillId="7" borderId="8" xfId="0" applyFont="1" applyFill="1" applyBorder="1" applyAlignment="1">
      <alignment horizontal="center" vertical="center"/>
    </xf>
    <xf numFmtId="0" fontId="2" fillId="5" borderId="11" xfId="0" applyFont="1" applyFill="1" applyBorder="1" applyAlignment="1">
      <alignment horizontal="center" vertical="center"/>
    </xf>
    <xf numFmtId="0" fontId="6" fillId="7" borderId="26" xfId="0" applyFont="1" applyFill="1" applyBorder="1" applyAlignment="1">
      <alignment horizontal="center" vertical="center"/>
    </xf>
    <xf numFmtId="164" fontId="2" fillId="6" borderId="9" xfId="0" applyNumberFormat="1" applyFont="1" applyFill="1" applyBorder="1" applyAlignment="1">
      <alignment horizontal="center" vertical="center"/>
    </xf>
    <xf numFmtId="164" fontId="2" fillId="6" borderId="22" xfId="0" applyNumberFormat="1" applyFont="1" applyFill="1" applyBorder="1" applyAlignment="1">
      <alignment horizontal="center" vertical="center"/>
    </xf>
    <xf numFmtId="0" fontId="9" fillId="6" borderId="7" xfId="0" applyFont="1" applyFill="1" applyBorder="1" applyAlignment="1">
      <alignment vertical="center"/>
    </xf>
    <xf numFmtId="0" fontId="2" fillId="7" borderId="26" xfId="0" applyFont="1" applyFill="1" applyBorder="1" applyAlignment="1">
      <alignment horizontal="center" vertical="center"/>
    </xf>
    <xf numFmtId="164" fontId="10" fillId="6" borderId="23" xfId="0" applyNumberFormat="1" applyFont="1" applyFill="1" applyBorder="1" applyAlignment="1">
      <alignment horizontal="center" vertical="center"/>
    </xf>
    <xf numFmtId="164" fontId="2" fillId="6" borderId="23" xfId="0" applyNumberFormat="1" applyFont="1" applyFill="1" applyBorder="1" applyAlignment="1">
      <alignment horizontal="center" vertical="center"/>
    </xf>
    <xf numFmtId="164" fontId="10" fillId="6" borderId="21" xfId="0" applyNumberFormat="1" applyFont="1" applyFill="1" applyBorder="1" applyAlignment="1">
      <alignment horizontal="center" vertical="center"/>
    </xf>
    <xf numFmtId="164" fontId="2" fillId="6" borderId="21" xfId="0" applyNumberFormat="1" applyFont="1" applyFill="1" applyBorder="1" applyAlignment="1">
      <alignment horizontal="center" vertical="center"/>
    </xf>
    <xf numFmtId="0" fontId="11" fillId="6" borderId="7" xfId="0" applyFont="1" applyFill="1" applyBorder="1" applyAlignment="1">
      <alignment vertical="center"/>
    </xf>
    <xf numFmtId="0" fontId="6" fillId="8" borderId="8" xfId="0" applyFont="1" applyFill="1" applyBorder="1" applyAlignment="1">
      <alignment horizontal="center" vertical="center"/>
    </xf>
    <xf numFmtId="164" fontId="2" fillId="8" borderId="21" xfId="0" applyNumberFormat="1" applyFont="1" applyFill="1" applyBorder="1" applyAlignment="1">
      <alignment horizontal="center" vertical="center"/>
    </xf>
    <xf numFmtId="164" fontId="2" fillId="8" borderId="22" xfId="0" applyNumberFormat="1" applyFont="1" applyFill="1" applyBorder="1" applyAlignment="1">
      <alignment horizontal="center" vertical="center"/>
    </xf>
    <xf numFmtId="0" fontId="6" fillId="4" borderId="11" xfId="0" applyFont="1" applyFill="1" applyBorder="1" applyAlignment="1">
      <alignment horizontal="center" vertical="center"/>
    </xf>
    <xf numFmtId="0" fontId="2" fillId="0" borderId="9" xfId="0" applyFont="1" applyBorder="1" applyAlignment="1">
      <alignment vertical="center"/>
    </xf>
    <xf numFmtId="0" fontId="2" fillId="9" borderId="7" xfId="0" applyFont="1" applyFill="1" applyBorder="1" applyAlignment="1">
      <alignment horizontal="center" vertical="center"/>
    </xf>
    <xf numFmtId="0" fontId="2" fillId="9" borderId="8" xfId="0" applyFont="1" applyFill="1" applyBorder="1" applyAlignment="1">
      <alignment horizontal="center" vertical="center"/>
    </xf>
    <xf numFmtId="2" fontId="2" fillId="10" borderId="23" xfId="0" applyNumberFormat="1" applyFont="1" applyFill="1" applyBorder="1" applyAlignment="1">
      <alignment horizontal="center" vertical="center"/>
    </xf>
    <xf numFmtId="2" fontId="2" fillId="11" borderId="23" xfId="0" applyNumberFormat="1" applyFont="1" applyFill="1" applyBorder="1" applyAlignment="1">
      <alignment horizontal="center" vertical="center"/>
    </xf>
    <xf numFmtId="2" fontId="2" fillId="11" borderId="21" xfId="0" applyNumberFormat="1" applyFont="1" applyFill="1" applyBorder="1" applyAlignment="1">
      <alignment horizontal="center" vertical="center"/>
    </xf>
    <xf numFmtId="164" fontId="2" fillId="6" borderId="23" xfId="0" applyNumberFormat="1" applyFont="1" applyFill="1" applyBorder="1" applyAlignment="1">
      <alignment vertical="center"/>
    </xf>
    <xf numFmtId="164" fontId="2" fillId="11" borderId="23" xfId="0" applyNumberFormat="1" applyFont="1" applyFill="1" applyBorder="1" applyAlignment="1">
      <alignment vertical="center"/>
    </xf>
    <xf numFmtId="164" fontId="2" fillId="11" borderId="21" xfId="0" applyNumberFormat="1" applyFont="1" applyFill="1" applyBorder="1" applyAlignment="1">
      <alignment vertical="center"/>
    </xf>
    <xf numFmtId="164" fontId="2" fillId="11" borderId="9" xfId="0" applyNumberFormat="1" applyFont="1" applyFill="1" applyBorder="1" applyAlignment="1">
      <alignment horizontal="center" vertical="center"/>
    </xf>
    <xf numFmtId="164" fontId="2" fillId="11" borderId="22" xfId="0" applyNumberFormat="1" applyFont="1" applyFill="1" applyBorder="1" applyAlignment="1">
      <alignment horizontal="center" vertical="center"/>
    </xf>
    <xf numFmtId="164" fontId="6" fillId="6" borderId="7" xfId="0" applyNumberFormat="1" applyFont="1" applyFill="1" applyBorder="1" applyAlignment="1">
      <alignment horizontal="center" vertical="center"/>
    </xf>
    <xf numFmtId="164" fontId="6" fillId="6" borderId="8" xfId="0" applyNumberFormat="1" applyFont="1" applyFill="1" applyBorder="1" applyAlignment="1">
      <alignment horizontal="center" vertical="center"/>
    </xf>
    <xf numFmtId="0" fontId="2" fillId="5" borderId="23" xfId="0" applyFont="1" applyFill="1" applyBorder="1" applyAlignment="1">
      <alignment vertical="center"/>
    </xf>
    <xf numFmtId="2" fontId="10" fillId="12" borderId="23" xfId="0" applyNumberFormat="1" applyFont="1" applyFill="1" applyBorder="1" applyAlignment="1">
      <alignment horizontal="center" vertical="center"/>
    </xf>
    <xf numFmtId="2" fontId="10" fillId="12" borderId="21" xfId="0" applyNumberFormat="1" applyFont="1" applyFill="1" applyBorder="1" applyAlignment="1">
      <alignment horizontal="center" vertical="center"/>
    </xf>
    <xf numFmtId="2" fontId="10" fillId="6" borderId="22" xfId="0" applyNumberFormat="1" applyFont="1" applyFill="1" applyBorder="1" applyAlignment="1">
      <alignment horizontal="center" vertical="center"/>
    </xf>
    <xf numFmtId="0" fontId="2" fillId="4" borderId="7" xfId="0" applyFont="1" applyFill="1" applyBorder="1" applyAlignment="1">
      <alignment horizontal="left"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6" fillId="4" borderId="26" xfId="0" applyFont="1" applyFill="1" applyBorder="1" applyAlignment="1">
      <alignment horizontal="center" vertical="center"/>
    </xf>
    <xf numFmtId="0" fontId="6" fillId="8" borderId="21" xfId="0" applyFont="1" applyFill="1" applyBorder="1" applyAlignment="1">
      <alignment horizontal="center" vertical="center"/>
    </xf>
    <xf numFmtId="0" fontId="2" fillId="6" borderId="23" xfId="0" applyFont="1" applyFill="1" applyBorder="1" applyAlignment="1">
      <alignment horizontal="center" vertical="center"/>
    </xf>
    <xf numFmtId="0" fontId="10" fillId="12" borderId="23" xfId="0" applyFont="1" applyFill="1" applyBorder="1" applyAlignment="1">
      <alignment horizontal="center" vertical="center"/>
    </xf>
    <xf numFmtId="0" fontId="2" fillId="12" borderId="23" xfId="0" applyFont="1" applyFill="1" applyBorder="1" applyAlignment="1">
      <alignment horizontal="center" vertical="center"/>
    </xf>
    <xf numFmtId="0" fontId="2" fillId="7" borderId="11" xfId="0" applyFont="1" applyFill="1" applyBorder="1" applyAlignment="1">
      <alignment horizontal="center" vertical="center"/>
    </xf>
    <xf numFmtId="0" fontId="6" fillId="6" borderId="9" xfId="0" applyFont="1" applyFill="1" applyBorder="1" applyAlignment="1">
      <alignment vertical="center"/>
    </xf>
    <xf numFmtId="165" fontId="2" fillId="6" borderId="9" xfId="0" applyNumberFormat="1" applyFont="1" applyFill="1" applyBorder="1" applyAlignment="1">
      <alignment horizontal="center" vertical="center"/>
    </xf>
    <xf numFmtId="0" fontId="2" fillId="6" borderId="9" xfId="0" applyFont="1" applyFill="1" applyBorder="1" applyAlignment="1">
      <alignment horizontal="center" vertical="center"/>
    </xf>
    <xf numFmtId="0" fontId="2" fillId="5" borderId="26" xfId="0" applyFont="1" applyFill="1" applyBorder="1" applyAlignment="1">
      <alignment vertical="center"/>
    </xf>
    <xf numFmtId="0" fontId="2" fillId="6" borderId="26" xfId="0" applyFont="1" applyFill="1" applyBorder="1" applyAlignment="1">
      <alignment vertical="center"/>
    </xf>
    <xf numFmtId="0" fontId="2" fillId="6" borderId="11" xfId="0" applyFont="1" applyFill="1" applyBorder="1" applyAlignment="1">
      <alignment vertical="center"/>
    </xf>
    <xf numFmtId="164" fontId="2" fillId="4" borderId="9"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6" fillId="6" borderId="23" xfId="0" applyFont="1" applyFill="1" applyBorder="1" applyAlignment="1">
      <alignment horizontal="center" vertical="center"/>
    </xf>
    <xf numFmtId="0" fontId="6" fillId="6" borderId="9" xfId="0" applyFont="1" applyFill="1" applyBorder="1" applyAlignment="1">
      <alignment horizontal="center" vertical="center"/>
    </xf>
    <xf numFmtId="0" fontId="6" fillId="8" borderId="22" xfId="0" applyFont="1" applyFill="1" applyBorder="1" applyAlignment="1">
      <alignment horizontal="center" vertical="center"/>
    </xf>
    <xf numFmtId="164" fontId="2" fillId="10" borderId="23" xfId="0" applyNumberFormat="1" applyFont="1" applyFill="1" applyBorder="1" applyAlignment="1">
      <alignment horizontal="center" vertical="center"/>
    </xf>
    <xf numFmtId="164" fontId="2" fillId="11" borderId="23" xfId="0" applyNumberFormat="1" applyFont="1" applyFill="1" applyBorder="1" applyAlignment="1">
      <alignment horizontal="center" vertical="center"/>
    </xf>
    <xf numFmtId="164" fontId="2" fillId="6" borderId="9" xfId="0" applyNumberFormat="1" applyFont="1" applyFill="1" applyBorder="1" applyAlignment="1">
      <alignment vertical="center"/>
    </xf>
    <xf numFmtId="164" fontId="2" fillId="6" borderId="22" xfId="0" applyNumberFormat="1" applyFont="1" applyFill="1" applyBorder="1" applyAlignment="1">
      <alignment vertical="center"/>
    </xf>
    <xf numFmtId="0" fontId="2" fillId="4" borderId="9" xfId="0" applyFont="1" applyFill="1" applyBorder="1" applyAlignment="1">
      <alignment horizontal="left" vertical="center"/>
    </xf>
    <xf numFmtId="164" fontId="2" fillId="4" borderId="22" xfId="0" applyNumberFormat="1" applyFont="1" applyFill="1" applyBorder="1" applyAlignment="1">
      <alignment horizontal="center" vertical="center"/>
    </xf>
    <xf numFmtId="0" fontId="2" fillId="4" borderId="23" xfId="0" applyFont="1" applyFill="1" applyBorder="1" applyAlignment="1">
      <alignment horizontal="center" vertical="center"/>
    </xf>
    <xf numFmtId="0" fontId="2" fillId="4" borderId="21" xfId="0" applyFont="1" applyFill="1" applyBorder="1" applyAlignment="1">
      <alignment horizontal="center" vertical="center"/>
    </xf>
    <xf numFmtId="0" fontId="6" fillId="6" borderId="21" xfId="0" applyFont="1" applyFill="1" applyBorder="1" applyAlignment="1">
      <alignment vertical="center"/>
    </xf>
    <xf numFmtId="4" fontId="2" fillId="6" borderId="23" xfId="0" applyNumberFormat="1" applyFont="1" applyFill="1" applyBorder="1" applyAlignment="1">
      <alignment horizontal="center" vertical="center"/>
    </xf>
    <xf numFmtId="4" fontId="2" fillId="6" borderId="21" xfId="0" applyNumberFormat="1" applyFont="1" applyFill="1" applyBorder="1" applyAlignment="1">
      <alignment horizontal="center" vertical="center"/>
    </xf>
    <xf numFmtId="0" fontId="2" fillId="6" borderId="23" xfId="0" applyFont="1" applyFill="1" applyBorder="1" applyAlignment="1">
      <alignment vertical="center" wrapText="1"/>
    </xf>
    <xf numFmtId="3" fontId="2" fillId="6" borderId="23" xfId="0" applyNumberFormat="1" applyFont="1" applyFill="1" applyBorder="1" applyAlignment="1">
      <alignment horizontal="center" vertical="center"/>
    </xf>
    <xf numFmtId="3" fontId="2" fillId="6" borderId="21" xfId="0" applyNumberFormat="1" applyFont="1" applyFill="1" applyBorder="1" applyAlignment="1">
      <alignment horizontal="center" vertical="center"/>
    </xf>
    <xf numFmtId="0" fontId="2" fillId="4" borderId="9" xfId="0" applyFont="1" applyFill="1" applyBorder="1" applyAlignment="1">
      <alignment horizontal="center" vertical="center"/>
    </xf>
    <xf numFmtId="0" fontId="2" fillId="4" borderId="22" xfId="0" applyFont="1" applyFill="1" applyBorder="1" applyAlignment="1">
      <alignment horizontal="center" vertical="center"/>
    </xf>
    <xf numFmtId="0" fontId="12" fillId="4" borderId="7" xfId="0" applyFont="1" applyFill="1" applyBorder="1" applyAlignment="1">
      <alignment horizontal="center" vertical="center"/>
    </xf>
    <xf numFmtId="2" fontId="6" fillId="6" borderId="23" xfId="0" applyNumberFormat="1" applyFont="1" applyFill="1" applyBorder="1" applyAlignment="1">
      <alignment vertical="center"/>
    </xf>
    <xf numFmtId="2" fontId="6" fillId="6" borderId="21" xfId="0" applyNumberFormat="1" applyFont="1" applyFill="1" applyBorder="1" applyAlignment="1">
      <alignment vertical="center"/>
    </xf>
    <xf numFmtId="4" fontId="6" fillId="6" borderId="23" xfId="0" applyNumberFormat="1" applyFont="1" applyFill="1" applyBorder="1" applyAlignment="1">
      <alignment vertical="center"/>
    </xf>
    <xf numFmtId="164" fontId="6" fillId="6" borderId="23" xfId="0" applyNumberFormat="1" applyFont="1" applyFill="1" applyBorder="1" applyAlignment="1">
      <alignment vertical="center"/>
    </xf>
    <xf numFmtId="0" fontId="13" fillId="15" borderId="23" xfId="0" applyFont="1" applyFill="1" applyBorder="1" applyAlignment="1">
      <alignment horizontal="right" vertical="center"/>
    </xf>
    <xf numFmtId="166" fontId="13" fillId="15" borderId="23" xfId="0" applyNumberFormat="1" applyFont="1" applyFill="1" applyBorder="1" applyAlignment="1">
      <alignment horizontal="center" vertical="center"/>
    </xf>
    <xf numFmtId="0" fontId="13" fillId="15" borderId="23" xfId="0" applyFont="1" applyFill="1" applyBorder="1"/>
    <xf numFmtId="164" fontId="2" fillId="16" borderId="23" xfId="0" applyNumberFormat="1" applyFont="1" applyFill="1" applyBorder="1" applyAlignment="1">
      <alignment horizontal="center" vertical="center"/>
    </xf>
    <xf numFmtId="167" fontId="13" fillId="15" borderId="23" xfId="0" applyNumberFormat="1" applyFont="1" applyFill="1" applyBorder="1" applyAlignment="1">
      <alignment horizontal="center" vertical="center"/>
    </xf>
    <xf numFmtId="2" fontId="14" fillId="0" borderId="0" xfId="0" applyNumberFormat="1" applyFont="1" applyAlignment="1">
      <alignment horizontal="center" vertical="center"/>
    </xf>
    <xf numFmtId="167" fontId="14" fillId="0" borderId="0" xfId="0" applyNumberFormat="1" applyFont="1" applyAlignment="1">
      <alignment horizontal="center" vertical="center"/>
    </xf>
    <xf numFmtId="0" fontId="6" fillId="4" borderId="7" xfId="0" applyFont="1" applyFill="1" applyBorder="1" applyAlignment="1">
      <alignment horizontal="center" vertical="center"/>
    </xf>
    <xf numFmtId="0" fontId="6" fillId="7" borderId="11" xfId="0" applyFont="1" applyFill="1" applyBorder="1" applyAlignment="1">
      <alignment horizontal="center" vertical="center"/>
    </xf>
    <xf numFmtId="0" fontId="2" fillId="6" borderId="21" xfId="0" applyFont="1" applyFill="1" applyBorder="1" applyAlignment="1">
      <alignment horizontal="center" vertical="center"/>
    </xf>
    <xf numFmtId="164" fontId="2" fillId="6" borderId="7" xfId="0" applyNumberFormat="1" applyFont="1" applyFill="1" applyBorder="1" applyAlignment="1">
      <alignment horizontal="center" vertical="center"/>
    </xf>
    <xf numFmtId="164" fontId="2" fillId="6" borderId="8" xfId="0" applyNumberFormat="1" applyFont="1" applyFill="1" applyBorder="1" applyAlignment="1">
      <alignment horizontal="center" vertical="center"/>
    </xf>
    <xf numFmtId="0" fontId="2" fillId="17" borderId="23" xfId="0" applyFont="1" applyFill="1" applyBorder="1" applyAlignment="1">
      <alignment vertical="center"/>
    </xf>
    <xf numFmtId="0" fontId="2" fillId="18" borderId="7" xfId="0" applyFont="1" applyFill="1" applyBorder="1" applyAlignment="1">
      <alignment horizontal="center" vertical="center"/>
    </xf>
    <xf numFmtId="0" fontId="2" fillId="18" borderId="7" xfId="0" applyFont="1" applyFill="1" applyBorder="1" applyAlignment="1">
      <alignment horizontal="left" vertical="center"/>
    </xf>
    <xf numFmtId="168" fontId="2" fillId="18" borderId="7" xfId="0" applyNumberFormat="1" applyFont="1" applyFill="1" applyBorder="1" applyAlignment="1">
      <alignment horizontal="center" vertical="center"/>
    </xf>
    <xf numFmtId="0" fontId="10" fillId="18" borderId="8" xfId="0" applyFont="1" applyFill="1" applyBorder="1" applyAlignment="1">
      <alignment horizontal="center" vertical="center"/>
    </xf>
    <xf numFmtId="0" fontId="2" fillId="18" borderId="26" xfId="0" applyFont="1" applyFill="1" applyBorder="1" applyAlignment="1">
      <alignment horizontal="center" vertical="center"/>
    </xf>
    <xf numFmtId="0" fontId="6" fillId="18" borderId="23" xfId="0" applyFont="1" applyFill="1" applyBorder="1" applyAlignment="1">
      <alignment horizontal="center" vertical="center"/>
    </xf>
    <xf numFmtId="0" fontId="5" fillId="19" borderId="23" xfId="0" applyFont="1" applyFill="1" applyBorder="1" applyAlignment="1">
      <alignment horizontal="left" vertical="center"/>
    </xf>
    <xf numFmtId="168" fontId="2" fillId="19" borderId="23" xfId="0" applyNumberFormat="1" applyFont="1" applyFill="1" applyBorder="1" applyAlignment="1">
      <alignment horizontal="center" vertical="center"/>
    </xf>
    <xf numFmtId="0" fontId="10" fillId="19" borderId="21" xfId="0" applyFont="1" applyFill="1" applyBorder="1" applyAlignment="1">
      <alignment horizontal="center" vertical="center"/>
    </xf>
    <xf numFmtId="0" fontId="2" fillId="18" borderId="23" xfId="0" applyFont="1" applyFill="1" applyBorder="1" applyAlignment="1">
      <alignment horizontal="center" vertical="center"/>
    </xf>
    <xf numFmtId="0" fontId="2" fillId="19" borderId="23" xfId="0" applyFont="1" applyFill="1" applyBorder="1" applyAlignment="1">
      <alignment horizontal="left" vertical="center"/>
    </xf>
    <xf numFmtId="0" fontId="17" fillId="7" borderId="23" xfId="0" applyFont="1" applyFill="1" applyBorder="1" applyAlignment="1">
      <alignment horizontal="center" vertical="center"/>
    </xf>
    <xf numFmtId="0" fontId="17" fillId="7" borderId="21" xfId="0" applyFont="1" applyFill="1" applyBorder="1" applyAlignment="1">
      <alignment horizontal="center" vertical="center"/>
    </xf>
    <xf numFmtId="0" fontId="2" fillId="20" borderId="23" xfId="0" applyFont="1" applyFill="1" applyBorder="1" applyAlignment="1">
      <alignment horizontal="left" vertical="center"/>
    </xf>
    <xf numFmtId="4" fontId="2" fillId="20" borderId="23" xfId="0" applyNumberFormat="1" applyFont="1" applyFill="1" applyBorder="1" applyAlignment="1">
      <alignment horizontal="center" vertical="center"/>
    </xf>
    <xf numFmtId="168" fontId="2" fillId="20" borderId="23" xfId="0" applyNumberFormat="1" applyFont="1" applyFill="1" applyBorder="1" applyAlignment="1">
      <alignment horizontal="center" vertical="center"/>
    </xf>
    <xf numFmtId="168" fontId="2" fillId="20" borderId="21" xfId="0" applyNumberFormat="1" applyFont="1" applyFill="1" applyBorder="1" applyAlignment="1">
      <alignment horizontal="center" vertical="center"/>
    </xf>
    <xf numFmtId="0" fontId="2" fillId="21" borderId="23" xfId="0" applyFont="1" applyFill="1" applyBorder="1" applyAlignment="1">
      <alignment horizontal="left" vertical="center"/>
    </xf>
    <xf numFmtId="4" fontId="2" fillId="21" borderId="23" xfId="0" applyNumberFormat="1" applyFont="1" applyFill="1" applyBorder="1" applyAlignment="1">
      <alignment horizontal="center" vertical="center"/>
    </xf>
    <xf numFmtId="168" fontId="2" fillId="21" borderId="23" xfId="0" applyNumberFormat="1" applyFont="1" applyFill="1" applyBorder="1" applyAlignment="1">
      <alignment horizontal="center" vertical="center"/>
    </xf>
    <xf numFmtId="168" fontId="2" fillId="21" borderId="21" xfId="0" applyNumberFormat="1" applyFont="1" applyFill="1" applyBorder="1" applyAlignment="1">
      <alignment horizontal="center" vertical="center"/>
    </xf>
    <xf numFmtId="4" fontId="2" fillId="19" borderId="23" xfId="0" applyNumberFormat="1" applyFont="1" applyFill="1" applyBorder="1" applyAlignment="1">
      <alignment horizontal="center" vertical="center"/>
    </xf>
    <xf numFmtId="168" fontId="2" fillId="19" borderId="21" xfId="0" applyNumberFormat="1" applyFont="1" applyFill="1" applyBorder="1" applyAlignment="1">
      <alignment horizontal="center" vertical="center"/>
    </xf>
    <xf numFmtId="0" fontId="16" fillId="7" borderId="23" xfId="0" applyFont="1" applyFill="1" applyBorder="1" applyAlignment="1">
      <alignment horizontal="left" vertical="center"/>
    </xf>
    <xf numFmtId="168" fontId="10" fillId="19" borderId="21" xfId="0" applyNumberFormat="1" applyFont="1" applyFill="1" applyBorder="1" applyAlignment="1">
      <alignment horizontal="center" vertical="center"/>
    </xf>
    <xf numFmtId="0" fontId="12" fillId="22" borderId="23" xfId="0" applyFont="1" applyFill="1" applyBorder="1" applyAlignment="1">
      <alignment horizontal="left" vertical="center"/>
    </xf>
    <xf numFmtId="169" fontId="2" fillId="22" borderId="23" xfId="0" applyNumberFormat="1" applyFont="1" applyFill="1" applyBorder="1" applyAlignment="1">
      <alignment horizontal="center" vertical="center"/>
    </xf>
    <xf numFmtId="169" fontId="2" fillId="22" borderId="21" xfId="0" applyNumberFormat="1" applyFont="1" applyFill="1" applyBorder="1" applyAlignment="1">
      <alignment horizontal="center" vertical="center"/>
    </xf>
    <xf numFmtId="169" fontId="2" fillId="19" borderId="23" xfId="0" applyNumberFormat="1" applyFont="1" applyFill="1" applyBorder="1" applyAlignment="1">
      <alignment horizontal="center" vertical="center"/>
    </xf>
    <xf numFmtId="169" fontId="2" fillId="19" borderId="21" xfId="0" applyNumberFormat="1" applyFont="1" applyFill="1" applyBorder="1" applyAlignment="1">
      <alignment horizontal="center" vertical="center"/>
    </xf>
    <xf numFmtId="0" fontId="6" fillId="22" borderId="23" xfId="0" applyFont="1" applyFill="1" applyBorder="1" applyAlignment="1">
      <alignment horizontal="left" vertical="center"/>
    </xf>
    <xf numFmtId="4" fontId="10" fillId="19" borderId="21" xfId="0" applyNumberFormat="1" applyFont="1" applyFill="1" applyBorder="1" applyAlignment="1">
      <alignment horizontal="center" vertical="center"/>
    </xf>
    <xf numFmtId="0" fontId="6" fillId="19" borderId="23" xfId="0" applyFont="1" applyFill="1" applyBorder="1" applyAlignment="1">
      <alignment horizontal="left" vertical="center"/>
    </xf>
    <xf numFmtId="168" fontId="6" fillId="20" borderId="23" xfId="0" applyNumberFormat="1" applyFont="1" applyFill="1" applyBorder="1" applyAlignment="1">
      <alignment horizontal="center" vertical="center"/>
    </xf>
    <xf numFmtId="168" fontId="18" fillId="20" borderId="21" xfId="0" applyNumberFormat="1" applyFont="1" applyFill="1" applyBorder="1" applyAlignment="1">
      <alignment horizontal="center" vertical="center"/>
    </xf>
    <xf numFmtId="168" fontId="6" fillId="20" borderId="21" xfId="0" applyNumberFormat="1" applyFont="1" applyFill="1" applyBorder="1" applyAlignment="1">
      <alignment horizontal="center" vertical="center"/>
    </xf>
    <xf numFmtId="0" fontId="2" fillId="23" borderId="23" xfId="0" applyFont="1" applyFill="1" applyBorder="1" applyAlignment="1">
      <alignment horizontal="left" vertical="center"/>
    </xf>
    <xf numFmtId="168" fontId="2" fillId="23" borderId="23" xfId="0" applyNumberFormat="1" applyFont="1" applyFill="1" applyBorder="1" applyAlignment="1">
      <alignment horizontal="center" vertical="center"/>
    </xf>
    <xf numFmtId="168" fontId="2" fillId="23" borderId="21" xfId="0" applyNumberFormat="1" applyFont="1" applyFill="1" applyBorder="1" applyAlignment="1">
      <alignment horizontal="center" vertical="center"/>
    </xf>
    <xf numFmtId="0" fontId="2" fillId="11" borderId="23" xfId="0" applyFont="1" applyFill="1" applyBorder="1" applyAlignment="1">
      <alignment horizontal="center" vertical="center"/>
    </xf>
    <xf numFmtId="0" fontId="4" fillId="11" borderId="23" xfId="0" applyFont="1" applyFill="1" applyBorder="1"/>
    <xf numFmtId="168" fontId="2" fillId="16" borderId="23" xfId="0" applyNumberFormat="1" applyFont="1" applyFill="1" applyBorder="1" applyAlignment="1">
      <alignment horizontal="center" vertical="center"/>
    </xf>
    <xf numFmtId="168" fontId="2" fillId="16" borderId="21" xfId="0" applyNumberFormat="1" applyFont="1" applyFill="1" applyBorder="1" applyAlignment="1">
      <alignment horizontal="center" vertical="center"/>
    </xf>
    <xf numFmtId="168" fontId="6" fillId="23" borderId="23" xfId="0" applyNumberFormat="1" applyFont="1" applyFill="1" applyBorder="1" applyAlignment="1">
      <alignment horizontal="center" vertical="center"/>
    </xf>
    <xf numFmtId="168" fontId="6" fillId="23" borderId="21" xfId="0" applyNumberFormat="1" applyFont="1" applyFill="1" applyBorder="1" applyAlignment="1">
      <alignment horizontal="center" vertical="center"/>
    </xf>
    <xf numFmtId="168" fontId="10" fillId="20" borderId="21" xfId="0" applyNumberFormat="1" applyFont="1" applyFill="1" applyBorder="1" applyAlignment="1">
      <alignment horizontal="center" vertical="center"/>
    </xf>
    <xf numFmtId="168" fontId="10" fillId="21" borderId="21" xfId="0" applyNumberFormat="1" applyFont="1" applyFill="1" applyBorder="1" applyAlignment="1">
      <alignment horizontal="center" vertical="center"/>
    </xf>
    <xf numFmtId="0" fontId="2" fillId="18" borderId="11" xfId="0" applyFont="1" applyFill="1" applyBorder="1" applyAlignment="1">
      <alignment horizontal="center" vertical="center"/>
    </xf>
    <xf numFmtId="0" fontId="2" fillId="18" borderId="9" xfId="0" applyFont="1" applyFill="1" applyBorder="1" applyAlignment="1">
      <alignment horizontal="center" vertical="center"/>
    </xf>
    <xf numFmtId="0" fontId="6" fillId="19" borderId="9" xfId="0" applyFont="1" applyFill="1" applyBorder="1" applyAlignment="1">
      <alignment horizontal="left" vertical="center"/>
    </xf>
    <xf numFmtId="168" fontId="2" fillId="19" borderId="9" xfId="0" applyNumberFormat="1" applyFont="1" applyFill="1" applyBorder="1" applyAlignment="1">
      <alignment horizontal="center" vertical="center"/>
    </xf>
    <xf numFmtId="168" fontId="10" fillId="19" borderId="22" xfId="0" applyNumberFormat="1" applyFont="1" applyFill="1" applyBorder="1" applyAlignment="1">
      <alignment horizontal="center" vertical="center"/>
    </xf>
    <xf numFmtId="0" fontId="11" fillId="19" borderId="7" xfId="0" applyFont="1" applyFill="1" applyBorder="1" applyAlignment="1">
      <alignment horizontal="left" vertical="center"/>
    </xf>
    <xf numFmtId="168" fontId="2" fillId="12" borderId="23" xfId="0" applyNumberFormat="1" applyFont="1" applyFill="1" applyBorder="1" applyAlignment="1">
      <alignment horizontal="center" vertical="center"/>
    </xf>
    <xf numFmtId="0" fontId="10" fillId="12" borderId="23" xfId="0" applyFont="1" applyFill="1" applyBorder="1" applyAlignment="1">
      <alignment horizontal="left" vertical="center"/>
    </xf>
    <xf numFmtId="0" fontId="10" fillId="19" borderId="23" xfId="0" applyFont="1" applyFill="1" applyBorder="1" applyAlignment="1">
      <alignment horizontal="center" vertical="center"/>
    </xf>
    <xf numFmtId="0" fontId="2" fillId="19" borderId="9" xfId="0" applyFont="1" applyFill="1" applyBorder="1" applyAlignment="1">
      <alignment horizontal="left" vertical="center"/>
    </xf>
    <xf numFmtId="0" fontId="10" fillId="19" borderId="9" xfId="0" applyFont="1" applyFill="1" applyBorder="1" applyAlignment="1">
      <alignment horizontal="center" vertical="center"/>
    </xf>
    <xf numFmtId="0" fontId="10" fillId="19" borderId="22" xfId="0" applyFont="1" applyFill="1" applyBorder="1" applyAlignment="1">
      <alignment horizontal="center" vertical="center"/>
    </xf>
    <xf numFmtId="0" fontId="6" fillId="19" borderId="7" xfId="0" applyFont="1" applyFill="1" applyBorder="1" applyAlignment="1">
      <alignment horizontal="left" vertical="center"/>
    </xf>
    <xf numFmtId="168" fontId="2" fillId="19" borderId="7" xfId="0" applyNumberFormat="1" applyFont="1" applyFill="1" applyBorder="1" applyAlignment="1">
      <alignment horizontal="center" vertical="center"/>
    </xf>
    <xf numFmtId="168" fontId="2" fillId="19" borderId="8" xfId="0" applyNumberFormat="1" applyFont="1" applyFill="1" applyBorder="1" applyAlignment="1">
      <alignment horizontal="center" vertical="center" wrapText="1"/>
    </xf>
    <xf numFmtId="3" fontId="2" fillId="19" borderId="23" xfId="0" applyNumberFormat="1" applyFont="1" applyFill="1" applyBorder="1" applyAlignment="1">
      <alignment horizontal="center" vertical="center"/>
    </xf>
    <xf numFmtId="3" fontId="2" fillId="19" borderId="21" xfId="0" applyNumberFormat="1" applyFont="1" applyFill="1" applyBorder="1" applyAlignment="1">
      <alignment horizontal="center" vertical="center"/>
    </xf>
    <xf numFmtId="3" fontId="2" fillId="11" borderId="23" xfId="0" applyNumberFormat="1" applyFont="1" applyFill="1" applyBorder="1" applyAlignment="1">
      <alignment horizontal="center" vertical="center"/>
    </xf>
    <xf numFmtId="3" fontId="2" fillId="11" borderId="21" xfId="0" applyNumberFormat="1" applyFont="1" applyFill="1" applyBorder="1" applyAlignment="1">
      <alignment horizontal="center" vertical="center"/>
    </xf>
    <xf numFmtId="3" fontId="2" fillId="19" borderId="9" xfId="0" applyNumberFormat="1" applyFont="1" applyFill="1" applyBorder="1" applyAlignment="1">
      <alignment horizontal="center" vertical="center"/>
    </xf>
    <xf numFmtId="3" fontId="2" fillId="19" borderId="22" xfId="0" applyNumberFormat="1" applyFont="1" applyFill="1" applyBorder="1" applyAlignment="1">
      <alignment horizontal="center" vertical="center"/>
    </xf>
    <xf numFmtId="168" fontId="2" fillId="19" borderId="8" xfId="0" applyNumberFormat="1" applyFont="1" applyFill="1" applyBorder="1" applyAlignment="1">
      <alignment horizontal="center" vertical="center"/>
    </xf>
    <xf numFmtId="4" fontId="2" fillId="19" borderId="21" xfId="0" applyNumberFormat="1" applyFont="1" applyFill="1" applyBorder="1" applyAlignment="1">
      <alignment horizontal="center" vertical="center"/>
    </xf>
    <xf numFmtId="0" fontId="2" fillId="25" borderId="23" xfId="0" applyFont="1" applyFill="1" applyBorder="1" applyAlignment="1">
      <alignment horizontal="left" vertical="center"/>
    </xf>
    <xf numFmtId="4" fontId="2" fillId="26" borderId="23" xfId="0" applyNumberFormat="1" applyFont="1" applyFill="1" applyBorder="1" applyAlignment="1">
      <alignment horizontal="center" vertical="center"/>
    </xf>
    <xf numFmtId="0" fontId="2" fillId="8" borderId="23" xfId="0" applyFont="1" applyFill="1" applyBorder="1" applyAlignment="1">
      <alignment horizontal="center" vertical="center"/>
    </xf>
    <xf numFmtId="0" fontId="6" fillId="7" borderId="23" xfId="0" applyFont="1" applyFill="1" applyBorder="1" applyAlignment="1">
      <alignment horizontal="left" vertical="center"/>
    </xf>
    <xf numFmtId="0" fontId="2" fillId="19" borderId="23" xfId="0" applyFont="1" applyFill="1" applyBorder="1" applyAlignment="1">
      <alignment horizontal="center" vertical="center"/>
    </xf>
    <xf numFmtId="0" fontId="2" fillId="26" borderId="23" xfId="0" applyFont="1" applyFill="1" applyBorder="1" applyAlignment="1">
      <alignment horizontal="left" vertical="center"/>
    </xf>
    <xf numFmtId="4" fontId="2" fillId="26" borderId="21" xfId="0" applyNumberFormat="1" applyFont="1" applyFill="1" applyBorder="1" applyAlignment="1">
      <alignment horizontal="center" vertical="center"/>
    </xf>
    <xf numFmtId="0" fontId="2" fillId="26" borderId="23" xfId="0" applyFont="1" applyFill="1" applyBorder="1" applyAlignment="1">
      <alignment horizontal="center" vertical="center"/>
    </xf>
    <xf numFmtId="0" fontId="14" fillId="19" borderId="23" xfId="0" applyFont="1" applyFill="1" applyBorder="1" applyAlignment="1">
      <alignment horizontal="left" vertical="center"/>
    </xf>
    <xf numFmtId="168" fontId="2" fillId="19" borderId="22" xfId="0" applyNumberFormat="1" applyFont="1" applyFill="1" applyBorder="1" applyAlignment="1">
      <alignment horizontal="center" vertical="center"/>
    </xf>
    <xf numFmtId="0" fontId="13" fillId="19" borderId="7" xfId="0" applyFont="1" applyFill="1" applyBorder="1" applyAlignment="1">
      <alignment horizontal="left" vertical="center"/>
    </xf>
    <xf numFmtId="0" fontId="10" fillId="19" borderId="8" xfId="0" applyFont="1" applyFill="1" applyBorder="1" applyAlignment="1">
      <alignment horizontal="center" vertical="center"/>
    </xf>
    <xf numFmtId="2" fontId="2" fillId="19" borderId="23" xfId="0" applyNumberFormat="1" applyFont="1" applyFill="1" applyBorder="1" applyAlignment="1">
      <alignment horizontal="center" vertical="center"/>
    </xf>
    <xf numFmtId="2" fontId="10" fillId="19" borderId="21" xfId="0" applyNumberFormat="1" applyFont="1" applyFill="1" applyBorder="1" applyAlignment="1">
      <alignment horizontal="center" vertical="center"/>
    </xf>
    <xf numFmtId="4" fontId="6" fillId="20" borderId="23" xfId="0" applyNumberFormat="1" applyFont="1" applyFill="1" applyBorder="1" applyAlignment="1">
      <alignment horizontal="center" vertical="center"/>
    </xf>
    <xf numFmtId="4" fontId="6" fillId="20" borderId="21" xfId="0" applyNumberFormat="1" applyFont="1" applyFill="1" applyBorder="1" applyAlignment="1">
      <alignment horizontal="center" vertical="center"/>
    </xf>
    <xf numFmtId="4" fontId="2" fillId="21" borderId="21" xfId="0" applyNumberFormat="1" applyFont="1" applyFill="1" applyBorder="1" applyAlignment="1">
      <alignment horizontal="center" vertical="center"/>
    </xf>
    <xf numFmtId="0" fontId="6" fillId="18" borderId="26" xfId="0" applyFont="1" applyFill="1" applyBorder="1" applyAlignment="1">
      <alignment horizontal="center" vertical="center"/>
    </xf>
    <xf numFmtId="4" fontId="6" fillId="19" borderId="23" xfId="0" applyNumberFormat="1" applyFont="1" applyFill="1" applyBorder="1" applyAlignment="1">
      <alignment horizontal="center" vertical="center"/>
    </xf>
    <xf numFmtId="4" fontId="6" fillId="27" borderId="23" xfId="0" applyNumberFormat="1" applyFont="1" applyFill="1" applyBorder="1" applyAlignment="1">
      <alignment horizontal="center" vertical="center"/>
    </xf>
    <xf numFmtId="4" fontId="6" fillId="19" borderId="21" xfId="0" applyNumberFormat="1" applyFont="1" applyFill="1" applyBorder="1" applyAlignment="1">
      <alignment horizontal="center" vertical="center"/>
    </xf>
    <xf numFmtId="168" fontId="6" fillId="19" borderId="23" xfId="0" applyNumberFormat="1" applyFont="1" applyFill="1" applyBorder="1" applyAlignment="1">
      <alignment horizontal="center" vertical="center"/>
    </xf>
    <xf numFmtId="168" fontId="6" fillId="19" borderId="21" xfId="0" applyNumberFormat="1" applyFont="1" applyFill="1" applyBorder="1" applyAlignment="1">
      <alignment horizontal="center" vertical="center"/>
    </xf>
    <xf numFmtId="0" fontId="12" fillId="7" borderId="23" xfId="0" applyFont="1" applyFill="1" applyBorder="1" applyAlignment="1">
      <alignment horizontal="left" vertical="center"/>
    </xf>
    <xf numFmtId="2" fontId="10" fillId="19" borderId="23" xfId="0" applyNumberFormat="1" applyFont="1" applyFill="1" applyBorder="1" applyAlignment="1">
      <alignment horizontal="center" vertical="center"/>
    </xf>
    <xf numFmtId="4" fontId="2" fillId="23" borderId="23" xfId="0" applyNumberFormat="1" applyFont="1" applyFill="1" applyBorder="1" applyAlignment="1">
      <alignment horizontal="center" vertical="center"/>
    </xf>
    <xf numFmtId="169" fontId="2" fillId="23" borderId="23" xfId="0" applyNumberFormat="1" applyFont="1" applyFill="1" applyBorder="1" applyAlignment="1">
      <alignment horizontal="center" vertical="center"/>
    </xf>
    <xf numFmtId="170" fontId="10" fillId="19" borderId="23" xfId="0" applyNumberFormat="1" applyFont="1" applyFill="1" applyBorder="1" applyAlignment="1">
      <alignment horizontal="center" vertical="center"/>
    </xf>
    <xf numFmtId="171" fontId="2" fillId="19" borderId="23" xfId="0" applyNumberFormat="1" applyFont="1" applyFill="1" applyBorder="1" applyAlignment="1">
      <alignment horizontal="center" vertical="center"/>
    </xf>
    <xf numFmtId="171" fontId="2" fillId="27" borderId="23" xfId="0" applyNumberFormat="1" applyFont="1" applyFill="1" applyBorder="1" applyAlignment="1">
      <alignment horizontal="center" vertical="center"/>
    </xf>
    <xf numFmtId="168" fontId="2" fillId="27" borderId="23" xfId="0" applyNumberFormat="1" applyFont="1" applyFill="1" applyBorder="1" applyAlignment="1">
      <alignment horizontal="center" vertical="center"/>
    </xf>
    <xf numFmtId="171" fontId="2" fillId="21" borderId="23" xfId="0" applyNumberFormat="1" applyFont="1" applyFill="1" applyBorder="1" applyAlignment="1">
      <alignment horizontal="center" vertical="center"/>
    </xf>
    <xf numFmtId="171" fontId="2" fillId="23" borderId="23" xfId="0" applyNumberFormat="1" applyFont="1" applyFill="1" applyBorder="1" applyAlignment="1">
      <alignment horizontal="center" vertical="center"/>
    </xf>
    <xf numFmtId="0" fontId="6" fillId="20" borderId="23" xfId="0" applyFont="1" applyFill="1" applyBorder="1" applyAlignment="1">
      <alignment horizontal="left" vertical="center"/>
    </xf>
    <xf numFmtId="4" fontId="2" fillId="27" borderId="23" xfId="0" applyNumberFormat="1" applyFont="1" applyFill="1" applyBorder="1" applyAlignment="1">
      <alignment horizontal="center" vertical="center"/>
    </xf>
    <xf numFmtId="0" fontId="2" fillId="20" borderId="9" xfId="0" applyFont="1" applyFill="1" applyBorder="1" applyAlignment="1">
      <alignment horizontal="left" vertical="center"/>
    </xf>
    <xf numFmtId="4" fontId="6" fillId="20" borderId="9" xfId="0" applyNumberFormat="1" applyFont="1" applyFill="1" applyBorder="1" applyAlignment="1">
      <alignment horizontal="center" vertical="center"/>
    </xf>
    <xf numFmtId="4" fontId="6" fillId="20" borderId="22" xfId="0" applyNumberFormat="1" applyFont="1" applyFill="1" applyBorder="1" applyAlignment="1">
      <alignment horizontal="center" vertical="center"/>
    </xf>
    <xf numFmtId="2" fontId="12" fillId="19" borderId="23" xfId="0" applyNumberFormat="1" applyFont="1" applyFill="1" applyBorder="1" applyAlignment="1">
      <alignment horizontal="center" vertical="center"/>
    </xf>
    <xf numFmtId="2" fontId="12" fillId="19" borderId="9" xfId="0" applyNumberFormat="1" applyFont="1" applyFill="1" applyBorder="1" applyAlignment="1">
      <alignment horizontal="center" vertical="center"/>
    </xf>
    <xf numFmtId="0" fontId="2" fillId="12" borderId="23" xfId="0" applyFont="1" applyFill="1" applyBorder="1" applyAlignment="1">
      <alignment horizontal="left" vertical="center"/>
    </xf>
    <xf numFmtId="168" fontId="2" fillId="12" borderId="21" xfId="0" applyNumberFormat="1" applyFont="1" applyFill="1" applyBorder="1" applyAlignment="1">
      <alignment horizontal="center" vertical="center"/>
    </xf>
    <xf numFmtId="0" fontId="2" fillId="4" borderId="23" xfId="0" applyFont="1" applyFill="1" applyBorder="1" applyAlignment="1">
      <alignment horizontal="left" vertical="center"/>
    </xf>
    <xf numFmtId="4" fontId="10" fillId="19" borderId="23" xfId="0" applyNumberFormat="1" applyFont="1" applyFill="1" applyBorder="1" applyAlignment="1">
      <alignment horizontal="center" vertical="center"/>
    </xf>
    <xf numFmtId="168" fontId="10" fillId="19" borderId="23" xfId="0" applyNumberFormat="1" applyFont="1" applyFill="1" applyBorder="1" applyAlignment="1">
      <alignment horizontal="center" vertical="center"/>
    </xf>
    <xf numFmtId="168" fontId="2" fillId="11" borderId="23" xfId="0" applyNumberFormat="1" applyFont="1" applyFill="1" applyBorder="1" applyAlignment="1">
      <alignment horizontal="center" vertical="center"/>
    </xf>
    <xf numFmtId="168" fontId="2" fillId="11" borderId="21" xfId="0" applyNumberFormat="1" applyFont="1" applyFill="1" applyBorder="1" applyAlignment="1">
      <alignment horizontal="center" vertical="center"/>
    </xf>
    <xf numFmtId="0" fontId="2" fillId="9" borderId="23" xfId="0" applyFont="1" applyFill="1" applyBorder="1" applyAlignment="1">
      <alignment horizontal="center" vertical="center"/>
    </xf>
    <xf numFmtId="0" fontId="2" fillId="18" borderId="9" xfId="0" applyFont="1" applyFill="1" applyBorder="1" applyAlignment="1">
      <alignment horizontal="left" vertical="center"/>
    </xf>
    <xf numFmtId="168" fontId="2" fillId="18" borderId="9" xfId="0" applyNumberFormat="1" applyFont="1" applyFill="1" applyBorder="1" applyAlignment="1">
      <alignment horizontal="center" vertical="center"/>
    </xf>
    <xf numFmtId="0" fontId="2" fillId="0" borderId="9" xfId="0" applyFont="1" applyBorder="1" applyAlignment="1">
      <alignment horizontal="center" vertical="center"/>
    </xf>
    <xf numFmtId="0" fontId="12" fillId="11" borderId="23" xfId="0" applyFont="1" applyFill="1" applyBorder="1" applyAlignment="1">
      <alignment horizontal="center" vertical="center"/>
    </xf>
    <xf numFmtId="168" fontId="2" fillId="11" borderId="9" xfId="0" applyNumberFormat="1" applyFont="1" applyFill="1" applyBorder="1" applyAlignment="1">
      <alignment horizontal="center" vertical="center"/>
    </xf>
    <xf numFmtId="0" fontId="2" fillId="19" borderId="7" xfId="0" applyFont="1" applyFill="1" applyBorder="1" applyAlignment="1">
      <alignment horizontal="center" vertical="center"/>
    </xf>
    <xf numFmtId="0" fontId="2" fillId="19" borderId="9" xfId="0" applyFont="1" applyFill="1" applyBorder="1" applyAlignment="1">
      <alignment horizontal="center" vertical="center"/>
    </xf>
    <xf numFmtId="0" fontId="6" fillId="19" borderId="7" xfId="0" applyFont="1" applyFill="1" applyBorder="1"/>
    <xf numFmtId="168" fontId="2" fillId="19" borderId="7" xfId="0" applyNumberFormat="1" applyFont="1" applyFill="1" applyBorder="1"/>
    <xf numFmtId="168" fontId="2" fillId="19" borderId="8" xfId="0" applyNumberFormat="1" applyFont="1" applyFill="1" applyBorder="1"/>
    <xf numFmtId="0" fontId="2" fillId="18" borderId="26" xfId="0" applyFont="1" applyFill="1" applyBorder="1"/>
    <xf numFmtId="0" fontId="2" fillId="19" borderId="23" xfId="0" applyFont="1" applyFill="1" applyBorder="1"/>
    <xf numFmtId="0" fontId="2" fillId="19" borderId="21" xfId="0" applyFont="1" applyFill="1" applyBorder="1"/>
    <xf numFmtId="0" fontId="2" fillId="18" borderId="11" xfId="0" applyFont="1" applyFill="1" applyBorder="1"/>
    <xf numFmtId="0" fontId="2" fillId="18" borderId="9" xfId="0" applyFont="1" applyFill="1" applyBorder="1"/>
    <xf numFmtId="168" fontId="2" fillId="18" borderId="9" xfId="0" applyNumberFormat="1" applyFont="1" applyFill="1" applyBorder="1"/>
    <xf numFmtId="168" fontId="2" fillId="18" borderId="22" xfId="0" applyNumberFormat="1" applyFont="1" applyFill="1" applyBorder="1"/>
    <xf numFmtId="171" fontId="6" fillId="20" borderId="23" xfId="0" applyNumberFormat="1" applyFont="1" applyFill="1" applyBorder="1" applyAlignment="1">
      <alignment horizontal="center" vertical="center"/>
    </xf>
    <xf numFmtId="171" fontId="6" fillId="27" borderId="23" xfId="0" applyNumberFormat="1" applyFont="1" applyFill="1" applyBorder="1" applyAlignment="1">
      <alignment horizontal="center" vertical="center"/>
    </xf>
    <xf numFmtId="171" fontId="6" fillId="19" borderId="23" xfId="0" applyNumberFormat="1" applyFont="1" applyFill="1" applyBorder="1" applyAlignment="1">
      <alignment horizontal="center" vertical="center"/>
    </xf>
    <xf numFmtId="0" fontId="2" fillId="3" borderId="25" xfId="0" applyFont="1" applyFill="1" applyBorder="1" applyAlignment="1">
      <alignment horizontal="center" vertical="center"/>
    </xf>
    <xf numFmtId="0" fontId="2" fillId="5" borderId="25" xfId="0" applyFont="1" applyFill="1" applyBorder="1" applyAlignment="1">
      <alignment horizontal="center" vertical="center"/>
    </xf>
    <xf numFmtId="0" fontId="2" fillId="18" borderId="8" xfId="0" applyFont="1" applyFill="1" applyBorder="1" applyAlignment="1">
      <alignment horizontal="center" vertical="center"/>
    </xf>
    <xf numFmtId="0" fontId="2" fillId="18" borderId="21" xfId="0" applyFont="1" applyFill="1" applyBorder="1" applyAlignment="1">
      <alignment horizontal="center" vertical="center"/>
    </xf>
    <xf numFmtId="0" fontId="2" fillId="18" borderId="23" xfId="0" applyFont="1" applyFill="1" applyBorder="1" applyAlignment="1">
      <alignment horizontal="left" vertical="center"/>
    </xf>
    <xf numFmtId="0" fontId="10" fillId="19" borderId="23" xfId="0" applyFont="1" applyFill="1" applyBorder="1" applyAlignment="1">
      <alignment horizontal="left" vertical="center"/>
    </xf>
    <xf numFmtId="4" fontId="2" fillId="18" borderId="23" xfId="0" applyNumberFormat="1" applyFont="1" applyFill="1" applyBorder="1" applyAlignment="1">
      <alignment horizontal="left" vertical="center"/>
    </xf>
    <xf numFmtId="4" fontId="2" fillId="18" borderId="23" xfId="0" applyNumberFormat="1" applyFont="1" applyFill="1" applyBorder="1" applyAlignment="1">
      <alignment horizontal="center" vertical="center"/>
    </xf>
    <xf numFmtId="4" fontId="6" fillId="19" borderId="23" xfId="0" applyNumberFormat="1" applyFont="1" applyFill="1" applyBorder="1" applyAlignment="1">
      <alignment horizontal="left" vertical="center"/>
    </xf>
    <xf numFmtId="168" fontId="2" fillId="19" borderId="23" xfId="0" applyNumberFormat="1" applyFont="1" applyFill="1" applyBorder="1" applyAlignment="1">
      <alignment horizontal="left" vertical="center"/>
    </xf>
    <xf numFmtId="4" fontId="2" fillId="19" borderId="23" xfId="0" applyNumberFormat="1" applyFont="1" applyFill="1" applyBorder="1" applyAlignment="1">
      <alignment horizontal="left" vertical="center"/>
    </xf>
    <xf numFmtId="168" fontId="6" fillId="19" borderId="23" xfId="0" applyNumberFormat="1" applyFont="1" applyFill="1" applyBorder="1" applyAlignment="1">
      <alignment horizontal="left" vertical="center"/>
    </xf>
    <xf numFmtId="0" fontId="11" fillId="19" borderId="23" xfId="0" applyFont="1" applyFill="1" applyBorder="1" applyAlignment="1">
      <alignment horizontal="left" vertical="center"/>
    </xf>
    <xf numFmtId="165" fontId="2" fillId="19" borderId="23" xfId="0" applyNumberFormat="1" applyFont="1" applyFill="1" applyBorder="1" applyAlignment="1">
      <alignment horizontal="center" vertical="center"/>
    </xf>
    <xf numFmtId="168" fontId="2" fillId="18" borderId="23" xfId="0" applyNumberFormat="1" applyFont="1" applyFill="1" applyBorder="1" applyAlignment="1">
      <alignment horizontal="center" vertical="center"/>
    </xf>
    <xf numFmtId="0" fontId="6" fillId="18" borderId="23" xfId="0" applyFont="1" applyFill="1" applyBorder="1" applyAlignment="1">
      <alignment horizontal="left" vertical="center"/>
    </xf>
    <xf numFmtId="0" fontId="2" fillId="29" borderId="23" xfId="0" applyFont="1" applyFill="1" applyBorder="1" applyAlignment="1">
      <alignment horizontal="center" vertical="center"/>
    </xf>
    <xf numFmtId="0" fontId="2" fillId="29" borderId="23" xfId="0" applyFont="1" applyFill="1" applyBorder="1" applyAlignment="1">
      <alignment horizontal="left" vertical="center"/>
    </xf>
    <xf numFmtId="168" fontId="6" fillId="29" borderId="23" xfId="0" applyNumberFormat="1" applyFont="1" applyFill="1" applyBorder="1" applyAlignment="1">
      <alignment horizontal="left" vertical="center"/>
    </xf>
    <xf numFmtId="168" fontId="2" fillId="29" borderId="23" xfId="0" applyNumberFormat="1" applyFont="1" applyFill="1" applyBorder="1" applyAlignment="1">
      <alignment horizontal="left" vertical="center"/>
    </xf>
    <xf numFmtId="4" fontId="2" fillId="20" borderId="23" xfId="0" applyNumberFormat="1" applyFont="1" applyFill="1" applyBorder="1" applyAlignment="1">
      <alignment horizontal="left" vertical="center"/>
    </xf>
    <xf numFmtId="4" fontId="2" fillId="21" borderId="23" xfId="0" applyNumberFormat="1" applyFont="1" applyFill="1" applyBorder="1" applyAlignment="1">
      <alignment horizontal="left" vertical="center"/>
    </xf>
    <xf numFmtId="168" fontId="16" fillId="7" borderId="23" xfId="0" applyNumberFormat="1" applyFont="1" applyFill="1" applyBorder="1" applyAlignment="1">
      <alignment horizontal="left" vertical="center"/>
    </xf>
    <xf numFmtId="4" fontId="12" fillId="7" borderId="23" xfId="0" applyNumberFormat="1" applyFont="1" applyFill="1" applyBorder="1" applyAlignment="1">
      <alignment horizontal="left" vertical="center"/>
    </xf>
    <xf numFmtId="0" fontId="2" fillId="29" borderId="26" xfId="0" applyFont="1" applyFill="1" applyBorder="1" applyAlignment="1">
      <alignment horizontal="center" vertical="center"/>
    </xf>
    <xf numFmtId="4" fontId="2" fillId="29" borderId="23" xfId="0" applyNumberFormat="1" applyFont="1" applyFill="1" applyBorder="1" applyAlignment="1">
      <alignment horizontal="left" vertical="center"/>
    </xf>
    <xf numFmtId="168" fontId="2" fillId="29" borderId="21" xfId="0" applyNumberFormat="1" applyFont="1" applyFill="1" applyBorder="1" applyAlignment="1">
      <alignment horizontal="center" vertical="center"/>
    </xf>
    <xf numFmtId="0" fontId="4" fillId="29" borderId="23" xfId="0" applyFont="1" applyFill="1" applyBorder="1"/>
    <xf numFmtId="4" fontId="16" fillId="7" borderId="23" xfId="0" applyNumberFormat="1" applyFont="1" applyFill="1" applyBorder="1" applyAlignment="1">
      <alignment horizontal="left" vertical="center"/>
    </xf>
    <xf numFmtId="0" fontId="12" fillId="29" borderId="23" xfId="0" applyFont="1" applyFill="1" applyBorder="1" applyAlignment="1">
      <alignment horizontal="left" vertical="center"/>
    </xf>
    <xf numFmtId="4" fontId="12" fillId="29" borderId="23" xfId="0" applyNumberFormat="1" applyFont="1" applyFill="1" applyBorder="1" applyAlignment="1">
      <alignment horizontal="left" vertical="center"/>
    </xf>
    <xf numFmtId="4" fontId="2" fillId="23" borderId="23" xfId="0" applyNumberFormat="1" applyFont="1" applyFill="1" applyBorder="1" applyAlignment="1">
      <alignment horizontal="left" vertical="center"/>
    </xf>
    <xf numFmtId="169" fontId="2" fillId="19" borderId="23" xfId="0" applyNumberFormat="1" applyFont="1" applyFill="1" applyBorder="1" applyAlignment="1">
      <alignment horizontal="left" vertical="center"/>
    </xf>
    <xf numFmtId="169" fontId="2" fillId="23" borderId="23" xfId="0" applyNumberFormat="1" applyFont="1" applyFill="1" applyBorder="1" applyAlignment="1">
      <alignment horizontal="left" vertical="center"/>
    </xf>
    <xf numFmtId="171" fontId="6" fillId="19" borderId="23" xfId="0" applyNumberFormat="1" applyFont="1" applyFill="1" applyBorder="1" applyAlignment="1">
      <alignment horizontal="left" vertical="center"/>
    </xf>
    <xf numFmtId="171" fontId="2" fillId="21" borderId="23" xfId="0" applyNumberFormat="1" applyFont="1" applyFill="1" applyBorder="1" applyAlignment="1">
      <alignment horizontal="left" vertical="center"/>
    </xf>
    <xf numFmtId="171" fontId="2" fillId="23" borderId="23" xfId="0" applyNumberFormat="1" applyFont="1" applyFill="1" applyBorder="1" applyAlignment="1">
      <alignment horizontal="left" vertical="center"/>
    </xf>
    <xf numFmtId="172" fontId="6" fillId="19" borderId="23" xfId="0" applyNumberFormat="1" applyFont="1" applyFill="1" applyBorder="1" applyAlignment="1">
      <alignment horizontal="left" vertical="center"/>
    </xf>
    <xf numFmtId="4" fontId="6" fillId="20" borderId="23" xfId="0" applyNumberFormat="1" applyFont="1" applyFill="1" applyBorder="1" applyAlignment="1">
      <alignment horizontal="left" vertical="center"/>
    </xf>
    <xf numFmtId="171" fontId="6" fillId="30" borderId="23" xfId="0" applyNumberFormat="1" applyFont="1" applyFill="1" applyBorder="1" applyAlignment="1">
      <alignment horizontal="center" vertical="center"/>
    </xf>
    <xf numFmtId="0" fontId="10" fillId="26" borderId="23" xfId="0" applyFont="1" applyFill="1" applyBorder="1" applyAlignment="1">
      <alignment horizontal="left" vertical="center"/>
    </xf>
    <xf numFmtId="171" fontId="18" fillId="26" borderId="23" xfId="0" applyNumberFormat="1" applyFont="1" applyFill="1" applyBorder="1" applyAlignment="1">
      <alignment horizontal="center" vertical="center"/>
    </xf>
    <xf numFmtId="0" fontId="12" fillId="26" borderId="23" xfId="0" applyFont="1" applyFill="1" applyBorder="1" applyAlignment="1">
      <alignment horizontal="left" vertical="center"/>
    </xf>
    <xf numFmtId="171" fontId="6" fillId="26" borderId="23" xfId="0" applyNumberFormat="1" applyFont="1" applyFill="1" applyBorder="1" applyAlignment="1">
      <alignment horizontal="center" vertical="center"/>
    </xf>
    <xf numFmtId="0" fontId="2" fillId="12" borderId="23" xfId="0" applyFont="1" applyFill="1" applyBorder="1"/>
    <xf numFmtId="164" fontId="10" fillId="19" borderId="21" xfId="0" applyNumberFormat="1" applyFont="1" applyFill="1" applyBorder="1" applyAlignment="1">
      <alignment horizontal="center" vertical="center"/>
    </xf>
    <xf numFmtId="164" fontId="10" fillId="12" borderId="21" xfId="0" applyNumberFormat="1" applyFont="1" applyFill="1" applyBorder="1" applyAlignment="1">
      <alignment horizontal="center" vertical="center"/>
    </xf>
    <xf numFmtId="0" fontId="2" fillId="26" borderId="26" xfId="0" applyFont="1" applyFill="1" applyBorder="1" applyAlignment="1">
      <alignment horizontal="center" vertical="center"/>
    </xf>
    <xf numFmtId="0" fontId="4" fillId="26" borderId="23" xfId="0" applyFont="1" applyFill="1" applyBorder="1"/>
    <xf numFmtId="0" fontId="2" fillId="31" borderId="7" xfId="0" applyFont="1" applyFill="1" applyBorder="1" applyAlignment="1">
      <alignment horizontal="center" vertical="center"/>
    </xf>
    <xf numFmtId="0" fontId="2" fillId="31" borderId="7" xfId="0" applyFont="1" applyFill="1" applyBorder="1" applyAlignment="1">
      <alignment horizontal="left" vertical="center"/>
    </xf>
    <xf numFmtId="0" fontId="2" fillId="31" borderId="26" xfId="0" applyFont="1" applyFill="1" applyBorder="1" applyAlignment="1">
      <alignment horizontal="center" vertical="center"/>
    </xf>
    <xf numFmtId="0" fontId="2" fillId="31" borderId="23" xfId="0" applyFont="1" applyFill="1" applyBorder="1" applyAlignment="1">
      <alignment horizontal="center" vertical="center"/>
    </xf>
    <xf numFmtId="0" fontId="5" fillId="2" borderId="23" xfId="0" applyFont="1" applyFill="1" applyBorder="1" applyAlignment="1">
      <alignment horizontal="left" vertical="center"/>
    </xf>
    <xf numFmtId="0" fontId="2" fillId="2" borderId="23" xfId="0" applyFont="1" applyFill="1" applyBorder="1" applyAlignment="1">
      <alignment horizontal="center" vertical="center"/>
    </xf>
    <xf numFmtId="0" fontId="6" fillId="2" borderId="23" xfId="0" applyFont="1" applyFill="1" applyBorder="1" applyAlignment="1">
      <alignment horizontal="left" vertical="center"/>
    </xf>
    <xf numFmtId="0" fontId="2" fillId="2" borderId="23" xfId="0" applyFont="1" applyFill="1" applyBorder="1" applyAlignment="1">
      <alignment horizontal="left" vertical="center"/>
    </xf>
    <xf numFmtId="2" fontId="2" fillId="2" borderId="23" xfId="0" applyNumberFormat="1" applyFont="1" applyFill="1" applyBorder="1" applyAlignment="1">
      <alignment horizontal="center" vertical="center"/>
    </xf>
    <xf numFmtId="0" fontId="12" fillId="11" borderId="23" xfId="0" applyFont="1" applyFill="1" applyBorder="1"/>
    <xf numFmtId="0" fontId="2" fillId="8" borderId="23" xfId="0" applyFont="1" applyFill="1" applyBorder="1" applyAlignment="1">
      <alignment horizontal="left" vertical="center"/>
    </xf>
    <xf numFmtId="0" fontId="10" fillId="11" borderId="23" xfId="0" applyFont="1" applyFill="1" applyBorder="1"/>
    <xf numFmtId="0" fontId="2" fillId="31" borderId="23" xfId="0" applyFont="1" applyFill="1" applyBorder="1" applyAlignment="1">
      <alignment horizontal="left" vertical="center"/>
    </xf>
    <xf numFmtId="2" fontId="2" fillId="5" borderId="23" xfId="0" applyNumberFormat="1" applyFont="1" applyFill="1" applyBorder="1" applyAlignment="1">
      <alignment horizontal="center" vertical="center"/>
    </xf>
    <xf numFmtId="2" fontId="10" fillId="11" borderId="23" xfId="0" applyNumberFormat="1" applyFont="1" applyFill="1" applyBorder="1" applyAlignment="1">
      <alignment horizontal="center" vertical="center"/>
    </xf>
    <xf numFmtId="1" fontId="2" fillId="2" borderId="23" xfId="0" applyNumberFormat="1" applyFont="1" applyFill="1" applyBorder="1" applyAlignment="1">
      <alignment horizontal="center" vertical="center"/>
    </xf>
    <xf numFmtId="0" fontId="6" fillId="32" borderId="23" xfId="0" applyFont="1" applyFill="1" applyBorder="1" applyAlignment="1">
      <alignment horizontal="center" vertical="center"/>
    </xf>
    <xf numFmtId="0" fontId="6" fillId="2" borderId="23" xfId="0" applyFont="1" applyFill="1" applyBorder="1" applyAlignment="1">
      <alignment horizontal="center" vertical="center"/>
    </xf>
    <xf numFmtId="2" fontId="2" fillId="32" borderId="23" xfId="0" applyNumberFormat="1" applyFont="1" applyFill="1" applyBorder="1" applyAlignment="1">
      <alignment horizontal="center" vertical="center"/>
    </xf>
    <xf numFmtId="0" fontId="6" fillId="31" borderId="23" xfId="0" applyFont="1" applyFill="1" applyBorder="1" applyAlignment="1">
      <alignment horizontal="center" vertical="center"/>
    </xf>
    <xf numFmtId="0" fontId="21" fillId="33" borderId="23" xfId="0" applyFont="1" applyFill="1" applyBorder="1"/>
    <xf numFmtId="0" fontId="6" fillId="4" borderId="23" xfId="0" applyFont="1" applyFill="1" applyBorder="1" applyAlignment="1">
      <alignment vertical="center"/>
    </xf>
    <xf numFmtId="0" fontId="6" fillId="25" borderId="23" xfId="0" applyFont="1" applyFill="1" applyBorder="1" applyAlignment="1">
      <alignment horizontal="left" vertical="center"/>
    </xf>
    <xf numFmtId="0" fontId="14" fillId="0" borderId="0" xfId="0" applyFont="1"/>
    <xf numFmtId="0" fontId="2" fillId="21" borderId="23" xfId="0" applyFont="1" applyFill="1" applyBorder="1" applyAlignment="1">
      <alignment horizontal="center" vertical="center"/>
    </xf>
    <xf numFmtId="0" fontId="2" fillId="34" borderId="23" xfId="0" applyFont="1" applyFill="1" applyBorder="1" applyAlignment="1">
      <alignment horizontal="center" vertical="center"/>
    </xf>
    <xf numFmtId="0" fontId="2" fillId="20" borderId="23" xfId="0" applyFont="1" applyFill="1" applyBorder="1" applyAlignment="1">
      <alignment horizontal="center" vertical="center"/>
    </xf>
    <xf numFmtId="0" fontId="2" fillId="18" borderId="22" xfId="0" applyFont="1" applyFill="1" applyBorder="1" applyAlignment="1">
      <alignment horizontal="center" vertical="center"/>
    </xf>
    <xf numFmtId="0" fontId="2" fillId="6" borderId="23" xfId="0" applyFont="1" applyFill="1" applyBorder="1" applyAlignment="1">
      <alignment horizontal="left" vertical="center"/>
    </xf>
    <xf numFmtId="0" fontId="6" fillId="35" borderId="23" xfId="0" applyFont="1" applyFill="1" applyBorder="1" applyAlignment="1">
      <alignment vertical="center"/>
    </xf>
    <xf numFmtId="0" fontId="6" fillId="35" borderId="23" xfId="0" applyFont="1" applyFill="1" applyBorder="1" applyAlignment="1">
      <alignment horizontal="left" vertical="center"/>
    </xf>
    <xf numFmtId="0" fontId="6" fillId="35" borderId="23" xfId="0" applyFont="1" applyFill="1" applyBorder="1" applyAlignment="1">
      <alignment horizontal="center" vertical="center" wrapText="1"/>
    </xf>
    <xf numFmtId="173" fontId="2" fillId="6" borderId="23" xfId="0" applyNumberFormat="1" applyFont="1" applyFill="1" applyBorder="1" applyAlignment="1">
      <alignment horizontal="center" vertical="center"/>
    </xf>
    <xf numFmtId="0" fontId="6" fillId="4" borderId="21" xfId="0" applyFont="1" applyFill="1" applyBorder="1" applyAlignment="1">
      <alignment horizontal="center" vertical="center"/>
    </xf>
    <xf numFmtId="174" fontId="2" fillId="6" borderId="23" xfId="0" applyNumberFormat="1" applyFont="1" applyFill="1" applyBorder="1" applyAlignment="1">
      <alignment horizontal="center" vertical="center"/>
    </xf>
    <xf numFmtId="11" fontId="2" fillId="6" borderId="23" xfId="0" applyNumberFormat="1" applyFont="1" applyFill="1" applyBorder="1" applyAlignment="1">
      <alignment horizontal="center" vertical="center"/>
    </xf>
    <xf numFmtId="0" fontId="6" fillId="7" borderId="23" xfId="0" applyFont="1" applyFill="1" applyBorder="1" applyAlignment="1">
      <alignment vertical="center"/>
    </xf>
    <xf numFmtId="174" fontId="2" fillId="7" borderId="23" xfId="0" applyNumberFormat="1" applyFont="1" applyFill="1" applyBorder="1" applyAlignment="1">
      <alignment horizontal="center" vertical="center"/>
    </xf>
    <xf numFmtId="167" fontId="2" fillId="6" borderId="23" xfId="0" applyNumberFormat="1" applyFont="1" applyFill="1" applyBorder="1" applyAlignment="1">
      <alignment horizontal="center" vertical="center"/>
    </xf>
    <xf numFmtId="0" fontId="2" fillId="7" borderId="23" xfId="0" applyFont="1" applyFill="1" applyBorder="1" applyAlignment="1">
      <alignment vertical="center"/>
    </xf>
    <xf numFmtId="175" fontId="2" fillId="6" borderId="23" xfId="0" applyNumberFormat="1" applyFont="1" applyFill="1" applyBorder="1" applyAlignment="1">
      <alignment horizontal="center" vertical="center"/>
    </xf>
    <xf numFmtId="2" fontId="6" fillId="6" borderId="23" xfId="0" applyNumberFormat="1" applyFont="1" applyFill="1" applyBorder="1" applyAlignment="1">
      <alignment horizontal="center" vertical="center"/>
    </xf>
    <xf numFmtId="170" fontId="6" fillId="6" borderId="23" xfId="0" applyNumberFormat="1" applyFont="1" applyFill="1" applyBorder="1" applyAlignment="1">
      <alignment horizontal="center" vertical="center"/>
    </xf>
    <xf numFmtId="0" fontId="6" fillId="8" borderId="23" xfId="0" applyFont="1" applyFill="1" applyBorder="1" applyAlignment="1">
      <alignment vertical="center"/>
    </xf>
    <xf numFmtId="0" fontId="2" fillId="8" borderId="23" xfId="0" applyFont="1" applyFill="1" applyBorder="1" applyAlignment="1">
      <alignment vertical="center"/>
    </xf>
    <xf numFmtId="164" fontId="6" fillId="6" borderId="23" xfId="0" applyNumberFormat="1" applyFont="1" applyFill="1" applyBorder="1" applyAlignment="1">
      <alignment horizontal="center" vertical="center"/>
    </xf>
    <xf numFmtId="0" fontId="7" fillId="34" borderId="23" xfId="0" applyFont="1" applyFill="1" applyBorder="1" applyAlignment="1">
      <alignment vertical="center"/>
    </xf>
    <xf numFmtId="0" fontId="6" fillId="19" borderId="23" xfId="0" applyFont="1" applyFill="1" applyBorder="1" applyAlignment="1">
      <alignment horizontal="center" vertical="center"/>
    </xf>
    <xf numFmtId="0" fontId="2" fillId="36" borderId="23" xfId="0" applyFont="1" applyFill="1" applyBorder="1" applyAlignment="1">
      <alignment horizontal="left" vertical="center"/>
    </xf>
    <xf numFmtId="165" fontId="2" fillId="36" borderId="23" xfId="0" applyNumberFormat="1" applyFont="1" applyFill="1" applyBorder="1" applyAlignment="1">
      <alignment horizontal="center" vertical="center"/>
    </xf>
    <xf numFmtId="165" fontId="6" fillId="19" borderId="23" xfId="0" applyNumberFormat="1" applyFont="1" applyFill="1" applyBorder="1" applyAlignment="1">
      <alignment horizontal="center" vertical="center"/>
    </xf>
    <xf numFmtId="0" fontId="2" fillId="31" borderId="8" xfId="0" applyFont="1" applyFill="1" applyBorder="1" applyAlignment="1">
      <alignment horizontal="center" vertical="center"/>
    </xf>
    <xf numFmtId="0" fontId="2" fillId="31" borderId="21" xfId="0" applyFont="1" applyFill="1" applyBorder="1" applyAlignment="1">
      <alignment horizontal="center" vertical="center"/>
    </xf>
    <xf numFmtId="0" fontId="2" fillId="31" borderId="11" xfId="0" applyFont="1" applyFill="1" applyBorder="1" applyAlignment="1">
      <alignment horizontal="center" vertical="center"/>
    </xf>
    <xf numFmtId="0" fontId="2" fillId="31" borderId="9" xfId="0" applyFont="1" applyFill="1" applyBorder="1" applyAlignment="1">
      <alignment horizontal="left" vertical="center"/>
    </xf>
    <xf numFmtId="0" fontId="2" fillId="31" borderId="9" xfId="0" applyFont="1" applyFill="1" applyBorder="1" applyAlignment="1">
      <alignment horizontal="center" vertical="center"/>
    </xf>
    <xf numFmtId="0" fontId="2" fillId="31" borderId="22" xfId="0" applyFont="1" applyFill="1" applyBorder="1" applyAlignment="1">
      <alignment horizontal="center" vertical="center"/>
    </xf>
    <xf numFmtId="2" fontId="6" fillId="19" borderId="23" xfId="0" applyNumberFormat="1" applyFont="1" applyFill="1" applyBorder="1" applyAlignment="1">
      <alignment horizontal="center" vertical="center"/>
    </xf>
    <xf numFmtId="0" fontId="2" fillId="19" borderId="23" xfId="0" applyFont="1" applyFill="1" applyBorder="1" applyAlignment="1">
      <alignment horizontal="left" vertical="center" wrapText="1"/>
    </xf>
    <xf numFmtId="0" fontId="6" fillId="19" borderId="23" xfId="0" applyFont="1" applyFill="1" applyBorder="1" applyAlignment="1">
      <alignment horizontal="left" vertical="center" wrapText="1"/>
    </xf>
    <xf numFmtId="176" fontId="2" fillId="19" borderId="23" xfId="0" applyNumberFormat="1" applyFont="1" applyFill="1" applyBorder="1" applyAlignment="1">
      <alignment horizontal="center" vertical="center"/>
    </xf>
    <xf numFmtId="167" fontId="2" fillId="19" borderId="23" xfId="0" applyNumberFormat="1" applyFont="1" applyFill="1" applyBorder="1" applyAlignment="1">
      <alignment horizontal="center" vertical="center"/>
    </xf>
    <xf numFmtId="164" fontId="14" fillId="0" borderId="0" xfId="0" applyNumberFormat="1" applyFont="1" applyAlignment="1">
      <alignment horizontal="center" vertical="center"/>
    </xf>
    <xf numFmtId="0" fontId="13" fillId="15" borderId="23" xfId="0" applyFont="1" applyFill="1" applyBorder="1" applyAlignment="1">
      <alignment vertical="center"/>
    </xf>
    <xf numFmtId="170" fontId="13" fillId="15" borderId="23" xfId="0" applyNumberFormat="1" applyFont="1" applyFill="1" applyBorder="1" applyAlignment="1">
      <alignment horizontal="center" vertical="center"/>
    </xf>
    <xf numFmtId="0" fontId="12" fillId="4" borderId="23" xfId="0" applyFont="1" applyFill="1" applyBorder="1" applyAlignment="1">
      <alignment horizontal="center" vertical="center"/>
    </xf>
    <xf numFmtId="0" fontId="10" fillId="18" borderId="7" xfId="0" applyFont="1" applyFill="1" applyBorder="1" applyAlignment="1">
      <alignment horizontal="center" vertical="center"/>
    </xf>
    <xf numFmtId="0" fontId="23" fillId="19" borderId="23" xfId="0" applyFont="1" applyFill="1" applyBorder="1" applyAlignment="1">
      <alignment horizontal="left" vertical="center"/>
    </xf>
    <xf numFmtId="0" fontId="10" fillId="18" borderId="23" xfId="0" applyFont="1" applyFill="1" applyBorder="1" applyAlignment="1">
      <alignment horizontal="center" vertical="center"/>
    </xf>
    <xf numFmtId="165" fontId="10" fillId="19" borderId="23" xfId="0" applyNumberFormat="1" applyFont="1" applyFill="1" applyBorder="1" applyAlignment="1">
      <alignment horizontal="center" vertical="center"/>
    </xf>
    <xf numFmtId="4" fontId="2" fillId="16" borderId="23" xfId="0" applyNumberFormat="1" applyFont="1" applyFill="1" applyBorder="1" applyAlignment="1">
      <alignment horizontal="center" vertical="center"/>
    </xf>
    <xf numFmtId="0" fontId="13" fillId="19" borderId="23" xfId="0" applyFont="1" applyFill="1" applyBorder="1" applyAlignment="1">
      <alignment horizontal="left" vertical="center"/>
    </xf>
    <xf numFmtId="0" fontId="10" fillId="18" borderId="23" xfId="0" applyFont="1" applyFill="1" applyBorder="1" applyAlignment="1">
      <alignment horizontal="left" vertical="center"/>
    </xf>
    <xf numFmtId="168" fontId="10" fillId="18" borderId="23" xfId="0" applyNumberFormat="1" applyFont="1" applyFill="1" applyBorder="1" applyAlignment="1">
      <alignment horizontal="center" vertical="center"/>
    </xf>
    <xf numFmtId="0" fontId="10" fillId="18" borderId="9" xfId="0" applyFont="1" applyFill="1" applyBorder="1"/>
    <xf numFmtId="0" fontId="2" fillId="18" borderId="22" xfId="0" applyFont="1" applyFill="1" applyBorder="1"/>
    <xf numFmtId="164" fontId="2" fillId="19" borderId="23" xfId="0" applyNumberFormat="1" applyFont="1" applyFill="1" applyBorder="1" applyAlignment="1">
      <alignment horizontal="center" vertical="center"/>
    </xf>
    <xf numFmtId="0" fontId="6" fillId="5" borderId="25" xfId="0" applyFont="1" applyFill="1" applyBorder="1" applyAlignment="1">
      <alignment horizontal="center" vertical="center"/>
    </xf>
    <xf numFmtId="165" fontId="2" fillId="3" borderId="25" xfId="0" applyNumberFormat="1" applyFont="1" applyFill="1" applyBorder="1" applyAlignment="1">
      <alignment horizontal="center" vertical="center"/>
    </xf>
    <xf numFmtId="165" fontId="6" fillId="3" borderId="25" xfId="0" applyNumberFormat="1" applyFont="1" applyFill="1" applyBorder="1" applyAlignment="1">
      <alignment horizontal="center" vertical="center"/>
    </xf>
    <xf numFmtId="0" fontId="6" fillId="3" borderId="25" xfId="0" applyFont="1" applyFill="1" applyBorder="1" applyAlignment="1">
      <alignment horizontal="center" vertical="center"/>
    </xf>
    <xf numFmtId="0" fontId="6" fillId="31" borderId="7" xfId="0" applyFont="1" applyFill="1" applyBorder="1" applyAlignment="1">
      <alignment horizontal="center" vertical="center"/>
    </xf>
    <xf numFmtId="165" fontId="2" fillId="31" borderId="7" xfId="0" applyNumberFormat="1" applyFont="1" applyFill="1" applyBorder="1" applyAlignment="1">
      <alignment horizontal="center" vertical="center"/>
    </xf>
    <xf numFmtId="165" fontId="6" fillId="31" borderId="7" xfId="0" applyNumberFormat="1" applyFont="1" applyFill="1" applyBorder="1" applyAlignment="1">
      <alignment horizontal="center" vertical="center"/>
    </xf>
    <xf numFmtId="165" fontId="2" fillId="2" borderId="23" xfId="0" applyNumberFormat="1" applyFont="1" applyFill="1" applyBorder="1" applyAlignment="1">
      <alignment horizontal="center" vertical="center"/>
    </xf>
    <xf numFmtId="165" fontId="6" fillId="2" borderId="23" xfId="0" applyNumberFormat="1" applyFont="1" applyFill="1" applyBorder="1" applyAlignment="1">
      <alignment horizontal="center" vertical="center"/>
    </xf>
    <xf numFmtId="0" fontId="10" fillId="8" borderId="23" xfId="0" applyFont="1" applyFill="1" applyBorder="1" applyAlignment="1">
      <alignment horizontal="left" vertical="center"/>
    </xf>
    <xf numFmtId="0" fontId="6" fillId="31" borderId="26" xfId="0" applyFont="1" applyFill="1" applyBorder="1" applyAlignment="1">
      <alignment horizontal="center" vertical="center"/>
    </xf>
    <xf numFmtId="2" fontId="6" fillId="2" borderId="23" xfId="0" applyNumberFormat="1" applyFont="1" applyFill="1" applyBorder="1" applyAlignment="1">
      <alignment horizontal="center" vertical="center"/>
    </xf>
    <xf numFmtId="0" fontId="6" fillId="31" borderId="21" xfId="0" applyFont="1" applyFill="1" applyBorder="1" applyAlignment="1">
      <alignment horizontal="center" vertical="center"/>
    </xf>
    <xf numFmtId="0" fontId="6" fillId="31" borderId="9" xfId="0" applyFont="1" applyFill="1" applyBorder="1" applyAlignment="1">
      <alignment horizontal="center" vertical="center"/>
    </xf>
    <xf numFmtId="0" fontId="2" fillId="0" borderId="26" xfId="0" applyFont="1" applyBorder="1"/>
    <xf numFmtId="0" fontId="6" fillId="18" borderId="21" xfId="0" applyFont="1" applyFill="1" applyBorder="1" applyAlignment="1">
      <alignment horizontal="center" vertical="center"/>
    </xf>
    <xf numFmtId="0" fontId="2" fillId="34" borderId="23" xfId="0" applyFont="1" applyFill="1" applyBorder="1" applyAlignment="1">
      <alignment vertical="center"/>
    </xf>
    <xf numFmtId="2" fontId="2" fillId="4" borderId="23" xfId="0" applyNumberFormat="1" applyFont="1" applyFill="1" applyBorder="1" applyAlignment="1">
      <alignment horizontal="center" vertical="center"/>
    </xf>
    <xf numFmtId="3" fontId="2" fillId="6" borderId="23" xfId="0" applyNumberFormat="1" applyFont="1" applyFill="1" applyBorder="1" applyAlignment="1">
      <alignment vertical="center"/>
    </xf>
    <xf numFmtId="0" fontId="22" fillId="0" borderId="0" xfId="0" applyFont="1" applyAlignment="1">
      <alignment horizontal="center" vertical="center"/>
    </xf>
    <xf numFmtId="0" fontId="14" fillId="0" borderId="0" xfId="0" applyFont="1" applyAlignment="1">
      <alignment horizontal="left" vertical="center"/>
    </xf>
    <xf numFmtId="0" fontId="20" fillId="0" borderId="0" xfId="0" applyFont="1" applyAlignment="1">
      <alignment horizontal="left" vertical="center" wrapText="1"/>
    </xf>
    <xf numFmtId="0" fontId="2" fillId="40" borderId="23" xfId="0" applyFont="1" applyFill="1" applyBorder="1" applyAlignment="1">
      <alignment horizontal="center" vertical="center"/>
    </xf>
    <xf numFmtId="0" fontId="2" fillId="16" borderId="23" xfId="0" applyFont="1" applyFill="1" applyBorder="1" applyAlignment="1">
      <alignment horizontal="center" vertical="center"/>
    </xf>
    <xf numFmtId="4" fontId="2" fillId="12" borderId="23" xfId="0" applyNumberFormat="1" applyFont="1" applyFill="1" applyBorder="1" applyAlignment="1">
      <alignment horizontal="center" vertical="center"/>
    </xf>
    <xf numFmtId="2" fontId="2" fillId="18" borderId="23" xfId="0" applyNumberFormat="1" applyFont="1" applyFill="1" applyBorder="1" applyAlignment="1">
      <alignment horizontal="center" vertical="center"/>
    </xf>
    <xf numFmtId="0" fontId="2" fillId="18" borderId="23" xfId="0" applyFont="1" applyFill="1" applyBorder="1"/>
    <xf numFmtId="0" fontId="6" fillId="19" borderId="23" xfId="0" applyFont="1" applyFill="1" applyBorder="1"/>
    <xf numFmtId="0" fontId="2" fillId="18" borderId="21" xfId="0" applyFont="1" applyFill="1" applyBorder="1"/>
    <xf numFmtId="2" fontId="2" fillId="19" borderId="23" xfId="0" applyNumberFormat="1" applyFont="1" applyFill="1" applyBorder="1"/>
    <xf numFmtId="0" fontId="20" fillId="0" borderId="0" xfId="0" applyFont="1" applyAlignment="1">
      <alignment horizontal="left" vertical="center"/>
    </xf>
    <xf numFmtId="0" fontId="22" fillId="0" borderId="0" xfId="0" applyFont="1" applyAlignment="1">
      <alignment horizontal="left" vertical="center"/>
    </xf>
    <xf numFmtId="0" fontId="2" fillId="37" borderId="23" xfId="0" applyFont="1" applyFill="1" applyBorder="1" applyAlignment="1">
      <alignment horizontal="center" wrapText="1"/>
    </xf>
    <xf numFmtId="0" fontId="2" fillId="37" borderId="23" xfId="0" applyFont="1" applyFill="1" applyBorder="1" applyAlignment="1">
      <alignment horizontal="center"/>
    </xf>
    <xf numFmtId="0" fontId="2" fillId="38" borderId="23" xfId="0" applyFont="1" applyFill="1" applyBorder="1" applyAlignment="1">
      <alignment horizontal="center"/>
    </xf>
    <xf numFmtId="0" fontId="2" fillId="38" borderId="23" xfId="0" applyFont="1" applyFill="1" applyBorder="1"/>
    <xf numFmtId="0" fontId="22" fillId="38" borderId="23" xfId="0" applyFont="1" applyFill="1" applyBorder="1"/>
    <xf numFmtId="0" fontId="2" fillId="38" borderId="23" xfId="0" applyFont="1" applyFill="1" applyBorder="1" applyAlignment="1">
      <alignment horizontal="right"/>
    </xf>
    <xf numFmtId="0" fontId="2" fillId="39" borderId="23" xfId="0" applyFont="1" applyFill="1" applyBorder="1"/>
    <xf numFmtId="0" fontId="6" fillId="41" borderId="23" xfId="0" applyFont="1" applyFill="1" applyBorder="1" applyAlignment="1">
      <alignment horizontal="left" vertical="center"/>
    </xf>
    <xf numFmtId="0" fontId="2" fillId="0" borderId="23" xfId="0" applyFont="1" applyBorder="1" applyAlignment="1">
      <alignment horizontal="left" vertical="center"/>
    </xf>
    <xf numFmtId="0" fontId="2" fillId="42" borderId="23" xfId="0" applyFont="1" applyFill="1" applyBorder="1" applyAlignment="1">
      <alignment vertical="center"/>
    </xf>
    <xf numFmtId="0" fontId="2" fillId="43" borderId="23" xfId="0" applyFont="1" applyFill="1" applyBorder="1" applyAlignment="1">
      <alignment vertical="center"/>
    </xf>
    <xf numFmtId="0" fontId="2" fillId="44" borderId="23" xfId="0" applyFont="1" applyFill="1" applyBorder="1" applyAlignment="1">
      <alignment vertical="center"/>
    </xf>
    <xf numFmtId="0" fontId="2" fillId="45" borderId="23" xfId="0" applyFont="1" applyFill="1" applyBorder="1" applyAlignment="1">
      <alignment horizontal="left" vertical="center"/>
    </xf>
    <xf numFmtId="0" fontId="2" fillId="46" borderId="23" xfId="0" applyFont="1" applyFill="1" applyBorder="1" applyAlignment="1">
      <alignment horizontal="left" vertical="center"/>
    </xf>
    <xf numFmtId="174" fontId="6" fillId="6" borderId="23" xfId="0" applyNumberFormat="1" applyFont="1" applyFill="1" applyBorder="1" applyAlignment="1">
      <alignment horizontal="center" vertical="center"/>
    </xf>
    <xf numFmtId="168" fontId="2" fillId="47" borderId="23" xfId="0" applyNumberFormat="1" applyFont="1" applyFill="1" applyBorder="1" applyAlignment="1">
      <alignment horizontal="center" vertical="center"/>
    </xf>
    <xf numFmtId="2" fontId="6" fillId="6" borderId="21" xfId="0" applyNumberFormat="1" applyFont="1" applyFill="1" applyBorder="1" applyAlignment="1">
      <alignment horizontal="center" vertical="center"/>
    </xf>
    <xf numFmtId="0" fontId="2" fillId="0" borderId="23" xfId="0" applyFont="1" applyBorder="1" applyAlignment="1">
      <alignment horizontal="center" vertical="center"/>
    </xf>
    <xf numFmtId="2" fontId="6" fillId="6" borderId="9" xfId="0" applyNumberFormat="1" applyFont="1" applyFill="1" applyBorder="1" applyAlignment="1">
      <alignment horizontal="center" vertical="center"/>
    </xf>
    <xf numFmtId="2" fontId="6" fillId="6" borderId="22" xfId="0" applyNumberFormat="1" applyFont="1" applyFill="1" applyBorder="1" applyAlignment="1">
      <alignment horizontal="center" vertical="center"/>
    </xf>
    <xf numFmtId="0" fontId="12" fillId="6" borderId="23" xfId="0" applyFont="1" applyFill="1" applyBorder="1"/>
    <xf numFmtId="0" fontId="25" fillId="0" borderId="0" xfId="1" applyAlignment="1">
      <alignment horizontal="left" vertical="center"/>
    </xf>
    <xf numFmtId="0" fontId="16" fillId="6" borderId="23" xfId="0" applyFont="1" applyFill="1" applyBorder="1" applyAlignment="1">
      <alignment horizontal="center"/>
    </xf>
    <xf numFmtId="0" fontId="16" fillId="6" borderId="21" xfId="0" applyFont="1" applyFill="1" applyBorder="1" applyAlignment="1">
      <alignment horizontal="center"/>
    </xf>
    <xf numFmtId="165" fontId="16" fillId="6" borderId="23" xfId="0" applyNumberFormat="1" applyFont="1" applyFill="1" applyBorder="1" applyAlignment="1">
      <alignment horizontal="center"/>
    </xf>
    <xf numFmtId="2" fontId="12" fillId="6" borderId="23" xfId="0" applyNumberFormat="1" applyFont="1" applyFill="1" applyBorder="1" applyAlignment="1">
      <alignment horizontal="center"/>
    </xf>
    <xf numFmtId="0" fontId="8" fillId="48" borderId="28" xfId="0" applyFont="1" applyFill="1" applyBorder="1" applyAlignment="1">
      <alignment horizontal="center"/>
    </xf>
    <xf numFmtId="2" fontId="12" fillId="6" borderId="33" xfId="0" applyNumberFormat="1" applyFont="1" applyFill="1" applyBorder="1" applyAlignment="1">
      <alignment horizontal="center"/>
    </xf>
    <xf numFmtId="0" fontId="16" fillId="4" borderId="27" xfId="0" applyFont="1" applyFill="1" applyBorder="1"/>
    <xf numFmtId="0" fontId="16" fillId="6" borderId="28" xfId="0" applyFont="1" applyFill="1" applyBorder="1"/>
    <xf numFmtId="0" fontId="12" fillId="4" borderId="30" xfId="0" applyFont="1" applyFill="1" applyBorder="1"/>
    <xf numFmtId="0" fontId="12" fillId="4" borderId="32" xfId="0" applyFont="1" applyFill="1" applyBorder="1"/>
    <xf numFmtId="0" fontId="12" fillId="6" borderId="33" xfId="0" applyFont="1" applyFill="1" applyBorder="1"/>
    <xf numFmtId="0" fontId="6" fillId="8" borderId="29" xfId="0" applyFont="1" applyFill="1" applyBorder="1" applyAlignment="1">
      <alignment horizontal="center" vertical="center"/>
    </xf>
    <xf numFmtId="164" fontId="2" fillId="49" borderId="31" xfId="0" applyNumberFormat="1" applyFont="1" applyFill="1" applyBorder="1" applyAlignment="1">
      <alignment horizontal="center" vertical="center"/>
    </xf>
    <xf numFmtId="0" fontId="6" fillId="49" borderId="31" xfId="0" applyFont="1" applyFill="1" applyBorder="1" applyAlignment="1">
      <alignment horizontal="center" vertical="center"/>
    </xf>
    <xf numFmtId="164" fontId="6" fillId="49" borderId="34" xfId="0" applyNumberFormat="1" applyFont="1" applyFill="1" applyBorder="1" applyAlignment="1">
      <alignment horizontal="center" vertical="center"/>
    </xf>
    <xf numFmtId="2" fontId="16" fillId="6" borderId="23" xfId="0" applyNumberFormat="1" applyFont="1" applyFill="1" applyBorder="1" applyAlignment="1">
      <alignment horizontal="center"/>
    </xf>
    <xf numFmtId="0" fontId="16" fillId="6" borderId="23" xfId="0" applyFont="1" applyFill="1" applyBorder="1"/>
    <xf numFmtId="169" fontId="16" fillId="6" borderId="23" xfId="0" applyNumberFormat="1" applyFont="1" applyFill="1" applyBorder="1" applyAlignment="1">
      <alignment horizontal="center"/>
    </xf>
    <xf numFmtId="169" fontId="16" fillId="6" borderId="21" xfId="0" applyNumberFormat="1" applyFont="1" applyFill="1" applyBorder="1" applyAlignment="1">
      <alignment horizontal="center"/>
    </xf>
    <xf numFmtId="0" fontId="12" fillId="4" borderId="1" xfId="0" applyFont="1" applyFill="1" applyBorder="1"/>
    <xf numFmtId="0" fontId="16" fillId="4" borderId="7" xfId="0" applyFont="1" applyFill="1" applyBorder="1"/>
    <xf numFmtId="0" fontId="12" fillId="4" borderId="7" xfId="0" applyFont="1" applyFill="1" applyBorder="1"/>
    <xf numFmtId="0" fontId="12" fillId="4" borderId="8" xfId="0" applyFont="1" applyFill="1" applyBorder="1"/>
    <xf numFmtId="0" fontId="12" fillId="4" borderId="26" xfId="0" applyFont="1" applyFill="1" applyBorder="1"/>
    <xf numFmtId="0" fontId="7" fillId="4" borderId="23" xfId="0" applyFont="1" applyFill="1" applyBorder="1"/>
    <xf numFmtId="0" fontId="8" fillId="48" borderId="23" xfId="0" applyFont="1" applyFill="1" applyBorder="1"/>
    <xf numFmtId="0" fontId="8" fillId="48" borderId="21" xfId="0" applyFont="1" applyFill="1" applyBorder="1"/>
    <xf numFmtId="0" fontId="16" fillId="4" borderId="11" xfId="0" applyFont="1" applyFill="1" applyBorder="1"/>
    <xf numFmtId="0" fontId="12" fillId="4" borderId="9" xfId="0" applyFont="1" applyFill="1" applyBorder="1"/>
    <xf numFmtId="0" fontId="12" fillId="4" borderId="22" xfId="0" applyFont="1" applyFill="1" applyBorder="1"/>
    <xf numFmtId="165" fontId="16" fillId="6" borderId="23" xfId="0" applyNumberFormat="1" applyFont="1" applyFill="1" applyBorder="1"/>
    <xf numFmtId="165" fontId="16" fillId="6" borderId="21" xfId="0" applyNumberFormat="1" applyFont="1" applyFill="1" applyBorder="1"/>
    <xf numFmtId="169" fontId="16" fillId="6" borderId="23" xfId="0" applyNumberFormat="1" applyFont="1" applyFill="1" applyBorder="1"/>
    <xf numFmtId="169" fontId="16" fillId="6" borderId="21" xfId="0" applyNumberFormat="1" applyFont="1" applyFill="1" applyBorder="1"/>
    <xf numFmtId="0" fontId="8" fillId="48" borderId="23" xfId="0" applyFont="1" applyFill="1" applyBorder="1" applyAlignment="1">
      <alignment horizontal="center" vertical="center"/>
    </xf>
    <xf numFmtId="0" fontId="8" fillId="48" borderId="21" xfId="0" applyFont="1" applyFill="1" applyBorder="1" applyAlignment="1">
      <alignment horizontal="center" vertical="center"/>
    </xf>
    <xf numFmtId="169" fontId="16" fillId="6" borderId="23" xfId="0" applyNumberFormat="1" applyFont="1" applyFill="1" applyBorder="1" applyAlignment="1">
      <alignment horizontal="center" vertical="center"/>
    </xf>
    <xf numFmtId="165" fontId="16" fillId="6" borderId="23" xfId="0" applyNumberFormat="1" applyFont="1" applyFill="1" applyBorder="1" applyAlignment="1">
      <alignment horizontal="center" vertical="center"/>
    </xf>
    <xf numFmtId="165" fontId="16" fillId="6" borderId="21" xfId="0" applyNumberFormat="1" applyFont="1" applyFill="1" applyBorder="1" applyAlignment="1">
      <alignment horizontal="center" vertical="center"/>
    </xf>
    <xf numFmtId="0" fontId="12" fillId="4" borderId="9" xfId="0" applyFont="1" applyFill="1" applyBorder="1" applyAlignment="1">
      <alignment horizontal="center" vertical="center"/>
    </xf>
    <xf numFmtId="0" fontId="12" fillId="4" borderId="22" xfId="0" applyFont="1" applyFill="1" applyBorder="1" applyAlignment="1">
      <alignment horizontal="center" vertical="center"/>
    </xf>
    <xf numFmtId="0" fontId="2" fillId="50" borderId="23" xfId="0" applyFont="1" applyFill="1" applyBorder="1" applyAlignment="1">
      <alignment horizontal="center" vertical="center"/>
    </xf>
    <xf numFmtId="0" fontId="25" fillId="6" borderId="23" xfId="1" applyFill="1" applyBorder="1" applyAlignment="1">
      <alignment horizontal="center" vertical="center"/>
    </xf>
    <xf numFmtId="0" fontId="2" fillId="47" borderId="23" xfId="0" applyFont="1" applyFill="1" applyBorder="1" applyAlignment="1">
      <alignment horizontal="center" vertical="center"/>
    </xf>
    <xf numFmtId="0" fontId="6" fillId="51" borderId="23" xfId="0" applyFont="1" applyFill="1" applyBorder="1" applyAlignment="1">
      <alignment horizontal="center" vertical="center"/>
    </xf>
    <xf numFmtId="0" fontId="6" fillId="52" borderId="23" xfId="0" applyFont="1" applyFill="1" applyBorder="1" applyAlignment="1">
      <alignment vertical="center"/>
    </xf>
    <xf numFmtId="0" fontId="2" fillId="52" borderId="23" xfId="0" applyFont="1" applyFill="1" applyBorder="1" applyAlignment="1">
      <alignment vertical="center"/>
    </xf>
    <xf numFmtId="0" fontId="2" fillId="52" borderId="23" xfId="0" applyFont="1" applyFill="1" applyBorder="1" applyAlignment="1">
      <alignment horizontal="center" vertical="center"/>
    </xf>
    <xf numFmtId="0" fontId="6" fillId="52" borderId="23" xfId="0" applyFont="1" applyFill="1" applyBorder="1" applyAlignment="1">
      <alignment horizontal="center" vertical="center"/>
    </xf>
    <xf numFmtId="174" fontId="2" fillId="52" borderId="23" xfId="0" applyNumberFormat="1" applyFont="1" applyFill="1" applyBorder="1" applyAlignment="1">
      <alignment horizontal="center" vertical="center"/>
    </xf>
    <xf numFmtId="174" fontId="6" fillId="52" borderId="23" xfId="0" applyNumberFormat="1" applyFont="1" applyFill="1" applyBorder="1" applyAlignment="1">
      <alignment horizontal="center" vertical="center"/>
    </xf>
    <xf numFmtId="2" fontId="6" fillId="52" borderId="23" xfId="0" applyNumberFormat="1" applyFont="1" applyFill="1" applyBorder="1" applyAlignment="1">
      <alignment horizontal="center" vertical="center"/>
    </xf>
    <xf numFmtId="170" fontId="6" fillId="52" borderId="23" xfId="0" applyNumberFormat="1" applyFont="1" applyFill="1" applyBorder="1" applyAlignment="1">
      <alignment horizontal="center" vertical="center"/>
    </xf>
    <xf numFmtId="0" fontId="6" fillId="53" borderId="23" xfId="0" applyFont="1" applyFill="1" applyBorder="1" applyAlignment="1">
      <alignment horizontal="center" vertical="center"/>
    </xf>
    <xf numFmtId="176" fontId="2" fillId="53" borderId="23" xfId="0" applyNumberFormat="1" applyFont="1" applyFill="1" applyBorder="1" applyAlignment="1">
      <alignment horizontal="center" vertical="center"/>
    </xf>
    <xf numFmtId="176" fontId="6" fillId="52" borderId="23" xfId="0" applyNumberFormat="1" applyFont="1" applyFill="1" applyBorder="1" applyAlignment="1">
      <alignment horizontal="center" vertical="center"/>
    </xf>
    <xf numFmtId="176" fontId="2" fillId="52" borderId="23" xfId="0" applyNumberFormat="1" applyFont="1" applyFill="1" applyBorder="1" applyAlignment="1">
      <alignment horizontal="center" vertical="center"/>
    </xf>
    <xf numFmtId="0" fontId="6" fillId="42" borderId="23" xfId="0" applyFont="1" applyFill="1" applyBorder="1" applyAlignment="1">
      <alignment vertical="center"/>
    </xf>
    <xf numFmtId="0" fontId="2" fillId="47" borderId="23" xfId="0" applyFont="1" applyFill="1" applyBorder="1" applyAlignment="1">
      <alignment vertical="center"/>
    </xf>
    <xf numFmtId="0" fontId="26" fillId="0" borderId="0" xfId="0" applyFont="1"/>
    <xf numFmtId="0" fontId="26" fillId="0" borderId="0" xfId="0" applyFont="1" applyAlignment="1">
      <alignment horizontal="center"/>
    </xf>
    <xf numFmtId="11" fontId="2" fillId="0" borderId="0" xfId="0" applyNumberFormat="1" applyFont="1" applyAlignment="1">
      <alignment horizontal="center" vertical="center"/>
    </xf>
    <xf numFmtId="11" fontId="13" fillId="15" borderId="23" xfId="0" applyNumberFormat="1" applyFont="1" applyFill="1" applyBorder="1" applyAlignment="1">
      <alignment horizontal="center" vertical="center"/>
    </xf>
    <xf numFmtId="11" fontId="2" fillId="52" borderId="23" xfId="0" applyNumberFormat="1" applyFont="1" applyFill="1" applyBorder="1" applyAlignment="1">
      <alignment horizontal="center" vertical="center"/>
    </xf>
    <xf numFmtId="11" fontId="2" fillId="53" borderId="23" xfId="0" applyNumberFormat="1" applyFont="1" applyFill="1" applyBorder="1" applyAlignment="1">
      <alignment horizontal="center" vertical="center"/>
    </xf>
    <xf numFmtId="0" fontId="26" fillId="0" borderId="23" xfId="0" applyFont="1" applyBorder="1"/>
    <xf numFmtId="0" fontId="26" fillId="0" borderId="21" xfId="0" applyFont="1" applyBorder="1"/>
    <xf numFmtId="0" fontId="26" fillId="0" borderId="21" xfId="0" applyFont="1" applyBorder="1" applyAlignment="1">
      <alignment horizontal="left" vertical="top" wrapText="1"/>
    </xf>
    <xf numFmtId="0" fontId="26" fillId="0" borderId="26" xfId="0" applyFont="1" applyBorder="1"/>
    <xf numFmtId="0" fontId="26" fillId="0" borderId="11" xfId="0" applyFont="1" applyBorder="1"/>
    <xf numFmtId="0" fontId="26" fillId="0" borderId="9" xfId="0" applyFont="1" applyBorder="1"/>
    <xf numFmtId="0" fontId="26" fillId="0" borderId="22" xfId="0" applyFont="1" applyBorder="1"/>
    <xf numFmtId="0" fontId="27" fillId="54" borderId="35" xfId="0" applyFont="1" applyFill="1" applyBorder="1" applyAlignment="1">
      <alignment horizontal="center" vertical="center"/>
    </xf>
    <xf numFmtId="0" fontId="27" fillId="54" borderId="36" xfId="0" applyFont="1" applyFill="1" applyBorder="1" applyAlignment="1">
      <alignment horizontal="center" vertical="center"/>
    </xf>
    <xf numFmtId="0" fontId="28" fillId="54" borderId="36" xfId="0" applyFont="1" applyFill="1" applyBorder="1" applyAlignment="1">
      <alignment horizontal="center" vertical="center"/>
    </xf>
    <xf numFmtId="0" fontId="27" fillId="54" borderId="37" xfId="0" applyFont="1" applyFill="1" applyBorder="1" applyAlignment="1">
      <alignment horizontal="center" vertical="center"/>
    </xf>
    <xf numFmtId="0" fontId="26" fillId="0" borderId="23" xfId="0" applyFont="1" applyBorder="1" applyAlignment="1">
      <alignment horizontal="center"/>
    </xf>
    <xf numFmtId="0" fontId="26" fillId="0" borderId="23" xfId="0" applyFont="1" applyBorder="1" applyAlignment="1">
      <alignment horizontal="center" vertical="center"/>
    </xf>
    <xf numFmtId="0" fontId="26" fillId="0" borderId="9" xfId="0" applyFont="1" applyBorder="1" applyAlignment="1">
      <alignment horizontal="center"/>
    </xf>
    <xf numFmtId="0" fontId="0" fillId="0" borderId="0" xfId="0" applyAlignment="1">
      <alignment horizontal="center"/>
    </xf>
    <xf numFmtId="0" fontId="29" fillId="0" borderId="23" xfId="0" applyFont="1" applyBorder="1"/>
    <xf numFmtId="0" fontId="30" fillId="0" borderId="23" xfId="0" applyFont="1" applyBorder="1"/>
    <xf numFmtId="0" fontId="29" fillId="0" borderId="38" xfId="0" applyFont="1" applyBorder="1"/>
    <xf numFmtId="0" fontId="30" fillId="0" borderId="38" xfId="0" applyFont="1" applyBorder="1"/>
    <xf numFmtId="0" fontId="29" fillId="55" borderId="23" xfId="0" applyFont="1" applyFill="1" applyBorder="1"/>
    <xf numFmtId="0" fontId="31" fillId="0" borderId="23" xfId="0" applyFont="1" applyBorder="1" applyAlignment="1">
      <alignment wrapText="1"/>
    </xf>
    <xf numFmtId="0" fontId="31" fillId="0" borderId="23" xfId="0" applyFont="1" applyBorder="1"/>
    <xf numFmtId="0" fontId="0" fillId="47" borderId="0" xfId="0" applyFill="1"/>
    <xf numFmtId="0" fontId="6" fillId="28" borderId="26" xfId="0" applyFont="1" applyFill="1" applyBorder="1" applyAlignment="1">
      <alignment horizontal="center" vertical="center" textRotation="90"/>
    </xf>
    <xf numFmtId="0" fontId="2" fillId="0" borderId="0" xfId="0" applyFont="1" applyAlignment="1">
      <alignment horizontal="center" vertical="center"/>
    </xf>
    <xf numFmtId="0" fontId="5" fillId="3" borderId="25" xfId="0" applyFont="1" applyFill="1" applyBorder="1" applyAlignment="1">
      <alignment horizontal="left" vertical="center"/>
    </xf>
    <xf numFmtId="0" fontId="2" fillId="2" borderId="23" xfId="0" applyFont="1" applyFill="1" applyBorder="1" applyAlignment="1">
      <alignment horizontal="center" vertical="center" wrapText="1"/>
    </xf>
    <xf numFmtId="0" fontId="3" fillId="0" borderId="23" xfId="0" applyFont="1" applyBorder="1"/>
    <xf numFmtId="0" fontId="0" fillId="0" borderId="0" xfId="0"/>
    <xf numFmtId="0" fontId="2" fillId="0" borderId="0" xfId="0" applyFont="1" applyAlignment="1">
      <alignment horizontal="center" vertical="center" wrapText="1"/>
    </xf>
    <xf numFmtId="0" fontId="26" fillId="0" borderId="26" xfId="0" applyFont="1" applyBorder="1" applyAlignment="1">
      <alignment horizontal="center" vertical="center"/>
    </xf>
    <xf numFmtId="14" fontId="26" fillId="0" borderId="23" xfId="0" applyNumberFormat="1" applyFont="1" applyBorder="1" applyAlignment="1">
      <alignment horizontal="center" vertical="center"/>
    </xf>
    <xf numFmtId="0" fontId="5" fillId="3" borderId="12" xfId="0" applyFont="1" applyFill="1" applyBorder="1" applyAlignment="1">
      <alignment horizontal="center" vertical="center"/>
    </xf>
    <xf numFmtId="0" fontId="3" fillId="0" borderId="25" xfId="0" applyFont="1" applyBorder="1"/>
    <xf numFmtId="0" fontId="3" fillId="0" borderId="13" xfId="0" applyFont="1" applyBorder="1"/>
    <xf numFmtId="2" fontId="2" fillId="24" borderId="23" xfId="0" applyNumberFormat="1" applyFont="1" applyFill="1" applyBorder="1" applyAlignment="1">
      <alignment horizontal="center" vertical="center"/>
    </xf>
    <xf numFmtId="0" fontId="6" fillId="7" borderId="26" xfId="0" applyFont="1" applyFill="1" applyBorder="1" applyAlignment="1">
      <alignment horizontal="center" vertical="center" textRotation="90"/>
    </xf>
    <xf numFmtId="0" fontId="3" fillId="0" borderId="26" xfId="0" applyFont="1" applyBorder="1"/>
    <xf numFmtId="0" fontId="3" fillId="0" borderId="11" xfId="0" applyFont="1" applyBorder="1"/>
    <xf numFmtId="0" fontId="6" fillId="19" borderId="26" xfId="0" applyFont="1" applyFill="1" applyBorder="1" applyAlignment="1">
      <alignment horizontal="center" vertical="center" textRotation="90"/>
    </xf>
    <xf numFmtId="0" fontId="19" fillId="24" borderId="7" xfId="0" applyFont="1" applyFill="1" applyBorder="1" applyAlignment="1">
      <alignment horizontal="center" vertical="center"/>
    </xf>
    <xf numFmtId="0" fontId="3" fillId="0" borderId="7" xfId="0" applyFont="1" applyBorder="1"/>
    <xf numFmtId="0" fontId="10" fillId="19" borderId="23" xfId="0" applyFont="1" applyFill="1" applyBorder="1" applyAlignment="1">
      <alignment horizontal="center" vertical="center" wrapText="1"/>
    </xf>
    <xf numFmtId="0" fontId="3" fillId="0" borderId="9" xfId="0" applyFont="1" applyBorder="1"/>
    <xf numFmtId="0" fontId="6" fillId="0" borderId="26" xfId="0" applyFont="1" applyBorder="1" applyAlignment="1">
      <alignment horizontal="center" vertical="center"/>
    </xf>
    <xf numFmtId="0" fontId="6" fillId="28" borderId="26" xfId="0" applyFont="1" applyFill="1" applyBorder="1" applyAlignment="1">
      <alignment horizontal="center" vertical="center" textRotation="90"/>
    </xf>
    <xf numFmtId="0" fontId="2" fillId="19" borderId="23"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top"/>
    </xf>
    <xf numFmtId="0" fontId="5" fillId="3" borderId="25" xfId="0" applyFont="1" applyFill="1" applyBorder="1" applyAlignment="1">
      <alignment horizontal="left" vertical="center"/>
    </xf>
    <xf numFmtId="0" fontId="5" fillId="3" borderId="25" xfId="0" applyFont="1" applyFill="1" applyBorder="1" applyAlignment="1">
      <alignment horizontal="center" vertical="center"/>
    </xf>
    <xf numFmtId="2" fontId="12" fillId="56" borderId="23" xfId="0" applyNumberFormat="1" applyFont="1" applyFill="1" applyBorder="1" applyAlignment="1">
      <alignment horizontal="center" vertical="center"/>
    </xf>
    <xf numFmtId="2" fontId="2" fillId="57" borderId="23" xfId="0" applyNumberFormat="1" applyFont="1" applyFill="1" applyBorder="1" applyAlignment="1">
      <alignment horizontal="center" vertical="center"/>
    </xf>
    <xf numFmtId="168" fontId="2" fillId="56" borderId="23" xfId="0" applyNumberFormat="1" applyFont="1" applyFill="1" applyBorder="1" applyAlignment="1">
      <alignment horizontal="center" vertical="center"/>
    </xf>
    <xf numFmtId="0" fontId="12" fillId="57" borderId="23" xfId="0" applyFont="1" applyFill="1" applyBorder="1" applyAlignment="1">
      <alignment horizontal="center" vertical="center"/>
    </xf>
    <xf numFmtId="0" fontId="12" fillId="57" borderId="23" xfId="0" applyFont="1" applyFill="1" applyBorder="1"/>
    <xf numFmtId="2" fontId="2" fillId="58" borderId="23" xfId="0" applyNumberFormat="1" applyFont="1" applyFill="1" applyBorder="1" applyAlignment="1">
      <alignment horizontal="center" vertical="center"/>
    </xf>
  </cellXfs>
  <cellStyles count="5">
    <cellStyle name="Hyperlink" xfId="1" xr:uid="{00000000-000B-0000-0000-000008000000}"/>
    <cellStyle name="Hyperlink 2" xfId="4" xr:uid="{5F7D0B88-33DB-41C7-A232-B942FE0F7DE1}"/>
    <cellStyle name="Normal" xfId="0" builtinId="0"/>
    <cellStyle name="Normal 2" xfId="2" xr:uid="{0FD6FE04-5E4F-4A2F-AB94-5FB2073CCBD3}"/>
    <cellStyle name="Percent 2" xfId="3" xr:uid="{49A4B850-8EFF-4783-8764-C1426EF2A03E}"/>
  </cellStyles>
  <dxfs count="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Potencial Hidrocarburífero (Petróleo) [PJ]</a:t>
            </a:r>
          </a:p>
        </c:rich>
      </c:tx>
      <c:overlay val="0"/>
    </c:title>
    <c:autoTitleDeleted val="0"/>
    <c:plotArea>
      <c:layout/>
      <c:barChart>
        <c:barDir val="col"/>
        <c:grouping val="clustered"/>
        <c:varyColors val="1"/>
        <c:ser>
          <c:idx val="0"/>
          <c:order val="0"/>
          <c:tx>
            <c:v>Reservas totales (3P)</c:v>
          </c:tx>
          <c:spPr>
            <a:solidFill>
              <a:srgbClr val="4472C4"/>
            </a:solidFill>
            <a:ln cmpd="sng">
              <a:solidFill>
                <a:srgbClr val="000000"/>
              </a:solidFill>
            </a:ln>
          </c:spPr>
          <c:invertIfNegative val="1"/>
          <c:cat>
            <c:numRef>
              <c:f>Combustibles!$E$1:$H$1</c:f>
              <c:numCache>
                <c:formatCode>General</c:formatCode>
                <c:ptCount val="4"/>
              </c:numCache>
            </c:numRef>
          </c:cat>
          <c:val>
            <c:numRef>
              <c:f>Combustibles!$E$13:$H$13</c:f>
              <c:numCache>
                <c:formatCode>0.00</c:formatCode>
                <c:ptCount val="4"/>
                <c:pt idx="0">
                  <c:v>15672.139761456601</c:v>
                </c:pt>
                <c:pt idx="1">
                  <c:v>13020.378822226839</c:v>
                </c:pt>
                <c:pt idx="2">
                  <c:v>13125.053596143804</c:v>
                </c:pt>
                <c:pt idx="3">
                  <c:v>11985.261613492414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AC3-4428-AFF2-8E86B2F86C15}"/>
            </c:ext>
          </c:extLst>
        </c:ser>
        <c:ser>
          <c:idx val="1"/>
          <c:order val="1"/>
          <c:tx>
            <c:v>Recursos contingentes (3C)</c:v>
          </c:tx>
          <c:spPr>
            <a:solidFill>
              <a:srgbClr val="ED7D31"/>
            </a:solidFill>
            <a:ln cmpd="sng">
              <a:solidFill>
                <a:srgbClr val="000000"/>
              </a:solidFill>
            </a:ln>
          </c:spPr>
          <c:invertIfNegative val="1"/>
          <c:cat>
            <c:numRef>
              <c:f>Combustibles!$E$1:$H$1</c:f>
              <c:numCache>
                <c:formatCode>General</c:formatCode>
                <c:ptCount val="4"/>
              </c:numCache>
            </c:numRef>
          </c:cat>
          <c:val>
            <c:numRef>
              <c:f>Combustibles!$E$14:$H$14</c:f>
              <c:numCache>
                <c:formatCode>0.00</c:formatCode>
                <c:ptCount val="4"/>
                <c:pt idx="0">
                  <c:v>8594.9619916262927</c:v>
                </c:pt>
                <c:pt idx="1">
                  <c:v>9891.7661351531278</c:v>
                </c:pt>
                <c:pt idx="2">
                  <c:v>10258.127843862503</c:v>
                </c:pt>
                <c:pt idx="3">
                  <c:v>7100.4388307007457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AC3-4428-AFF2-8E86B2F86C15}"/>
            </c:ext>
          </c:extLst>
        </c:ser>
        <c:ser>
          <c:idx val="2"/>
          <c:order val="2"/>
          <c:tx>
            <c:v>Recursos prospectivos</c:v>
          </c:tx>
          <c:spPr>
            <a:solidFill>
              <a:srgbClr val="A5A5A5"/>
            </a:solidFill>
            <a:ln cmpd="sng">
              <a:solidFill>
                <a:srgbClr val="000000"/>
              </a:solidFill>
            </a:ln>
          </c:spPr>
          <c:invertIfNegative val="1"/>
          <c:cat>
            <c:numRef>
              <c:f>Combustibles!$E$1:$H$1</c:f>
              <c:numCache>
                <c:formatCode>General</c:formatCode>
                <c:ptCount val="4"/>
              </c:numCache>
            </c:numRef>
          </c:cat>
          <c:val>
            <c:numRef>
              <c:f>Combustibles!$E$15:$H$15</c:f>
              <c:numCache>
                <c:formatCode>0.00</c:formatCode>
                <c:ptCount val="4"/>
                <c:pt idx="0">
                  <c:v>4425.4168306005467</c:v>
                </c:pt>
                <c:pt idx="1">
                  <c:v>4483.5694827766383</c:v>
                </c:pt>
                <c:pt idx="2">
                  <c:v>4425.4168306005467</c:v>
                </c:pt>
                <c:pt idx="3">
                  <c:v>4855.7464567036222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AC3-4428-AFF2-8E86B2F86C15}"/>
            </c:ext>
          </c:extLst>
        </c:ser>
        <c:ser>
          <c:idx val="3"/>
          <c:order val="3"/>
          <c:invertIfNegative val="1"/>
          <c:cat>
            <c:numRef>
              <c:f>Combustibles!$E$1:$H$1</c:f>
              <c:numCache>
                <c:formatCode>General</c:formatCode>
                <c:ptCount val="4"/>
              </c:numCache>
            </c:numRef>
          </c:cat>
          <c:val>
            <c:numRef>
              <c:f>Combustibles!$E$6:$H$6</c:f>
              <c:numCache>
                <c:formatCode>0.00</c:formatCode>
                <c:ptCount val="4"/>
                <c:pt idx="0">
                  <c:v>9490.5128351380972</c:v>
                </c:pt>
                <c:pt idx="1">
                  <c:v>7577.2905785446947</c:v>
                </c:pt>
                <c:pt idx="2">
                  <c:v>7780.8248611610143</c:v>
                </c:pt>
                <c:pt idx="3">
                  <c:v>7966.9133481245062</c:v>
                </c:pt>
              </c:numCache>
            </c:numRef>
          </c:val>
          <c:extLst>
            <c:ext xmlns:c16="http://schemas.microsoft.com/office/drawing/2014/chart" uri="{C3380CC4-5D6E-409C-BE32-E72D297353CC}">
              <c16:uniqueId val="{00000003-BAC3-4428-AFF2-8E86B2F86C15}"/>
            </c:ext>
          </c:extLst>
        </c:ser>
        <c:dLbls>
          <c:showLegendKey val="0"/>
          <c:showVal val="0"/>
          <c:showCatName val="0"/>
          <c:showSerName val="0"/>
          <c:showPercent val="0"/>
          <c:showBubbleSize val="0"/>
        </c:dLbls>
        <c:gapWidth val="150"/>
        <c:axId val="144583109"/>
        <c:axId val="1984615188"/>
      </c:barChart>
      <c:catAx>
        <c:axId val="14458310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84615188"/>
        <c:crosses val="autoZero"/>
        <c:auto val="1"/>
        <c:lblAlgn val="ctr"/>
        <c:lblOffset val="100"/>
        <c:noMultiLvlLbl val="1"/>
      </c:catAx>
      <c:valAx>
        <c:axId val="19846151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4458310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Potencial Hidrocarburífero (Gas Natural) [PJ]</a:t>
            </a:r>
          </a:p>
        </c:rich>
      </c:tx>
      <c:overlay val="0"/>
    </c:title>
    <c:autoTitleDeleted val="0"/>
    <c:plotArea>
      <c:layout/>
      <c:barChart>
        <c:barDir val="col"/>
        <c:grouping val="clustered"/>
        <c:varyColors val="1"/>
        <c:ser>
          <c:idx val="0"/>
          <c:order val="0"/>
          <c:tx>
            <c:v>Reservas totales (3P)</c:v>
          </c:tx>
          <c:spPr>
            <a:solidFill>
              <a:srgbClr val="4472C4"/>
            </a:solidFill>
            <a:ln cmpd="sng">
              <a:solidFill>
                <a:srgbClr val="000000"/>
              </a:solidFill>
            </a:ln>
          </c:spPr>
          <c:invertIfNegative val="1"/>
          <c:cat>
            <c:numRef>
              <c:f>Combustibles!$E$1:$H$1</c:f>
              <c:numCache>
                <c:formatCode>General</c:formatCode>
                <c:ptCount val="4"/>
              </c:numCache>
            </c:numRef>
          </c:cat>
          <c:val>
            <c:numRef>
              <c:f>Combustibles!$E$18:$H$18</c:f>
              <c:numCache>
                <c:formatCode>0.00</c:formatCode>
                <c:ptCount val="4"/>
                <c:pt idx="0">
                  <c:v>448.87338330156115</c:v>
                </c:pt>
                <c:pt idx="1">
                  <c:v>424.24835040891514</c:v>
                </c:pt>
                <c:pt idx="2">
                  <c:v>409.43911011807381</c:v>
                </c:pt>
                <c:pt idx="3">
                  <c:v>418.7042271180942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4AF-4ED3-BDC6-A87DB16A6F7D}"/>
            </c:ext>
          </c:extLst>
        </c:ser>
        <c:ser>
          <c:idx val="1"/>
          <c:order val="1"/>
          <c:invertIfNegative val="1"/>
          <c:cat>
            <c:numRef>
              <c:f>Combustibles!$E$1:$H$1</c:f>
              <c:numCache>
                <c:formatCode>General</c:formatCode>
                <c:ptCount val="4"/>
              </c:numCache>
            </c:numRef>
          </c:cat>
          <c:val>
            <c:numRef>
              <c:f>Combustibles!$E$7:$H$7</c:f>
              <c:numCache>
                <c:formatCode>0.00</c:formatCode>
                <c:ptCount val="4"/>
                <c:pt idx="0">
                  <c:v>162.95572741014428</c:v>
                </c:pt>
                <c:pt idx="1">
                  <c:v>151.75636235885662</c:v>
                </c:pt>
                <c:pt idx="2">
                  <c:v>137.36406216650911</c:v>
                </c:pt>
                <c:pt idx="3">
                  <c:v>146.6301625158184</c:v>
                </c:pt>
              </c:numCache>
            </c:numRef>
          </c:val>
          <c:extLst>
            <c:ext xmlns:c16="http://schemas.microsoft.com/office/drawing/2014/chart" uri="{C3380CC4-5D6E-409C-BE32-E72D297353CC}">
              <c16:uniqueId val="{00000001-14AF-4ED3-BDC6-A87DB16A6F7D}"/>
            </c:ext>
          </c:extLst>
        </c:ser>
        <c:dLbls>
          <c:showLegendKey val="0"/>
          <c:showVal val="0"/>
          <c:showCatName val="0"/>
          <c:showSerName val="0"/>
          <c:showPercent val="0"/>
          <c:showBubbleSize val="0"/>
        </c:dLbls>
        <c:gapWidth val="150"/>
        <c:axId val="76665003"/>
        <c:axId val="1340056088"/>
      </c:barChart>
      <c:catAx>
        <c:axId val="7666500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40056088"/>
        <c:crosses val="autoZero"/>
        <c:auto val="1"/>
        <c:lblAlgn val="ctr"/>
        <c:lblOffset val="100"/>
        <c:noMultiLvlLbl val="1"/>
      </c:catAx>
      <c:valAx>
        <c:axId val="13400560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7666500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Extracción anual de Energías Primarias [PJ]</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Combustibles!$E$23:$H$23</c:f>
              <c:numCache>
                <c:formatCode>0.00</c:formatCode>
                <c:ptCount val="4"/>
                <c:pt idx="0">
                  <c:v>1097.878398599383</c:v>
                </c:pt>
                <c:pt idx="1">
                  <c:v>1127.0919271240762</c:v>
                </c:pt>
                <c:pt idx="2">
                  <c:v>1020.2948788011633</c:v>
                </c:pt>
                <c:pt idx="3">
                  <c:v>1003.7064939177933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39A-4256-9FC5-98A92FD8E75D}"/>
            </c:ext>
          </c:extLst>
        </c:ser>
        <c:ser>
          <c:idx val="1"/>
          <c:order val="1"/>
          <c:invertIfNegative val="1"/>
          <c:cat>
            <c:numRef>
              <c:f>Combustibles!$E$1:$H$1</c:f>
              <c:numCache>
                <c:formatCode>General</c:formatCode>
                <c:ptCount val="4"/>
              </c:numCache>
            </c:numRef>
          </c:cat>
          <c:val>
            <c:numRef>
              <c:f>Combustibles!$E$24:$H$24</c:f>
              <c:numCache>
                <c:formatCode>0.00</c:formatCode>
                <c:ptCount val="4"/>
                <c:pt idx="0">
                  <c:v>52.855462473874809</c:v>
                </c:pt>
                <c:pt idx="1">
                  <c:v>50.38508280529733</c:v>
                </c:pt>
                <c:pt idx="2">
                  <c:v>44.910759214997064</c:v>
                </c:pt>
                <c:pt idx="3">
                  <c:v>45.345474149915098</c:v>
                </c:pt>
              </c:numCache>
            </c:numRef>
          </c:val>
          <c:extLst>
            <c:ext xmlns:c16="http://schemas.microsoft.com/office/drawing/2014/chart" uri="{C3380CC4-5D6E-409C-BE32-E72D297353CC}">
              <c16:uniqueId val="{00000001-739A-4256-9FC5-98A92FD8E75D}"/>
            </c:ext>
          </c:extLst>
        </c:ser>
        <c:dLbls>
          <c:showLegendKey val="0"/>
          <c:showVal val="0"/>
          <c:showCatName val="0"/>
          <c:showSerName val="0"/>
          <c:showPercent val="0"/>
          <c:showBubbleSize val="0"/>
        </c:dLbls>
        <c:gapWidth val="150"/>
        <c:overlap val="100"/>
        <c:axId val="1234485438"/>
        <c:axId val="2034140179"/>
      </c:barChart>
      <c:catAx>
        <c:axId val="123448543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34140179"/>
        <c:crosses val="autoZero"/>
        <c:auto val="1"/>
        <c:lblAlgn val="ctr"/>
        <c:lblOffset val="100"/>
        <c:noMultiLvlLbl val="1"/>
      </c:catAx>
      <c:valAx>
        <c:axId val="20341401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23448543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Entradas y Salidas de Energía de la Refinería Esmeraldas </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Combustibles!$E$57:$H$57</c:f>
              <c:numCache>
                <c:formatCode>0.00</c:formatCode>
                <c:ptCount val="4"/>
                <c:pt idx="0">
                  <c:v>-205.81510168580186</c:v>
                </c:pt>
                <c:pt idx="1">
                  <c:v>-186.99043256340056</c:v>
                </c:pt>
                <c:pt idx="2">
                  <c:v>-152.82312521336473</c:v>
                </c:pt>
                <c:pt idx="3">
                  <c:v>-191.3260229693748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63-4791-B28C-EE77C62B5EDB}"/>
            </c:ext>
          </c:extLst>
        </c:ser>
        <c:ser>
          <c:idx val="1"/>
          <c:order val="1"/>
          <c:tx>
            <c:v>Diésel Oil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Combustibles!$E$77:$H$77</c:f>
              <c:numCache>
                <c:formatCode>0.0000</c:formatCode>
                <c:ptCount val="4"/>
                <c:pt idx="0">
                  <c:v>46.266364399412396</c:v>
                </c:pt>
                <c:pt idx="1">
                  <c:v>45.714524864740042</c:v>
                </c:pt>
                <c:pt idx="2">
                  <c:v>30.879314409784655</c:v>
                </c:pt>
                <c:pt idx="3">
                  <c:v>40.823367106478265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763-4791-B28C-EE77C62B5EDB}"/>
            </c:ext>
          </c:extLst>
        </c:ser>
        <c:ser>
          <c:idx val="2"/>
          <c:order val="2"/>
          <c:tx>
            <c:v>Gasolina</c:v>
          </c:tx>
          <c:spPr>
            <a:solidFill>
              <a:srgbClr val="A5A5A5"/>
            </a:solidFill>
            <a:ln cmpd="sng">
              <a:solidFill>
                <a:srgbClr val="000000"/>
              </a:solidFill>
            </a:ln>
          </c:spPr>
          <c:invertIfNegative val="1"/>
          <c:cat>
            <c:numRef>
              <c:f>Combustibles!$E$1:$H$1</c:f>
              <c:numCache>
                <c:formatCode>General</c:formatCode>
                <c:ptCount val="4"/>
              </c:numCache>
            </c:numRef>
          </c:cat>
          <c:val>
            <c:numRef>
              <c:f>Combustibles!$E$78:$H$78</c:f>
              <c:numCache>
                <c:formatCode>0.0000</c:formatCode>
                <c:ptCount val="4"/>
                <c:pt idx="0">
                  <c:v>47.548200714364853</c:v>
                </c:pt>
                <c:pt idx="1">
                  <c:v>44.109716958021153</c:v>
                </c:pt>
                <c:pt idx="2">
                  <c:v>33.16901169326978</c:v>
                </c:pt>
                <c:pt idx="3">
                  <c:v>37.88868686713689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763-4791-B28C-EE77C62B5EDB}"/>
            </c:ext>
          </c:extLst>
        </c:ser>
        <c:ser>
          <c:idx val="3"/>
          <c:order val="3"/>
          <c:tx>
            <c:v>GLP</c:v>
          </c:tx>
          <c:spPr>
            <a:solidFill>
              <a:srgbClr val="FFC000"/>
            </a:solidFill>
            <a:ln cmpd="sng">
              <a:solidFill>
                <a:srgbClr val="000000"/>
              </a:solidFill>
            </a:ln>
          </c:spPr>
          <c:invertIfNegative val="1"/>
          <c:cat>
            <c:numRef>
              <c:f>Combustibles!$E$1:$H$1</c:f>
              <c:numCache>
                <c:formatCode>General</c:formatCode>
                <c:ptCount val="4"/>
              </c:numCache>
            </c:numRef>
          </c:cat>
          <c:val>
            <c:numRef>
              <c:f>Combustibles!$E$79:$H$79</c:f>
              <c:numCache>
                <c:formatCode>0.0000</c:formatCode>
                <c:ptCount val="4"/>
                <c:pt idx="0">
                  <c:v>5.7008130639457786</c:v>
                </c:pt>
                <c:pt idx="1">
                  <c:v>3.2676672138864493</c:v>
                </c:pt>
                <c:pt idx="2">
                  <c:v>3.8438972066441988</c:v>
                </c:pt>
                <c:pt idx="3">
                  <c:v>3.999809652556455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763-4791-B28C-EE77C62B5EDB}"/>
            </c:ext>
          </c:extLst>
        </c:ser>
        <c:ser>
          <c:idx val="4"/>
          <c:order val="4"/>
          <c:tx>
            <c:v>Fuel Oil</c:v>
          </c:tx>
          <c:spPr>
            <a:solidFill>
              <a:srgbClr val="5B9BD5"/>
            </a:solidFill>
            <a:ln cmpd="sng">
              <a:solidFill>
                <a:srgbClr val="000000"/>
              </a:solidFill>
            </a:ln>
          </c:spPr>
          <c:invertIfNegative val="1"/>
          <c:cat>
            <c:numRef>
              <c:f>Combustibles!$E$1:$H$1</c:f>
              <c:numCache>
                <c:formatCode>General</c:formatCode>
                <c:ptCount val="4"/>
              </c:numCache>
            </c:numRef>
          </c:cat>
          <c:val>
            <c:numRef>
              <c:f>Combustibles!$E$80:$H$80</c:f>
              <c:numCache>
                <c:formatCode>0.0000</c:formatCode>
                <c:ptCount val="4"/>
                <c:pt idx="0">
                  <c:v>79.093466240621282</c:v>
                </c:pt>
                <c:pt idx="1">
                  <c:v>55.54886574626191</c:v>
                </c:pt>
                <c:pt idx="2">
                  <c:v>59.806508648432704</c:v>
                </c:pt>
                <c:pt idx="3">
                  <c:v>77.99964190588409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763-4791-B28C-EE77C62B5EDB}"/>
            </c:ext>
          </c:extLst>
        </c:ser>
        <c:ser>
          <c:idx val="5"/>
          <c:order val="5"/>
          <c:tx>
            <c:v>Jet Fuel</c:v>
          </c:tx>
          <c:spPr>
            <a:solidFill>
              <a:srgbClr val="70AD47"/>
            </a:solidFill>
            <a:ln cmpd="sng">
              <a:solidFill>
                <a:srgbClr val="000000"/>
              </a:solidFill>
            </a:ln>
          </c:spPr>
          <c:invertIfNegative val="1"/>
          <c:cat>
            <c:numRef>
              <c:f>Combustibles!$E$1:$H$1</c:f>
              <c:numCache>
                <c:formatCode>General</c:formatCode>
                <c:ptCount val="4"/>
              </c:numCache>
            </c:numRef>
          </c:cat>
          <c:val>
            <c:numRef>
              <c:f>Combustibles!$E$80:$H$80</c:f>
              <c:numCache>
                <c:formatCode>0.0000</c:formatCode>
                <c:ptCount val="4"/>
                <c:pt idx="0">
                  <c:v>79.093466240621282</c:v>
                </c:pt>
                <c:pt idx="1">
                  <c:v>55.54886574626191</c:v>
                </c:pt>
                <c:pt idx="2">
                  <c:v>59.806508648432704</c:v>
                </c:pt>
                <c:pt idx="3">
                  <c:v>77.99964190588409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F763-4791-B28C-EE77C62B5EDB}"/>
            </c:ext>
          </c:extLst>
        </c:ser>
        <c:ser>
          <c:idx val="6"/>
          <c:order val="6"/>
          <c:tx>
            <c:v>Gases de refinería</c:v>
          </c:tx>
          <c:spPr>
            <a:solidFill>
              <a:srgbClr val="4472C4"/>
            </a:solidFill>
            <a:ln cmpd="sng">
              <a:solidFill>
                <a:srgbClr val="000000"/>
              </a:solidFill>
            </a:ln>
          </c:spPr>
          <c:invertIfNegative val="1"/>
          <c:cat>
            <c:numRef>
              <c:f>Combustibles!$E$1:$H$1</c:f>
              <c:numCache>
                <c:formatCode>General</c:formatCode>
                <c:ptCount val="4"/>
              </c:numCache>
            </c:numRef>
          </c:cat>
          <c:val>
            <c:numRef>
              <c:f>Combustibles!$E$82:$H$82</c:f>
              <c:numCache>
                <c:formatCode>0.0000</c:formatCode>
                <c:ptCount val="4"/>
                <c:pt idx="0">
                  <c:v>2.3406025561488519</c:v>
                </c:pt>
                <c:pt idx="1">
                  <c:v>2.2529303538088472</c:v>
                </c:pt>
                <c:pt idx="2">
                  <c:v>1.8116964666554052</c:v>
                </c:pt>
                <c:pt idx="3">
                  <c:v>2.0050208547727952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F763-4791-B28C-EE77C62B5EDB}"/>
            </c:ext>
          </c:extLst>
        </c:ser>
        <c:ser>
          <c:idx val="7"/>
          <c:order val="7"/>
          <c:invertIfNegative val="1"/>
          <c:cat>
            <c:numRef>
              <c:f>Combustibles!$E$1:$H$1</c:f>
              <c:numCache>
                <c:formatCode>General</c:formatCode>
                <c:ptCount val="4"/>
              </c:numCache>
            </c:numRef>
          </c:cat>
          <c:val>
            <c:numRef>
              <c:f>Combustibles!$E$83:$H$83</c:f>
              <c:numCache>
                <c:formatCode>0.0000</c:formatCode>
                <c:ptCount val="4"/>
                <c:pt idx="0">
                  <c:v>7.9542968597539403</c:v>
                </c:pt>
                <c:pt idx="1">
                  <c:v>7.6952091448430631</c:v>
                </c:pt>
                <c:pt idx="2">
                  <c:v>5.789140422710549</c:v>
                </c:pt>
                <c:pt idx="3">
                  <c:v>6.9855603679515346</c:v>
                </c:pt>
              </c:numCache>
            </c:numRef>
          </c:val>
          <c:extLst>
            <c:ext xmlns:c16="http://schemas.microsoft.com/office/drawing/2014/chart" uri="{C3380CC4-5D6E-409C-BE32-E72D297353CC}">
              <c16:uniqueId val="{00000007-F763-4791-B28C-EE77C62B5EDB}"/>
            </c:ext>
          </c:extLst>
        </c:ser>
        <c:dLbls>
          <c:showLegendKey val="0"/>
          <c:showVal val="0"/>
          <c:showCatName val="0"/>
          <c:showSerName val="0"/>
          <c:showPercent val="0"/>
          <c:showBubbleSize val="0"/>
        </c:dLbls>
        <c:gapWidth val="150"/>
        <c:overlap val="100"/>
        <c:axId val="454320963"/>
        <c:axId val="1727591878"/>
      </c:barChart>
      <c:catAx>
        <c:axId val="45432096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27591878"/>
        <c:crosses val="autoZero"/>
        <c:auto val="1"/>
        <c:lblAlgn val="ctr"/>
        <c:lblOffset val="100"/>
        <c:noMultiLvlLbl val="1"/>
      </c:catAx>
      <c:valAx>
        <c:axId val="1727591878"/>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[PJ]</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45432096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Importación [PJ]</a:t>
            </a:r>
          </a:p>
        </c:rich>
      </c:tx>
      <c:overlay val="0"/>
    </c:title>
    <c:autoTitleDeleted val="0"/>
    <c:plotArea>
      <c:layout/>
      <c:barChart>
        <c:barDir val="col"/>
        <c:grouping val="stacked"/>
        <c:varyColors val="1"/>
        <c:ser>
          <c:idx val="0"/>
          <c:order val="0"/>
          <c:tx>
            <c:v>Diésel oil</c:v>
          </c:tx>
          <c:spPr>
            <a:solidFill>
              <a:srgbClr val="4472C4"/>
            </a:solidFill>
            <a:ln cmpd="sng">
              <a:solidFill>
                <a:srgbClr val="000000"/>
              </a:solidFill>
            </a:ln>
          </c:spPr>
          <c:invertIfNegative val="1"/>
          <c:cat>
            <c:numRef>
              <c:f>Combustibles!$E$1:$H$1</c:f>
              <c:numCache>
                <c:formatCode>General</c:formatCode>
                <c:ptCount val="4"/>
              </c:numCache>
            </c:numRef>
          </c:cat>
          <c:val>
            <c:numRef>
              <c:f>Combustibles!$E$45:$H$45</c:f>
              <c:numCache>
                <c:formatCode>0.00</c:formatCode>
                <c:ptCount val="4"/>
                <c:pt idx="0">
                  <c:v>117.76053434755926</c:v>
                </c:pt>
                <c:pt idx="1">
                  <c:v>124.42923183837271</c:v>
                </c:pt>
                <c:pt idx="2">
                  <c:v>108.25917569387438</c:v>
                </c:pt>
                <c:pt idx="3">
                  <c:v>136.77355671196315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380-454C-9436-0658F4DAE169}"/>
            </c:ext>
          </c:extLst>
        </c:ser>
        <c:ser>
          <c:idx val="1"/>
          <c:order val="1"/>
          <c:tx>
            <c:v>Gasolina</c:v>
          </c:tx>
          <c:spPr>
            <a:solidFill>
              <a:srgbClr val="ED7D31"/>
            </a:solidFill>
            <a:ln cmpd="sng">
              <a:solidFill>
                <a:srgbClr val="000000"/>
              </a:solidFill>
            </a:ln>
          </c:spPr>
          <c:invertIfNegative val="1"/>
          <c:cat>
            <c:numRef>
              <c:f>Combustibles!$E$1:$H$1</c:f>
              <c:numCache>
                <c:formatCode>General</c:formatCode>
                <c:ptCount val="4"/>
              </c:numCache>
            </c:numRef>
          </c:cat>
          <c:val>
            <c:numRef>
              <c:f>Combustibles!$E$46:$H$46</c:f>
              <c:numCache>
                <c:formatCode>0.00</c:formatCode>
                <c:ptCount val="4"/>
                <c:pt idx="0">
                  <c:v>91.607975457177815</c:v>
                </c:pt>
                <c:pt idx="1">
                  <c:v>105.93168609615964</c:v>
                </c:pt>
                <c:pt idx="2">
                  <c:v>78.997084172717436</c:v>
                </c:pt>
                <c:pt idx="3">
                  <c:v>93.045174562286462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380-454C-9436-0658F4DAE169}"/>
            </c:ext>
          </c:extLst>
        </c:ser>
        <c:ser>
          <c:idx val="2"/>
          <c:order val="2"/>
          <c:tx>
            <c:v>GLP</c:v>
          </c:tx>
          <c:spPr>
            <a:solidFill>
              <a:srgbClr val="A5A5A5"/>
            </a:solidFill>
            <a:ln cmpd="sng">
              <a:solidFill>
                <a:srgbClr val="000000"/>
              </a:solidFill>
            </a:ln>
          </c:spPr>
          <c:invertIfNegative val="1"/>
          <c:cat>
            <c:numRef>
              <c:f>Combustibles!$E$1:$H$1</c:f>
              <c:numCache>
                <c:formatCode>General</c:formatCode>
                <c:ptCount val="4"/>
              </c:numCache>
            </c:numRef>
          </c:cat>
          <c:val>
            <c:numRef>
              <c:f>Combustibles!$E$47:$H$47</c:f>
              <c:numCache>
                <c:formatCode>0.00</c:formatCode>
                <c:ptCount val="4"/>
                <c:pt idx="0">
                  <c:v>43.389807172946462</c:v>
                </c:pt>
                <c:pt idx="1">
                  <c:v>47.274511929187639</c:v>
                </c:pt>
                <c:pt idx="2">
                  <c:v>48.313115125721133</c:v>
                </c:pt>
                <c:pt idx="3">
                  <c:v>49.878194601928534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380-454C-9436-0658F4DAE169}"/>
            </c:ext>
          </c:extLst>
        </c:ser>
        <c:ser>
          <c:idx val="3"/>
          <c:order val="3"/>
          <c:tx>
            <c:v>Fuel Oil</c:v>
          </c:tx>
          <c:spPr>
            <a:solidFill>
              <a:srgbClr val="FFC000"/>
            </a:solidFill>
            <a:ln cmpd="sng">
              <a:solidFill>
                <a:srgbClr val="000000"/>
              </a:solidFill>
            </a:ln>
          </c:spPr>
          <c:invertIfNegative val="1"/>
          <c:cat>
            <c:numRef>
              <c:f>Combustibles!$E$1:$H$1</c:f>
              <c:numCache>
                <c:formatCode>General</c:formatCode>
                <c:ptCount val="4"/>
              </c:numCache>
            </c:numRef>
          </c:cat>
          <c:val>
            <c:numRef>
              <c:f>Combustibles!$E$48:$H$48</c:f>
              <c:numCache>
                <c:formatCode>0.00</c:formatCode>
                <c:ptCount val="4"/>
                <c:pt idx="0">
                  <c:v>24.078345824693489</c:v>
                </c:pt>
                <c:pt idx="1">
                  <c:v>25.523331769395305</c:v>
                </c:pt>
                <c:pt idx="2">
                  <c:v>17.832534842966325</c:v>
                </c:pt>
                <c:pt idx="3">
                  <c:v>13.861502850491931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380-454C-9436-0658F4DAE169}"/>
            </c:ext>
          </c:extLst>
        </c:ser>
        <c:ser>
          <c:idx val="4"/>
          <c:order val="4"/>
          <c:tx>
            <c:v>Jet Fuel</c:v>
          </c:tx>
          <c:spPr>
            <a:solidFill>
              <a:srgbClr val="5B9BD5"/>
            </a:solidFill>
            <a:ln cmpd="sng">
              <a:solidFill>
                <a:srgbClr val="000000"/>
              </a:solidFill>
            </a:ln>
          </c:spPr>
          <c:invertIfNegative val="1"/>
          <c:cat>
            <c:numRef>
              <c:f>Combustibles!$E$1:$H$1</c:f>
              <c:numCache>
                <c:formatCode>General</c:formatCode>
                <c:ptCount val="4"/>
              </c:numCache>
            </c:numRef>
          </c:cat>
          <c:val>
            <c:numRef>
              <c:f>Combustibles!$E$49:$H$49</c:f>
              <c:numCache>
                <c:formatCode>0.00</c:formatCode>
                <c:ptCount val="4"/>
                <c:pt idx="2">
                  <c:v>0.93795160777154696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380-454C-9436-0658F4DAE169}"/>
            </c:ext>
          </c:extLst>
        </c:ser>
        <c:ser>
          <c:idx val="5"/>
          <c:order val="5"/>
          <c:invertIfNegative val="1"/>
          <c:cat>
            <c:numRef>
              <c:f>Combustibles!$E$1:$H$1</c:f>
              <c:numCache>
                <c:formatCode>General</c:formatCode>
                <c:ptCount val="4"/>
              </c:numCache>
            </c:numRef>
          </c:cat>
          <c:val>
            <c:numRef>
              <c:f>Combustibles!$E$50:$H$50</c:f>
              <c:numCache>
                <c:formatCode>0.00</c:formatCode>
                <c:ptCount val="4"/>
                <c:pt idx="0">
                  <c:v>5.5666818184799185</c:v>
                </c:pt>
                <c:pt idx="1">
                  <c:v>4.4513001057531385</c:v>
                </c:pt>
                <c:pt idx="2">
                  <c:v>5.1349054554247653</c:v>
                </c:pt>
                <c:pt idx="3">
                  <c:v>5.6722964060314354</c:v>
                </c:pt>
              </c:numCache>
            </c:numRef>
          </c:val>
          <c:extLst>
            <c:ext xmlns:c16="http://schemas.microsoft.com/office/drawing/2014/chart" uri="{C3380CC4-5D6E-409C-BE32-E72D297353CC}">
              <c16:uniqueId val="{00000005-7380-454C-9436-0658F4DAE169}"/>
            </c:ext>
          </c:extLst>
        </c:ser>
        <c:dLbls>
          <c:showLegendKey val="0"/>
          <c:showVal val="0"/>
          <c:showCatName val="0"/>
          <c:showSerName val="0"/>
          <c:showPercent val="0"/>
          <c:showBubbleSize val="0"/>
        </c:dLbls>
        <c:gapWidth val="150"/>
        <c:overlap val="100"/>
        <c:axId val="260666809"/>
        <c:axId val="1651241502"/>
      </c:barChart>
      <c:catAx>
        <c:axId val="26066680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51241502"/>
        <c:crosses val="autoZero"/>
        <c:auto val="1"/>
        <c:lblAlgn val="ctr"/>
        <c:lblOffset val="100"/>
        <c:noMultiLvlLbl val="1"/>
      </c:catAx>
      <c:valAx>
        <c:axId val="16512415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26066680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Entradas y Salidas de Energía de la Refinería La Libertad</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Combustibles!$E$60:$H$60</c:f>
              <c:numCache>
                <c:formatCode>0.00</c:formatCode>
                <c:ptCount val="4"/>
                <c:pt idx="0">
                  <c:v>-90.482729643428385</c:v>
                </c:pt>
                <c:pt idx="1">
                  <c:v>-78.871773390932589</c:v>
                </c:pt>
                <c:pt idx="2">
                  <c:v>-60.866776019514695</c:v>
                </c:pt>
                <c:pt idx="3">
                  <c:v>-78.600636650161562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550-48E3-AE2C-4BD000DE54C3}"/>
            </c:ext>
          </c:extLst>
        </c:ser>
        <c:ser>
          <c:idx val="1"/>
          <c:order val="1"/>
          <c:tx>
            <c:v>Líquidos de gas natural</c:v>
          </c:tx>
          <c:spPr>
            <a:solidFill>
              <a:srgbClr val="A5A5A5"/>
            </a:solidFill>
            <a:ln cmpd="sng">
              <a:solidFill>
                <a:srgbClr val="000000"/>
              </a:solidFill>
            </a:ln>
          </c:spPr>
          <c:invertIfNegative val="1"/>
          <c:cat>
            <c:numRef>
              <c:f>Combustibles!$E$1:$H$1</c:f>
              <c:numCache>
                <c:formatCode>General</c:formatCode>
                <c:ptCount val="4"/>
              </c:numCache>
            </c:numRef>
          </c:cat>
          <c:val>
            <c:numRef>
              <c:f>Combustibles!$E$61:$H$61</c:f>
              <c:numCache>
                <c:formatCode>0.00</c:formatCode>
                <c:ptCount val="4"/>
                <c:pt idx="0">
                  <c:v>-9.8878394887020899E-3</c:v>
                </c:pt>
                <c:pt idx="1">
                  <c:v>-9.5444979265567054E-3</c:v>
                </c:pt>
                <c:pt idx="2">
                  <c:v>0</c:v>
                </c:pt>
                <c:pt idx="3">
                  <c:v>-1.573441794684587E-2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550-48E3-AE2C-4BD000DE54C3}"/>
            </c:ext>
          </c:extLst>
        </c:ser>
        <c:ser>
          <c:idx val="2"/>
          <c:order val="2"/>
          <c:tx>
            <c:v>Diésel oil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Combustibles!$E$87:$H$87</c:f>
              <c:numCache>
                <c:formatCode>0.0000</c:formatCode>
                <c:ptCount val="4"/>
                <c:pt idx="0">
                  <c:v>16.283951428486343</c:v>
                </c:pt>
                <c:pt idx="1">
                  <c:v>13.587255934920117</c:v>
                </c:pt>
                <c:pt idx="2">
                  <c:v>11.56199177751617</c:v>
                </c:pt>
                <c:pt idx="3">
                  <c:v>14.675241406174742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550-48E3-AE2C-4BD000DE54C3}"/>
            </c:ext>
          </c:extLst>
        </c:ser>
        <c:ser>
          <c:idx val="3"/>
          <c:order val="3"/>
          <c:tx>
            <c:v>Gasolina</c:v>
          </c:tx>
          <c:spPr>
            <a:solidFill>
              <a:srgbClr val="A5A5A5"/>
            </a:solidFill>
            <a:ln cmpd="sng">
              <a:solidFill>
                <a:srgbClr val="000000"/>
              </a:solidFill>
            </a:ln>
          </c:spPr>
          <c:invertIfNegative val="1"/>
          <c:cat>
            <c:numRef>
              <c:f>Combustibles!$E$1:$H$1</c:f>
              <c:numCache>
                <c:formatCode>General</c:formatCode>
                <c:ptCount val="4"/>
              </c:numCache>
            </c:numRef>
          </c:cat>
          <c:val>
            <c:numRef>
              <c:f>Combustibles!$E$88:$H$88</c:f>
              <c:numCache>
                <c:formatCode>0.0000</c:formatCode>
                <c:ptCount val="4"/>
                <c:pt idx="0">
                  <c:v>11.706538465386368</c:v>
                </c:pt>
                <c:pt idx="1">
                  <c:v>10.172931050819711</c:v>
                </c:pt>
                <c:pt idx="2">
                  <c:v>7.2746159856597163</c:v>
                </c:pt>
                <c:pt idx="3">
                  <c:v>9.6491393684518361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550-48E3-AE2C-4BD000DE54C3}"/>
            </c:ext>
          </c:extLst>
        </c:ser>
        <c:ser>
          <c:idx val="4"/>
          <c:order val="4"/>
          <c:tx>
            <c:v>GLP</c:v>
          </c:tx>
          <c:spPr>
            <a:solidFill>
              <a:srgbClr val="FFC000"/>
            </a:solidFill>
            <a:ln cmpd="sng">
              <a:solidFill>
                <a:srgbClr val="000000"/>
              </a:solidFill>
            </a:ln>
          </c:spPr>
          <c:invertIfNegative val="1"/>
          <c:cat>
            <c:numRef>
              <c:f>Combustibles!$E$1:$H$1</c:f>
              <c:numCache>
                <c:formatCode>General</c:formatCode>
                <c:ptCount val="4"/>
              </c:numCache>
            </c:numRef>
          </c:cat>
          <c:val>
            <c:numRef>
              <c:f>Combustibles!$E$89:$H$89</c:f>
              <c:numCache>
                <c:formatCode>0.0000</c:formatCode>
                <c:ptCount val="4"/>
                <c:pt idx="0">
                  <c:v>0.10132427698965631</c:v>
                </c:pt>
                <c:pt idx="1">
                  <c:v>8.1076043827369312E-2</c:v>
                </c:pt>
                <c:pt idx="2">
                  <c:v>2.0339165195762385E-2</c:v>
                </c:pt>
                <c:pt idx="3">
                  <c:v>1.0252868869876955E-2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550-48E3-AE2C-4BD000DE54C3}"/>
            </c:ext>
          </c:extLst>
        </c:ser>
        <c:ser>
          <c:idx val="5"/>
          <c:order val="5"/>
          <c:tx>
            <c:v>Fuel oil</c:v>
          </c:tx>
          <c:spPr>
            <a:solidFill>
              <a:srgbClr val="5B9BD5"/>
            </a:solidFill>
            <a:ln cmpd="sng">
              <a:solidFill>
                <a:srgbClr val="000000"/>
              </a:solidFill>
            </a:ln>
          </c:spPr>
          <c:invertIfNegative val="1"/>
          <c:cat>
            <c:numRef>
              <c:f>Combustibles!$E$1:$H$1</c:f>
              <c:numCache>
                <c:formatCode>General</c:formatCode>
                <c:ptCount val="4"/>
              </c:numCache>
            </c:numRef>
          </c:cat>
          <c:val>
            <c:numRef>
              <c:f>Combustibles!$E$90:$H$90</c:f>
              <c:numCache>
                <c:formatCode>0.0000</c:formatCode>
                <c:ptCount val="4"/>
                <c:pt idx="0">
                  <c:v>56.454918376754058</c:v>
                </c:pt>
                <c:pt idx="1">
                  <c:v>49.836776829255641</c:v>
                </c:pt>
                <c:pt idx="2">
                  <c:v>39.399964020800773</c:v>
                </c:pt>
                <c:pt idx="3">
                  <c:v>50.685290136643751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E550-48E3-AE2C-4BD000DE54C3}"/>
            </c:ext>
          </c:extLst>
        </c:ser>
        <c:ser>
          <c:idx val="6"/>
          <c:order val="6"/>
          <c:tx>
            <c:v>Jet Fuel</c:v>
          </c:tx>
          <c:spPr>
            <a:solidFill>
              <a:srgbClr val="70AD47"/>
            </a:solidFill>
            <a:ln cmpd="sng">
              <a:solidFill>
                <a:srgbClr val="000000"/>
              </a:solidFill>
            </a:ln>
          </c:spPr>
          <c:invertIfNegative val="1"/>
          <c:cat>
            <c:numRef>
              <c:f>Combustibles!$E$1:$H$1</c:f>
              <c:numCache>
                <c:formatCode>General</c:formatCode>
                <c:ptCount val="4"/>
              </c:numCache>
            </c:numRef>
          </c:cat>
          <c:val>
            <c:numRef>
              <c:f>Combustibles!$E$91:$H$91</c:f>
              <c:numCache>
                <c:formatCode>0.0000</c:formatCode>
                <c:ptCount val="4"/>
                <c:pt idx="0">
                  <c:v>3.2373556942443349</c:v>
                </c:pt>
                <c:pt idx="1">
                  <c:v>3.1136653255792943</c:v>
                </c:pt>
                <c:pt idx="2">
                  <c:v>0.78196822717287517</c:v>
                </c:pt>
                <c:pt idx="3">
                  <c:v>1.052008125652049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E550-48E3-AE2C-4BD000DE54C3}"/>
            </c:ext>
          </c:extLst>
        </c:ser>
        <c:ser>
          <c:idx val="7"/>
          <c:order val="7"/>
          <c:invertIfNegative val="1"/>
          <c:cat>
            <c:numRef>
              <c:f>Combustibles!$E$1:$H$1</c:f>
              <c:numCache>
                <c:formatCode>General</c:formatCode>
                <c:ptCount val="4"/>
              </c:numCache>
            </c:numRef>
          </c:cat>
          <c:val>
            <c:numRef>
              <c:f>Combustibles!$E$92:$H$92</c:f>
              <c:numCache>
                <c:formatCode>0.0000</c:formatCode>
                <c:ptCount val="4"/>
                <c:pt idx="0">
                  <c:v>1.0072326711711881</c:v>
                </c:pt>
                <c:pt idx="1">
                  <c:v>0.87958748263096376</c:v>
                </c:pt>
                <c:pt idx="2">
                  <c:v>0.83409918305116448</c:v>
                </c:pt>
                <c:pt idx="3">
                  <c:v>0.98419035485519757</c:v>
                </c:pt>
              </c:numCache>
            </c:numRef>
          </c:val>
          <c:extLst>
            <c:ext xmlns:c16="http://schemas.microsoft.com/office/drawing/2014/chart" uri="{C3380CC4-5D6E-409C-BE32-E72D297353CC}">
              <c16:uniqueId val="{00000007-E550-48E3-AE2C-4BD000DE54C3}"/>
            </c:ext>
          </c:extLst>
        </c:ser>
        <c:dLbls>
          <c:showLegendKey val="0"/>
          <c:showVal val="0"/>
          <c:showCatName val="0"/>
          <c:showSerName val="0"/>
          <c:showPercent val="0"/>
          <c:showBubbleSize val="0"/>
        </c:dLbls>
        <c:gapWidth val="150"/>
        <c:overlap val="100"/>
        <c:axId val="1849794756"/>
        <c:axId val="895855339"/>
      </c:barChart>
      <c:catAx>
        <c:axId val="18497947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95855339"/>
        <c:crosses val="autoZero"/>
        <c:auto val="1"/>
        <c:lblAlgn val="ctr"/>
        <c:lblOffset val="100"/>
        <c:noMultiLvlLbl val="1"/>
      </c:catAx>
      <c:valAx>
        <c:axId val="895855339"/>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[PJ]</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84979475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Entradas y Salidas de Energía de la Refinería Shushufindi</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Combustibles!$E$65:$H$65</c:f>
              <c:numCache>
                <c:formatCode>0.00</c:formatCode>
                <c:ptCount val="4"/>
                <c:pt idx="0">
                  <c:v>-41.734160399804601</c:v>
                </c:pt>
                <c:pt idx="1">
                  <c:v>-39.021069231178544</c:v>
                </c:pt>
                <c:pt idx="2">
                  <c:v>-34.9624437992343</c:v>
                </c:pt>
                <c:pt idx="3">
                  <c:v>-41.014580586678036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92-4E49-BE45-64F0EDA95792}"/>
            </c:ext>
          </c:extLst>
        </c:ser>
        <c:ser>
          <c:idx val="1"/>
          <c:order val="1"/>
          <c:tx>
            <c:v>Diésel oil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Combustibles!$E$96:$H$96</c:f>
              <c:numCache>
                <c:formatCode>0.0000</c:formatCode>
                <c:ptCount val="4"/>
                <c:pt idx="0">
                  <c:v>12.229113536930985</c:v>
                </c:pt>
                <c:pt idx="1">
                  <c:v>11.932751978378185</c:v>
                </c:pt>
                <c:pt idx="2">
                  <c:v>10.411495752484031</c:v>
                </c:pt>
                <c:pt idx="3">
                  <c:v>13.295668825416282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92-4E49-BE45-64F0EDA95792}"/>
            </c:ext>
          </c:extLst>
        </c:ser>
        <c:ser>
          <c:idx val="2"/>
          <c:order val="2"/>
          <c:tx>
            <c:v>Gasolina</c:v>
          </c:tx>
          <c:spPr>
            <a:solidFill>
              <a:srgbClr val="A5A5A5"/>
            </a:solidFill>
            <a:ln cmpd="sng">
              <a:solidFill>
                <a:srgbClr val="000000"/>
              </a:solidFill>
            </a:ln>
          </c:spPr>
          <c:invertIfNegative val="1"/>
          <c:cat>
            <c:numRef>
              <c:f>Combustibles!$E$1:$H$1</c:f>
              <c:numCache>
                <c:formatCode>General</c:formatCode>
                <c:ptCount val="4"/>
              </c:numCache>
            </c:numRef>
          </c:cat>
          <c:val>
            <c:numRef>
              <c:f>Combustibles!$E$97:$H$97</c:f>
              <c:numCache>
                <c:formatCode>0.0000</c:formatCode>
                <c:ptCount val="4"/>
                <c:pt idx="0">
                  <c:v>6.0869229732088694</c:v>
                </c:pt>
                <c:pt idx="1">
                  <c:v>5.8355775215229055</c:v>
                </c:pt>
                <c:pt idx="2">
                  <c:v>5.556740455872597</c:v>
                </c:pt>
                <c:pt idx="3">
                  <c:v>5.455105071625967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92-4E49-BE45-64F0EDA95792}"/>
            </c:ext>
          </c:extLst>
        </c:ser>
        <c:ser>
          <c:idx val="3"/>
          <c:order val="3"/>
          <c:tx>
            <c:v>Fuel oil</c:v>
          </c:tx>
          <c:spPr>
            <a:solidFill>
              <a:srgbClr val="FFC000"/>
            </a:solidFill>
            <a:ln cmpd="sng">
              <a:solidFill>
                <a:srgbClr val="000000"/>
              </a:solidFill>
            </a:ln>
          </c:spPr>
          <c:invertIfNegative val="1"/>
          <c:cat>
            <c:numRef>
              <c:f>Combustibles!$E$1:$H$1</c:f>
              <c:numCache>
                <c:formatCode>General</c:formatCode>
                <c:ptCount val="4"/>
              </c:numCache>
            </c:numRef>
          </c:cat>
          <c:val>
            <c:numRef>
              <c:f>Combustibles!$E$99:$H$99</c:f>
              <c:numCache>
                <c:formatCode>0.0000</c:formatCode>
                <c:ptCount val="4"/>
                <c:pt idx="0">
                  <c:v>2.1804689200417724</c:v>
                </c:pt>
                <c:pt idx="1">
                  <c:v>1.404743066514397</c:v>
                </c:pt>
                <c:pt idx="2">
                  <c:v>1.3323434953844018</c:v>
                </c:pt>
                <c:pt idx="3">
                  <c:v>1.6630183995468224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C92-4E49-BE45-64F0EDA95792}"/>
            </c:ext>
          </c:extLst>
        </c:ser>
        <c:ser>
          <c:idx val="4"/>
          <c:order val="4"/>
          <c:tx>
            <c:v>Jet Fuel</c:v>
          </c:tx>
          <c:spPr>
            <a:solidFill>
              <a:srgbClr val="5B9BD5"/>
            </a:solidFill>
            <a:ln cmpd="sng">
              <a:solidFill>
                <a:srgbClr val="000000"/>
              </a:solidFill>
            </a:ln>
          </c:spPr>
          <c:invertIfNegative val="1"/>
          <c:cat>
            <c:numRef>
              <c:f>Combustibles!$E$1:$H$1</c:f>
              <c:numCache>
                <c:formatCode>General</c:formatCode>
                <c:ptCount val="4"/>
              </c:numCache>
            </c:numRef>
          </c:cat>
          <c:val>
            <c:numRef>
              <c:f>Combustibles!$E$100:$H$100</c:f>
              <c:numCache>
                <c:formatCode>0.0000</c:formatCode>
                <c:ptCount val="4"/>
                <c:pt idx="1">
                  <c:v>8.5135656982459187E-2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C92-4E49-BE45-64F0EDA95792}"/>
            </c:ext>
          </c:extLst>
        </c:ser>
        <c:ser>
          <c:idx val="5"/>
          <c:order val="5"/>
          <c:invertIfNegative val="1"/>
          <c:cat>
            <c:numRef>
              <c:f>Combustibles!$E$1:$H$1</c:f>
              <c:numCache>
                <c:formatCode>General</c:formatCode>
                <c:ptCount val="4"/>
              </c:numCache>
            </c:numRef>
          </c:cat>
          <c:val>
            <c:numRef>
              <c:f>Combustibles!$E$101:$H$101</c:f>
              <c:numCache>
                <c:formatCode>0.0000</c:formatCode>
                <c:ptCount val="4"/>
                <c:pt idx="0">
                  <c:v>20.381724859493499</c:v>
                </c:pt>
                <c:pt idx="1">
                  <c:v>18.849829370468555</c:v>
                </c:pt>
                <c:pt idx="2">
                  <c:v>17.056602154547665</c:v>
                </c:pt>
                <c:pt idx="3">
                  <c:v>19.73800836883084</c:v>
                </c:pt>
              </c:numCache>
            </c:numRef>
          </c:val>
          <c:extLst>
            <c:ext xmlns:c16="http://schemas.microsoft.com/office/drawing/2014/chart" uri="{C3380CC4-5D6E-409C-BE32-E72D297353CC}">
              <c16:uniqueId val="{00000005-6C92-4E49-BE45-64F0EDA95792}"/>
            </c:ext>
          </c:extLst>
        </c:ser>
        <c:dLbls>
          <c:showLegendKey val="0"/>
          <c:showVal val="0"/>
          <c:showCatName val="0"/>
          <c:showSerName val="0"/>
          <c:showPercent val="0"/>
          <c:showBubbleSize val="0"/>
        </c:dLbls>
        <c:gapWidth val="150"/>
        <c:overlap val="100"/>
        <c:axId val="970727243"/>
        <c:axId val="1678170067"/>
      </c:barChart>
      <c:catAx>
        <c:axId val="97072724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78170067"/>
        <c:crosses val="autoZero"/>
        <c:auto val="1"/>
        <c:lblAlgn val="ctr"/>
        <c:lblOffset val="100"/>
        <c:noMultiLvlLbl val="1"/>
      </c:catAx>
      <c:valAx>
        <c:axId val="1678170067"/>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[PJ]</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97072724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Entradas y Salidas de Energía de Otras Refinerías</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Combustibles!$E$68:$H$68</c:f>
              <c:numCache>
                <c:formatCode>0.00</c:formatCode>
                <c:ptCount val="4"/>
                <c:pt idx="0">
                  <c:v>-20.224116942162627</c:v>
                </c:pt>
                <c:pt idx="1">
                  <c:v>-20.856188469836653</c:v>
                </c:pt>
                <c:pt idx="2">
                  <c:v>-19.223274906620794</c:v>
                </c:pt>
                <c:pt idx="3">
                  <c:v>-19.772460703163755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3D9-4556-ACC0-6ED3002B13CF}"/>
            </c:ext>
          </c:extLst>
        </c:ser>
        <c:ser>
          <c:idx val="1"/>
          <c:order val="1"/>
          <c:tx>
            <c:v>Líquidos de gas natural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Combustibles!$E$69:$H$69</c:f>
              <c:numCache>
                <c:formatCode>0.00</c:formatCode>
                <c:ptCount val="4"/>
                <c:pt idx="0">
                  <c:v>-0.65793672916127155</c:v>
                </c:pt>
                <c:pt idx="1">
                  <c:v>-0.70159510145111037</c:v>
                </c:pt>
                <c:pt idx="2">
                  <c:v>-0.61250610932577687</c:v>
                </c:pt>
                <c:pt idx="3">
                  <c:v>-0.58443259519956248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3D9-4556-ACC0-6ED3002B13CF}"/>
            </c:ext>
          </c:extLst>
        </c:ser>
        <c:ser>
          <c:idx val="2"/>
          <c:order val="2"/>
          <c:tx>
            <c:v>Diésel oil</c:v>
          </c:tx>
          <c:spPr>
            <a:solidFill>
              <a:srgbClr val="A5A5A5"/>
            </a:solidFill>
            <a:ln cmpd="sng">
              <a:solidFill>
                <a:srgbClr val="000000"/>
              </a:solidFill>
            </a:ln>
          </c:spPr>
          <c:invertIfNegative val="1"/>
          <c:cat>
            <c:numRef>
              <c:f>Combustibles!$E$1:$H$1</c:f>
              <c:numCache>
                <c:formatCode>General</c:formatCode>
                <c:ptCount val="4"/>
              </c:numCache>
            </c:numRef>
          </c:cat>
          <c:val>
            <c:numRef>
              <c:f>Combustibles!$E$105:$H$105</c:f>
              <c:numCache>
                <c:formatCode>0.0000</c:formatCode>
                <c:ptCount val="4"/>
                <c:pt idx="0">
                  <c:v>4.4931343147012583</c:v>
                </c:pt>
                <c:pt idx="1">
                  <c:v>4.6004329944370594</c:v>
                </c:pt>
                <c:pt idx="2">
                  <c:v>4.2077092346799585</c:v>
                </c:pt>
                <c:pt idx="3">
                  <c:v>4.3458945907186992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3D9-4556-ACC0-6ED3002B13CF}"/>
            </c:ext>
          </c:extLst>
        </c:ser>
        <c:ser>
          <c:idx val="3"/>
          <c:order val="3"/>
          <c:tx>
            <c:v>Gasolina</c:v>
          </c:tx>
          <c:spPr>
            <a:solidFill>
              <a:srgbClr val="FFC000"/>
            </a:solidFill>
            <a:ln cmpd="sng">
              <a:solidFill>
                <a:srgbClr val="000000"/>
              </a:solidFill>
            </a:ln>
          </c:spPr>
          <c:invertIfNegative val="1"/>
          <c:cat>
            <c:numRef>
              <c:f>Combustibles!$E$1:$H$1</c:f>
              <c:numCache>
                <c:formatCode>General</c:formatCode>
                <c:ptCount val="4"/>
              </c:numCache>
            </c:numRef>
          </c:cat>
          <c:val>
            <c:numRef>
              <c:f>Combustibles!$E$106:$H$106</c:f>
              <c:numCache>
                <c:formatCode>0.0000</c:formatCode>
                <c:ptCount val="4"/>
                <c:pt idx="0">
                  <c:v>0.66375275788970567</c:v>
                </c:pt>
                <c:pt idx="1">
                  <c:v>0.69664852975682834</c:v>
                </c:pt>
                <c:pt idx="2">
                  <c:v>0.62576885528509085</c:v>
                </c:pt>
                <c:pt idx="3">
                  <c:v>0.85512479235533145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3D9-4556-ACC0-6ED3002B13CF}"/>
            </c:ext>
          </c:extLst>
        </c:ser>
        <c:ser>
          <c:idx val="4"/>
          <c:order val="4"/>
          <c:tx>
            <c:v>GLP</c:v>
          </c:tx>
          <c:spPr>
            <a:solidFill>
              <a:srgbClr val="5B9BD5"/>
            </a:solidFill>
            <a:ln cmpd="sng">
              <a:solidFill>
                <a:srgbClr val="000000"/>
              </a:solidFill>
            </a:ln>
          </c:spPr>
          <c:invertIfNegative val="1"/>
          <c:cat>
            <c:numRef>
              <c:f>Combustibles!$E$1:$H$1</c:f>
              <c:numCache>
                <c:formatCode>General</c:formatCode>
                <c:ptCount val="4"/>
              </c:numCache>
            </c:numRef>
          </c:cat>
          <c:val>
            <c:numRef>
              <c:f>Combustibles!$E$107:$H$107</c:f>
              <c:numCache>
                <c:formatCode>0.0000</c:formatCode>
                <c:ptCount val="4"/>
                <c:pt idx="0">
                  <c:v>0.77798109386923497</c:v>
                </c:pt>
                <c:pt idx="1">
                  <c:v>0.63579094160086902</c:v>
                </c:pt>
                <c:pt idx="2">
                  <c:v>0.66004166280572385</c:v>
                </c:pt>
                <c:pt idx="3">
                  <c:v>0.62190974062933135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3D9-4556-ACC0-6ED3002B13CF}"/>
            </c:ext>
          </c:extLst>
        </c:ser>
        <c:ser>
          <c:idx val="5"/>
          <c:order val="5"/>
          <c:tx>
            <c:v>Jet Fuel</c:v>
          </c:tx>
          <c:spPr>
            <a:solidFill>
              <a:srgbClr val="70AD47"/>
            </a:solidFill>
            <a:ln cmpd="sng">
              <a:solidFill>
                <a:srgbClr val="000000"/>
              </a:solidFill>
            </a:ln>
          </c:spPr>
          <c:invertIfNegative val="1"/>
          <c:cat>
            <c:numRef>
              <c:f>Combustibles!$E$1:$H$1</c:f>
              <c:numCache>
                <c:formatCode>General</c:formatCode>
                <c:ptCount val="4"/>
              </c:numCache>
            </c:numRef>
          </c:cat>
          <c:val>
            <c:numRef>
              <c:f>Combustibles!$E$109:$H$109</c:f>
              <c:numCache>
                <c:formatCode>0.0000</c:formatCode>
                <c:ptCount val="4"/>
                <c:pt idx="0">
                  <c:v>0.12442047647894035</c:v>
                </c:pt>
                <c:pt idx="1">
                  <c:v>0.14258380720871638</c:v>
                </c:pt>
                <c:pt idx="2">
                  <c:v>0.12970100169222232</c:v>
                </c:pt>
                <c:pt idx="3">
                  <c:v>0.14019566856402801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33D9-4556-ACC0-6ED3002B13CF}"/>
            </c:ext>
          </c:extLst>
        </c:ser>
        <c:ser>
          <c:idx val="6"/>
          <c:order val="6"/>
          <c:tx>
            <c:v>Crudo reducido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Combustibles!$E$110:$H$110</c:f>
              <c:numCache>
                <c:formatCode>0.0000</c:formatCode>
                <c:ptCount val="4"/>
                <c:pt idx="0">
                  <c:v>14.604240124374861</c:v>
                </c:pt>
                <c:pt idx="1">
                  <c:v>15.154856981662647</c:v>
                </c:pt>
                <c:pt idx="2">
                  <c:v>14.17825884940769</c:v>
                </c:pt>
                <c:pt idx="3">
                  <c:v>14.464054351499296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3D9-4556-ACC0-6ED3002B13CF}"/>
            </c:ext>
          </c:extLst>
        </c:ser>
        <c:ser>
          <c:idx val="7"/>
          <c:order val="7"/>
          <c:invertIfNegative val="1"/>
          <c:cat>
            <c:numRef>
              <c:f>Combustibles!$E$1:$H$1</c:f>
              <c:numCache>
                <c:formatCode>General</c:formatCode>
                <c:ptCount val="4"/>
              </c:numCache>
            </c:numRef>
          </c:cat>
          <c:val>
            <c:numRef>
              <c:f>Combustibles!$E$111:$H$111</c:f>
              <c:numCache>
                <c:formatCode>0.0000</c:formatCode>
                <c:ptCount val="4"/>
                <c:pt idx="0">
                  <c:v>5.6913783192343512E-2</c:v>
                </c:pt>
                <c:pt idx="1">
                  <c:v>5.49481542564772E-2</c:v>
                </c:pt>
                <c:pt idx="2">
                  <c:v>3.894748759275532E-2</c:v>
                </c:pt>
                <c:pt idx="3">
                  <c:v>4.1105793246438961E-2</c:v>
                </c:pt>
              </c:numCache>
            </c:numRef>
          </c:val>
          <c:extLst>
            <c:ext xmlns:c16="http://schemas.microsoft.com/office/drawing/2014/chart" uri="{C3380CC4-5D6E-409C-BE32-E72D297353CC}">
              <c16:uniqueId val="{00000007-33D9-4556-ACC0-6ED3002B13CF}"/>
            </c:ext>
          </c:extLst>
        </c:ser>
        <c:dLbls>
          <c:showLegendKey val="0"/>
          <c:showVal val="0"/>
          <c:showCatName val="0"/>
          <c:showSerName val="0"/>
          <c:showPercent val="0"/>
          <c:showBubbleSize val="0"/>
        </c:dLbls>
        <c:gapWidth val="150"/>
        <c:overlap val="100"/>
        <c:axId val="1733377676"/>
        <c:axId val="593791841"/>
      </c:barChart>
      <c:catAx>
        <c:axId val="173337767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93791841"/>
        <c:crosses val="autoZero"/>
        <c:auto val="1"/>
        <c:lblAlgn val="ctr"/>
        <c:lblOffset val="100"/>
        <c:noMultiLvlLbl val="1"/>
      </c:catAx>
      <c:valAx>
        <c:axId val="59379184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[PJ]</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73337767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Entradas y Salidas de Energía de Centros de gas</a:t>
            </a:r>
          </a:p>
        </c:rich>
      </c:tx>
      <c:overlay val="0"/>
    </c:title>
    <c:autoTitleDeleted val="0"/>
    <c:plotArea>
      <c:layout/>
      <c:barChart>
        <c:barDir val="col"/>
        <c:grouping val="stacked"/>
        <c:varyColors val="1"/>
        <c:ser>
          <c:idx val="0"/>
          <c:order val="0"/>
          <c:tx>
            <c:v>Líquidos de gas natural</c:v>
          </c:tx>
          <c:spPr>
            <a:solidFill>
              <a:srgbClr val="4472C4"/>
            </a:solidFill>
            <a:ln cmpd="sng">
              <a:solidFill>
                <a:srgbClr val="000000"/>
              </a:solidFill>
            </a:ln>
          </c:spPr>
          <c:invertIfNegative val="1"/>
          <c:cat>
            <c:numRef>
              <c:f>Combustibles!$E$1:$H$1</c:f>
              <c:numCache>
                <c:formatCode>General</c:formatCode>
                <c:ptCount val="4"/>
              </c:numCache>
            </c:numRef>
          </c:cat>
          <c:val>
            <c:numRef>
              <c:f>Combustibles!$E$124:$H$124</c:f>
              <c:numCache>
                <c:formatCode>0.0000</c:formatCode>
                <c:ptCount val="4"/>
                <c:pt idx="0">
                  <c:v>-5.6001653272296901</c:v>
                </c:pt>
                <c:pt idx="1">
                  <c:v>-5.4410256574438014</c:v>
                </c:pt>
                <c:pt idx="2">
                  <c:v>-5.4222713354208416</c:v>
                </c:pt>
                <c:pt idx="3">
                  <c:v>-5.8635981295987074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D10-48F0-AA87-70E9A801208B}"/>
            </c:ext>
          </c:extLst>
        </c:ser>
        <c:ser>
          <c:idx val="1"/>
          <c:order val="1"/>
          <c:tx>
            <c:v>Gas natural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Combustibles!$E$125:$H$125</c:f>
              <c:numCache>
                <c:formatCode>0.0000</c:formatCode>
                <c:ptCount val="4"/>
                <c:pt idx="0">
                  <c:v>-5.7472313040556946</c:v>
                </c:pt>
                <c:pt idx="1">
                  <c:v>-5.2896827550958827</c:v>
                </c:pt>
                <c:pt idx="2">
                  <c:v>-4.6394714514193272</c:v>
                </c:pt>
                <c:pt idx="3">
                  <c:v>-5.1296151882242125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D10-48F0-AA87-70E9A801208B}"/>
            </c:ext>
          </c:extLst>
        </c:ser>
        <c:ser>
          <c:idx val="2"/>
          <c:order val="2"/>
          <c:tx>
            <c:v>GLP</c:v>
          </c:tx>
          <c:spPr>
            <a:solidFill>
              <a:srgbClr val="A5A5A5"/>
            </a:solidFill>
            <a:ln cmpd="sng">
              <a:solidFill>
                <a:srgbClr val="000000"/>
              </a:solidFill>
            </a:ln>
          </c:spPr>
          <c:invertIfNegative val="1"/>
          <c:cat>
            <c:numRef>
              <c:f>Combustibles!$E$1:$H$1</c:f>
              <c:numCache>
                <c:formatCode>General</c:formatCode>
                <c:ptCount val="4"/>
              </c:numCache>
            </c:numRef>
          </c:cat>
          <c:val>
            <c:numRef>
              <c:f>Combustibles!$E$130:$H$130</c:f>
              <c:numCache>
                <c:formatCode>0.0000</c:formatCode>
                <c:ptCount val="4"/>
                <c:pt idx="0">
                  <c:v>4.5212344768406005</c:v>
                </c:pt>
                <c:pt idx="1">
                  <c:v>4.1318381792662402</c:v>
                </c:pt>
                <c:pt idx="2">
                  <c:v>3.5638522628699238</c:v>
                </c:pt>
                <c:pt idx="3">
                  <c:v>4.3019085521329501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D10-48F0-AA87-70E9A801208B}"/>
            </c:ext>
          </c:extLst>
        </c:ser>
        <c:ser>
          <c:idx val="3"/>
          <c:order val="3"/>
          <c:tx>
            <c:v>Gasolina</c:v>
          </c:tx>
          <c:spPr>
            <a:solidFill>
              <a:srgbClr val="FFC000"/>
            </a:solidFill>
            <a:ln cmpd="sng">
              <a:solidFill>
                <a:srgbClr val="000000"/>
              </a:solidFill>
            </a:ln>
          </c:spPr>
          <c:invertIfNegative val="1"/>
          <c:cat>
            <c:numRef>
              <c:f>Combustibles!$E$1:$H$1</c:f>
              <c:numCache>
                <c:formatCode>General</c:formatCode>
                <c:ptCount val="4"/>
              </c:numCache>
            </c:numRef>
          </c:cat>
          <c:val>
            <c:numRef>
              <c:f>Combustibles!$E$131:$H$131</c:f>
              <c:numCache>
                <c:formatCode>0.0000</c:formatCode>
                <c:ptCount val="4"/>
                <c:pt idx="0">
                  <c:v>3.486019402900407</c:v>
                </c:pt>
                <c:pt idx="1">
                  <c:v>3.1865183746829682</c:v>
                </c:pt>
                <c:pt idx="2">
                  <c:v>3.1758161223377481</c:v>
                </c:pt>
                <c:pt idx="3">
                  <c:v>3.3733010673564703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D10-48F0-AA87-70E9A801208B}"/>
            </c:ext>
          </c:extLst>
        </c:ser>
        <c:ser>
          <c:idx val="4"/>
          <c:order val="4"/>
          <c:invertIfNegative val="1"/>
          <c:cat>
            <c:numRef>
              <c:f>Combustibles!$E$1:$H$1</c:f>
              <c:numCache>
                <c:formatCode>General</c:formatCode>
                <c:ptCount val="4"/>
              </c:numCache>
            </c:numRef>
          </c:cat>
          <c:val>
            <c:numRef>
              <c:f>Combustibles!$E$132:$H$132</c:f>
              <c:numCache>
                <c:formatCode>0.0000</c:formatCode>
                <c:ptCount val="4"/>
                <c:pt idx="0">
                  <c:v>1.6162785786570382</c:v>
                </c:pt>
                <c:pt idx="1">
                  <c:v>1.5668813159082935</c:v>
                </c:pt>
                <c:pt idx="2">
                  <c:v>1.4792549398191686</c:v>
                </c:pt>
                <c:pt idx="3">
                  <c:v>1.5084116925338837</c:v>
                </c:pt>
              </c:numCache>
            </c:numRef>
          </c:val>
          <c:extLst>
            <c:ext xmlns:c16="http://schemas.microsoft.com/office/drawing/2014/chart" uri="{C3380CC4-5D6E-409C-BE32-E72D297353CC}">
              <c16:uniqueId val="{00000004-9D10-48F0-AA87-70E9A801208B}"/>
            </c:ext>
          </c:extLst>
        </c:ser>
        <c:dLbls>
          <c:showLegendKey val="0"/>
          <c:showVal val="0"/>
          <c:showCatName val="0"/>
          <c:showSerName val="0"/>
          <c:showPercent val="0"/>
          <c:showBubbleSize val="0"/>
        </c:dLbls>
        <c:gapWidth val="150"/>
        <c:overlap val="100"/>
        <c:axId val="1567333769"/>
        <c:axId val="245885980"/>
      </c:barChart>
      <c:catAx>
        <c:axId val="156733376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45885980"/>
        <c:crosses val="autoZero"/>
        <c:auto val="1"/>
        <c:lblAlgn val="ctr"/>
        <c:lblOffset val="100"/>
        <c:noMultiLvlLbl val="1"/>
      </c:catAx>
      <c:valAx>
        <c:axId val="245885980"/>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[PJ]</a:t>
                </a:r>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156733376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Gas Natural No Aprovechado [PJ]</a:t>
            </a:r>
          </a:p>
        </c:rich>
      </c:tx>
      <c:overlay val="0"/>
    </c:title>
    <c:autoTitleDeleted val="0"/>
    <c:plotArea>
      <c:layout/>
      <c:barChart>
        <c:barDir val="col"/>
        <c:grouping val="clustered"/>
        <c:varyColors val="1"/>
        <c:ser>
          <c:idx val="0"/>
          <c:order val="0"/>
          <c:tx>
            <c:v>Gas Natural [PJ]</c:v>
          </c:tx>
          <c:spPr>
            <a:solidFill>
              <a:srgbClr val="4472C4"/>
            </a:solidFill>
            <a:ln cmpd="sng">
              <a:solidFill>
                <a:srgbClr val="000000"/>
              </a:solidFill>
            </a:ln>
          </c:spPr>
          <c:invertIfNegative val="1"/>
          <c:val>
            <c:numRef>
              <c:f>Combustibles!$E$1:$H$1</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C71-4085-9F90-2D405C4FA022}"/>
            </c:ext>
          </c:extLst>
        </c:ser>
        <c:ser>
          <c:idx val="1"/>
          <c:order val="1"/>
          <c:invertIfNegative val="1"/>
          <c:val>
            <c:numRef>
              <c:f>Combustibles!$D$41:$H$41</c:f>
              <c:numCache>
                <c:formatCode>0.00</c:formatCode>
                <c:ptCount val="5"/>
                <c:pt idx="0" formatCode="General">
                  <c:v>0</c:v>
                </c:pt>
                <c:pt idx="1">
                  <c:v>25.245741500869666</c:v>
                </c:pt>
                <c:pt idx="2">
                  <c:v>25.731169531016565</c:v>
                </c:pt>
                <c:pt idx="3">
                  <c:v>23.967718660734096</c:v>
                </c:pt>
                <c:pt idx="4">
                  <c:v>23.255254315051982</c:v>
                </c:pt>
              </c:numCache>
            </c:numRef>
          </c:val>
          <c:extLst>
            <c:ext xmlns:c16="http://schemas.microsoft.com/office/drawing/2014/chart" uri="{C3380CC4-5D6E-409C-BE32-E72D297353CC}">
              <c16:uniqueId val="{00000001-2C71-4085-9F90-2D405C4FA022}"/>
            </c:ext>
          </c:extLst>
        </c:ser>
        <c:dLbls>
          <c:showLegendKey val="0"/>
          <c:showVal val="0"/>
          <c:showCatName val="0"/>
          <c:showSerName val="0"/>
          <c:showPercent val="0"/>
          <c:showBubbleSize val="0"/>
        </c:dLbls>
        <c:gapWidth val="150"/>
        <c:axId val="1054347871"/>
        <c:axId val="883447047"/>
      </c:barChart>
      <c:catAx>
        <c:axId val="105434787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83447047"/>
        <c:crosses val="autoZero"/>
        <c:auto val="1"/>
        <c:lblAlgn val="ctr"/>
        <c:lblOffset val="100"/>
        <c:noMultiLvlLbl val="1"/>
      </c:catAx>
      <c:valAx>
        <c:axId val="88344704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054347871"/>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Exportación [PJ]</a:t>
            </a:r>
          </a:p>
        </c:rich>
      </c:tx>
      <c:overlay val="0"/>
    </c:title>
    <c:autoTitleDeleted val="0"/>
    <c:plotArea>
      <c:layout/>
      <c:barChart>
        <c:barDir val="col"/>
        <c:grouping val="clustered"/>
        <c:varyColors val="1"/>
        <c:ser>
          <c:idx val="0"/>
          <c:order val="0"/>
          <c:tx>
            <c:v>Petróleo crudo</c:v>
          </c:tx>
          <c:spPr>
            <a:solidFill>
              <a:srgbClr val="ED7D31"/>
            </a:solidFill>
            <a:ln cmpd="sng">
              <a:solidFill>
                <a:srgbClr val="000000"/>
              </a:solidFill>
            </a:ln>
          </c:spPr>
          <c:invertIfNegative val="1"/>
          <c:cat>
            <c:numRef>
              <c:f>Combustibles!$E$1:$H$1</c:f>
              <c:numCache>
                <c:formatCode>General</c:formatCode>
                <c:ptCount val="4"/>
              </c:numCache>
            </c:numRef>
          </c:cat>
          <c:val>
            <c:numRef>
              <c:f>Combustibles!$E$145:$H$145</c:f>
              <c:numCache>
                <c:formatCode>0.0000</c:formatCode>
                <c:ptCount val="4"/>
                <c:pt idx="0">
                  <c:v>753.92003052583027</c:v>
                </c:pt>
                <c:pt idx="1">
                  <c:v>796.96985310197272</c:v>
                </c:pt>
                <c:pt idx="2">
                  <c:v>735.29581033893191</c:v>
                </c:pt>
                <c:pt idx="3">
                  <c:v>682.98298374602746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591-45DD-8217-958BF5D60792}"/>
            </c:ext>
          </c:extLst>
        </c:ser>
        <c:ser>
          <c:idx val="1"/>
          <c:order val="1"/>
          <c:tx>
            <c:v>Diésel oil</c:v>
          </c:tx>
          <c:spPr>
            <a:solidFill>
              <a:srgbClr val="A5A5A5"/>
            </a:solidFill>
            <a:ln cmpd="sng">
              <a:solidFill>
                <a:srgbClr val="000000"/>
              </a:solidFill>
            </a:ln>
          </c:spPr>
          <c:invertIfNegative val="1"/>
          <c:cat>
            <c:numRef>
              <c:f>Combustibles!$E$1:$H$1</c:f>
              <c:numCache>
                <c:formatCode>General</c:formatCode>
                <c:ptCount val="4"/>
              </c:numCache>
            </c:numRef>
          </c:cat>
          <c:val>
            <c:numRef>
              <c:f>Combustibles!$E$146:$H$146</c:f>
              <c:numCache>
                <c:formatCode>0.0000</c:formatCode>
                <c:ptCount val="4"/>
                <c:pt idx="1">
                  <c:v>0.12451092049162038</c:v>
                </c:pt>
                <c:pt idx="3">
                  <c:v>3.9361462349684806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591-45DD-8217-958BF5D60792}"/>
            </c:ext>
          </c:extLst>
        </c:ser>
        <c:ser>
          <c:idx val="2"/>
          <c:order val="2"/>
          <c:tx>
            <c:v>Gasolina</c:v>
          </c:tx>
          <c:spPr>
            <a:solidFill>
              <a:srgbClr val="FFC000"/>
            </a:solidFill>
            <a:ln cmpd="sng">
              <a:solidFill>
                <a:srgbClr val="000000"/>
              </a:solidFill>
            </a:ln>
          </c:spPr>
          <c:invertIfNegative val="1"/>
          <c:cat>
            <c:numRef>
              <c:f>Combustibles!$E$1:$H$1</c:f>
              <c:numCache>
                <c:formatCode>General</c:formatCode>
                <c:ptCount val="4"/>
              </c:numCache>
            </c:numRef>
          </c:cat>
          <c:val>
            <c:numRef>
              <c:f>Combustibles!$E$147:$H$147</c:f>
              <c:numCache>
                <c:formatCode>0.0000</c:formatCode>
                <c:ptCount val="4"/>
                <c:pt idx="1">
                  <c:v>0.17331841572061829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591-45DD-8217-958BF5D60792}"/>
            </c:ext>
          </c:extLst>
        </c:ser>
        <c:ser>
          <c:idx val="3"/>
          <c:order val="3"/>
          <c:tx>
            <c:v>Fuel oil</c:v>
          </c:tx>
          <c:spPr>
            <a:solidFill>
              <a:srgbClr val="70AD47"/>
            </a:solidFill>
            <a:ln cmpd="sng">
              <a:solidFill>
                <a:srgbClr val="000000"/>
              </a:solidFill>
            </a:ln>
          </c:spPr>
          <c:invertIfNegative val="1"/>
          <c:cat>
            <c:numRef>
              <c:f>Combustibles!$E$1:$H$1</c:f>
              <c:numCache>
                <c:formatCode>General</c:formatCode>
                <c:ptCount val="4"/>
              </c:numCache>
            </c:numRef>
          </c:cat>
          <c:val>
            <c:numRef>
              <c:f>Combustibles!$E$149:$H$149</c:f>
              <c:numCache>
                <c:formatCode>0.0000</c:formatCode>
                <c:ptCount val="4"/>
                <c:pt idx="0">
                  <c:v>92.112073053208121</c:v>
                </c:pt>
                <c:pt idx="1">
                  <c:v>85.703651555256656</c:v>
                </c:pt>
                <c:pt idx="2">
                  <c:v>85.165860315981391</c:v>
                </c:pt>
                <c:pt idx="3">
                  <c:v>88.949461306124121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591-45DD-8217-958BF5D60792}"/>
            </c:ext>
          </c:extLst>
        </c:ser>
        <c:ser>
          <c:idx val="4"/>
          <c:order val="4"/>
          <c:invertIfNegative val="1"/>
          <c:cat>
            <c:numRef>
              <c:f>Combustibles!$E$1:$H$1</c:f>
              <c:numCache>
                <c:formatCode>General</c:formatCode>
                <c:ptCount val="4"/>
              </c:numCache>
            </c:numRef>
          </c:cat>
          <c:val>
            <c:numRef>
              <c:f>Combustibles!$E$151:$H$151</c:f>
              <c:numCache>
                <c:formatCode>0.0000</c:formatCode>
                <c:ptCount val="4"/>
                <c:pt idx="0">
                  <c:v>30.911147622538447</c:v>
                </c:pt>
                <c:pt idx="1">
                  <c:v>31.780154282943105</c:v>
                </c:pt>
                <c:pt idx="2">
                  <c:v>29.868855667073657</c:v>
                </c:pt>
                <c:pt idx="3">
                  <c:v>32.50662425289385</c:v>
                </c:pt>
              </c:numCache>
            </c:numRef>
          </c:val>
          <c:extLst>
            <c:ext xmlns:c16="http://schemas.microsoft.com/office/drawing/2014/chart" uri="{C3380CC4-5D6E-409C-BE32-E72D297353CC}">
              <c16:uniqueId val="{00000004-2591-45DD-8217-958BF5D60792}"/>
            </c:ext>
          </c:extLst>
        </c:ser>
        <c:dLbls>
          <c:showLegendKey val="0"/>
          <c:showVal val="0"/>
          <c:showCatName val="0"/>
          <c:showSerName val="0"/>
          <c:showPercent val="0"/>
          <c:showBubbleSize val="0"/>
        </c:dLbls>
        <c:gapWidth val="150"/>
        <c:axId val="1998151655"/>
        <c:axId val="703373513"/>
      </c:barChart>
      <c:catAx>
        <c:axId val="199815165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703373513"/>
        <c:crosses val="autoZero"/>
        <c:auto val="1"/>
        <c:lblAlgn val="ctr"/>
        <c:lblOffset val="100"/>
        <c:noMultiLvlLbl val="1"/>
      </c:catAx>
      <c:valAx>
        <c:axId val="7033735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199815165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Producción de otros combustibles [PJ]</a:t>
            </a:r>
          </a:p>
        </c:rich>
      </c:tx>
      <c:overlay val="0"/>
    </c:title>
    <c:autoTitleDeleted val="0"/>
    <c:plotArea>
      <c:layout/>
      <c:barChart>
        <c:barDir val="col"/>
        <c:grouping val="clustered"/>
        <c:varyColors val="1"/>
        <c:ser>
          <c:idx val="0"/>
          <c:order val="0"/>
          <c:tx>
            <c:v>Leña</c:v>
          </c:tx>
          <c:spPr>
            <a:solidFill>
              <a:srgbClr val="4472C4"/>
            </a:solidFill>
            <a:ln cmpd="sng">
              <a:solidFill>
                <a:srgbClr val="000000"/>
              </a:solidFill>
            </a:ln>
          </c:spPr>
          <c:invertIfNegative val="1"/>
          <c:cat>
            <c:numRef>
              <c:f>Combustibles!$E$1:$H$1</c:f>
              <c:numCache>
                <c:formatCode>General</c:formatCode>
                <c:ptCount val="4"/>
              </c:numCache>
            </c:numRef>
          </c:cat>
          <c:val>
            <c:numRef>
              <c:f>Combustibles!$E$178:$H$178</c:f>
              <c:numCache>
                <c:formatCode>0.0000</c:formatCode>
                <c:ptCount val="4"/>
                <c:pt idx="0">
                  <c:v>10.121108976373842</c:v>
                </c:pt>
                <c:pt idx="1">
                  <c:v>9.809412923986331</c:v>
                </c:pt>
                <c:pt idx="2">
                  <c:v>9.4608765506667574</c:v>
                </c:pt>
                <c:pt idx="3">
                  <c:v>9.0898252546639533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F94-4E4F-A89F-ADCEA2A48969}"/>
            </c:ext>
          </c:extLst>
        </c:ser>
        <c:ser>
          <c:idx val="1"/>
          <c:order val="1"/>
          <c:invertIfNegative val="1"/>
          <c:cat>
            <c:numRef>
              <c:f>Combustibles!$E$1:$H$1</c:f>
              <c:numCache>
                <c:formatCode>General</c:formatCode>
                <c:ptCount val="4"/>
              </c:numCache>
            </c:numRef>
          </c:cat>
          <c:val>
            <c:numRef>
              <c:f>Combustibles!$E$179:$H$179</c:f>
              <c:numCache>
                <c:formatCode>0.0000</c:formatCode>
                <c:ptCount val="4"/>
                <c:pt idx="0">
                  <c:v>12.162918048479431</c:v>
                </c:pt>
                <c:pt idx="1">
                  <c:v>13.515971351404671</c:v>
                </c:pt>
                <c:pt idx="2">
                  <c:v>12.951554567699301</c:v>
                </c:pt>
                <c:pt idx="3">
                  <c:v>11.647203790450069</c:v>
                </c:pt>
              </c:numCache>
            </c:numRef>
          </c:val>
          <c:extLst>
            <c:ext xmlns:c16="http://schemas.microsoft.com/office/drawing/2014/chart" uri="{C3380CC4-5D6E-409C-BE32-E72D297353CC}">
              <c16:uniqueId val="{00000001-2F94-4E4F-A89F-ADCEA2A48969}"/>
            </c:ext>
          </c:extLst>
        </c:ser>
        <c:dLbls>
          <c:showLegendKey val="0"/>
          <c:showVal val="0"/>
          <c:showCatName val="0"/>
          <c:showSerName val="0"/>
          <c:showPercent val="0"/>
          <c:showBubbleSize val="0"/>
        </c:dLbls>
        <c:gapWidth val="150"/>
        <c:axId val="1102298515"/>
        <c:axId val="1146787956"/>
      </c:barChart>
      <c:catAx>
        <c:axId val="110229851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46787956"/>
        <c:crosses val="autoZero"/>
        <c:auto val="1"/>
        <c:lblAlgn val="ctr"/>
        <c:lblOffset val="100"/>
        <c:noMultiLvlLbl val="1"/>
      </c:catAx>
      <c:valAx>
        <c:axId val="11467879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110229851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Consumo de combustibles para electricidad [PJ]</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Combustibles!$E$254:$H$254</c:f>
              <c:numCache>
                <c:formatCode>0.00</c:formatCode>
                <c:ptCount val="4"/>
                <c:pt idx="0">
                  <c:v>15.491889765932257</c:v>
                </c:pt>
                <c:pt idx="1">
                  <c:v>16.328033741304914</c:v>
                </c:pt>
                <c:pt idx="2">
                  <c:v>16.44997140438009</c:v>
                </c:pt>
                <c:pt idx="3">
                  <c:v>15.904155198234053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787-4C9D-ADEC-0B2B3E6089F6}"/>
            </c:ext>
          </c:extLst>
        </c:ser>
        <c:ser>
          <c:idx val="1"/>
          <c:order val="1"/>
          <c:tx>
            <c:v>Gas natural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Combustibles!$E$255:$H$255</c:f>
              <c:numCache>
                <c:formatCode>0.00</c:formatCode>
                <c:ptCount val="4"/>
                <c:pt idx="0">
                  <c:v>19.875839081254167</c:v>
                </c:pt>
                <c:pt idx="1">
                  <c:v>17.762252921284396</c:v>
                </c:pt>
                <c:pt idx="2">
                  <c:v>15.340919325934417</c:v>
                </c:pt>
                <c:pt idx="3">
                  <c:v>15.282853772089092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787-4C9D-ADEC-0B2B3E6089F6}"/>
            </c:ext>
          </c:extLst>
        </c:ser>
        <c:ser>
          <c:idx val="2"/>
          <c:order val="2"/>
          <c:tx>
            <c:v>Bagazo</c:v>
          </c:tx>
          <c:spPr>
            <a:solidFill>
              <a:srgbClr val="A5A5A5"/>
            </a:solidFill>
            <a:ln cmpd="sng">
              <a:solidFill>
                <a:srgbClr val="000000"/>
              </a:solidFill>
            </a:ln>
          </c:spPr>
          <c:invertIfNegative val="1"/>
          <c:cat>
            <c:numRef>
              <c:f>Combustibles!$E$1:$H$1</c:f>
              <c:numCache>
                <c:formatCode>General</c:formatCode>
                <c:ptCount val="4"/>
              </c:numCache>
            </c:numRef>
          </c:cat>
          <c:val>
            <c:numRef>
              <c:f>Combustibles!$E$256:$H$256</c:f>
              <c:numCache>
                <c:formatCode>0.00</c:formatCode>
                <c:ptCount val="4"/>
                <c:pt idx="0">
                  <c:v>2.7290810307301951</c:v>
                </c:pt>
                <c:pt idx="1">
                  <c:v>2.9497301353424237</c:v>
                </c:pt>
                <c:pt idx="2">
                  <c:v>3.0426350214949411</c:v>
                </c:pt>
                <c:pt idx="3">
                  <c:v>2.659402366115807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87-4C9D-ADEC-0B2B3E6089F6}"/>
            </c:ext>
          </c:extLst>
        </c:ser>
        <c:ser>
          <c:idx val="3"/>
          <c:order val="3"/>
          <c:tx>
            <c:v>GLP</c:v>
          </c:tx>
          <c:spPr>
            <a:solidFill>
              <a:srgbClr val="FFC000"/>
            </a:solidFill>
            <a:ln cmpd="sng">
              <a:solidFill>
                <a:srgbClr val="000000"/>
              </a:solidFill>
            </a:ln>
          </c:spPr>
          <c:invertIfNegative val="1"/>
          <c:cat>
            <c:numRef>
              <c:f>Combustibles!$E$1:$H$1</c:f>
              <c:numCache>
                <c:formatCode>General</c:formatCode>
                <c:ptCount val="4"/>
              </c:numCache>
            </c:numRef>
          </c:cat>
          <c:val>
            <c:numRef>
              <c:f>Combustibles!$E$257:$H$257</c:f>
              <c:numCache>
                <c:formatCode>0.00</c:formatCode>
                <c:ptCount val="4"/>
                <c:pt idx="0">
                  <c:v>0.73162597845107358</c:v>
                </c:pt>
                <c:pt idx="1">
                  <c:v>0.58646209383776537</c:v>
                </c:pt>
                <c:pt idx="2">
                  <c:v>0.61549487076042697</c:v>
                </c:pt>
                <c:pt idx="3">
                  <c:v>0.57484898306870069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787-4C9D-ADEC-0B2B3E6089F6}"/>
            </c:ext>
          </c:extLst>
        </c:ser>
        <c:ser>
          <c:idx val="4"/>
          <c:order val="4"/>
          <c:tx>
            <c:v>Diésel oil</c:v>
          </c:tx>
          <c:spPr>
            <a:solidFill>
              <a:srgbClr val="70AD47"/>
            </a:solidFill>
            <a:ln cmpd="sng">
              <a:solidFill>
                <a:srgbClr val="000000"/>
              </a:solidFill>
            </a:ln>
          </c:spPr>
          <c:invertIfNegative val="1"/>
          <c:cat>
            <c:numRef>
              <c:f>Combustibles!$E$1:$H$1</c:f>
              <c:numCache>
                <c:formatCode>General</c:formatCode>
                <c:ptCount val="4"/>
              </c:numCache>
            </c:numRef>
          </c:cat>
          <c:val>
            <c:numRef>
              <c:f>Combustibles!$E$259:$H$259</c:f>
              <c:numCache>
                <c:formatCode>0.00</c:formatCode>
                <c:ptCount val="4"/>
                <c:pt idx="0">
                  <c:v>15.828669978235132</c:v>
                </c:pt>
                <c:pt idx="1">
                  <c:v>17.62289559205562</c:v>
                </c:pt>
                <c:pt idx="2">
                  <c:v>16.693846730530449</c:v>
                </c:pt>
                <c:pt idx="3">
                  <c:v>17.379020265905265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787-4C9D-ADEC-0B2B3E6089F6}"/>
            </c:ext>
          </c:extLst>
        </c:ser>
        <c:ser>
          <c:idx val="5"/>
          <c:order val="5"/>
          <c:tx>
            <c:v>Fuel oil</c:v>
          </c:tx>
          <c:spPr>
            <a:solidFill>
              <a:srgbClr val="4472C4"/>
            </a:solidFill>
            <a:ln cmpd="sng">
              <a:solidFill>
                <a:srgbClr val="000000"/>
              </a:solidFill>
            </a:ln>
          </c:spPr>
          <c:invertIfNegative val="1"/>
          <c:cat>
            <c:numRef>
              <c:f>Combustibles!$E$1:$H$1</c:f>
              <c:numCache>
                <c:formatCode>General</c:formatCode>
                <c:ptCount val="4"/>
              </c:numCache>
            </c:numRef>
          </c:cat>
          <c:val>
            <c:numRef>
              <c:f>Combustibles!$E$260:$H$260</c:f>
              <c:numCache>
                <c:formatCode>0.00</c:formatCode>
                <c:ptCount val="4"/>
                <c:pt idx="0">
                  <c:v>26.495312219621024</c:v>
                </c:pt>
                <c:pt idx="1">
                  <c:v>19.091954104342303</c:v>
                </c:pt>
                <c:pt idx="2">
                  <c:v>14.864781784402766</c:v>
                </c:pt>
                <c:pt idx="3">
                  <c:v>13.3086249413481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B787-4C9D-ADEC-0B2B3E6089F6}"/>
            </c:ext>
          </c:extLst>
        </c:ser>
        <c:ser>
          <c:idx val="6"/>
          <c:order val="6"/>
          <c:tx>
            <c:v>Crudo reducido</c:v>
          </c:tx>
          <c:spPr>
            <a:solidFill>
              <a:srgbClr val="ED7D31"/>
            </a:solidFill>
            <a:ln cmpd="sng">
              <a:solidFill>
                <a:srgbClr val="000000"/>
              </a:solidFill>
            </a:ln>
          </c:spPr>
          <c:invertIfNegative val="1"/>
          <c:cat>
            <c:numRef>
              <c:f>Combustibles!$E$1:$H$1</c:f>
              <c:numCache>
                <c:formatCode>General</c:formatCode>
                <c:ptCount val="4"/>
              </c:numCache>
            </c:numRef>
          </c:cat>
          <c:val>
            <c:numRef>
              <c:f>Combustibles!$E$261:$H$261</c:f>
              <c:numCache>
                <c:formatCode>0.00</c:formatCode>
                <c:ptCount val="4"/>
                <c:pt idx="0">
                  <c:v>4.0762018799416957</c:v>
                </c:pt>
                <c:pt idx="1">
                  <c:v>2.2239107122758823</c:v>
                </c:pt>
                <c:pt idx="2">
                  <c:v>1.3645405153650976</c:v>
                </c:pt>
                <c:pt idx="3">
                  <c:v>1.6955141722834404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B787-4C9D-ADEC-0B2B3E6089F6}"/>
            </c:ext>
          </c:extLst>
        </c:ser>
        <c:ser>
          <c:idx val="7"/>
          <c:order val="7"/>
          <c:invertIfNegative val="1"/>
          <c:cat>
            <c:numRef>
              <c:f>Combustibles!$E$1:$H$1</c:f>
              <c:numCache>
                <c:formatCode>General</c:formatCode>
                <c:ptCount val="4"/>
              </c:numCache>
            </c:numRef>
          </c:cat>
          <c:val>
            <c:numRef>
              <c:f>Combustibles!$E$262:$H$262</c:f>
              <c:numCache>
                <c:formatCode>0.00</c:formatCode>
                <c:ptCount val="4"/>
                <c:pt idx="0">
                  <c:v>0.92324230614064051</c:v>
                </c:pt>
                <c:pt idx="1">
                  <c:v>0.86517675229531721</c:v>
                </c:pt>
                <c:pt idx="2">
                  <c:v>0.92904886152517285</c:v>
                </c:pt>
                <c:pt idx="3">
                  <c:v>0.88259641844891423</c:v>
                </c:pt>
              </c:numCache>
            </c:numRef>
          </c:val>
          <c:extLst>
            <c:ext xmlns:c16="http://schemas.microsoft.com/office/drawing/2014/chart" uri="{C3380CC4-5D6E-409C-BE32-E72D297353CC}">
              <c16:uniqueId val="{00000007-B787-4C9D-ADEC-0B2B3E6089F6}"/>
            </c:ext>
          </c:extLst>
        </c:ser>
        <c:dLbls>
          <c:showLegendKey val="0"/>
          <c:showVal val="0"/>
          <c:showCatName val="0"/>
          <c:showSerName val="0"/>
          <c:showPercent val="0"/>
          <c:showBubbleSize val="0"/>
        </c:dLbls>
        <c:gapWidth val="150"/>
        <c:overlap val="100"/>
        <c:axId val="1242456951"/>
        <c:axId val="1481165004"/>
      </c:barChart>
      <c:catAx>
        <c:axId val="12424569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81165004"/>
        <c:crosses val="autoZero"/>
        <c:auto val="1"/>
        <c:lblAlgn val="ctr"/>
        <c:lblOffset val="100"/>
        <c:noMultiLvlLbl val="1"/>
      </c:catAx>
      <c:valAx>
        <c:axId val="14811650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24245695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por combustible [PJ]</a:t>
            </a:r>
          </a:p>
        </c:rich>
      </c:tx>
      <c:overlay val="0"/>
    </c:title>
    <c:autoTitleDeleted val="0"/>
    <c:plotArea>
      <c:layout/>
      <c:barChart>
        <c:barDir val="bar"/>
        <c:grouping val="stacked"/>
        <c:varyColors val="1"/>
        <c:ser>
          <c:idx val="0"/>
          <c:order val="0"/>
          <c:tx>
            <c:v>Petróleo</c:v>
          </c:tx>
          <c:spPr>
            <a:solidFill>
              <a:srgbClr val="4472C4"/>
            </a:solidFill>
            <a:ln cmpd="sng">
              <a:solidFill>
                <a:srgbClr val="000000"/>
              </a:solidFill>
            </a:ln>
          </c:spPr>
          <c:invertIfNegative val="1"/>
          <c:cat>
            <c:numRef>
              <c:f>Combustibles!$E$1:$G$1</c:f>
              <c:numCache>
                <c:formatCode>General</c:formatCode>
                <c:ptCount val="3"/>
              </c:numCache>
            </c:numRef>
          </c:cat>
          <c:val>
            <c:numRef>
              <c:f>Combustibles!$E$269:$G$269</c:f>
              <c:numCache>
                <c:formatCode>#,##0.00</c:formatCode>
                <c:ptCount val="3"/>
                <c:pt idx="0">
                  <c:v>6.2195600145607974</c:v>
                </c:pt>
                <c:pt idx="1">
                  <c:v>6.1103192265878521</c:v>
                </c:pt>
                <c:pt idx="2">
                  <c:v>5.9126750523086171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A3-485D-B1EB-63AE53B5B460}"/>
            </c:ext>
          </c:extLst>
        </c:ser>
        <c:ser>
          <c:idx val="1"/>
          <c:order val="1"/>
          <c:tx>
            <c:v>Gas natural</c:v>
          </c:tx>
          <c:spPr>
            <a:solidFill>
              <a:srgbClr val="ED7D31"/>
            </a:solidFill>
            <a:ln cmpd="sng">
              <a:solidFill>
                <a:srgbClr val="000000"/>
              </a:solidFill>
            </a:ln>
          </c:spPr>
          <c:invertIfNegative val="1"/>
          <c:cat>
            <c:numRef>
              <c:f>Combustibles!$E$1:$G$1</c:f>
              <c:numCache>
                <c:formatCode>General</c:formatCode>
                <c:ptCount val="3"/>
              </c:numCache>
            </c:numRef>
          </c:cat>
          <c:val>
            <c:numRef>
              <c:f>Combustibles!$E$270:$G$270</c:f>
              <c:numCache>
                <c:formatCode>#,##0.00</c:formatCode>
                <c:ptCount val="3"/>
                <c:pt idx="0">
                  <c:v>6.0353556386884799</c:v>
                </c:pt>
                <c:pt idx="1">
                  <c:v>5.5821378527306615</c:v>
                </c:pt>
                <c:pt idx="2">
                  <c:v>4.9290096192611195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A3-485D-B1EB-63AE53B5B460}"/>
            </c:ext>
          </c:extLst>
        </c:ser>
        <c:ser>
          <c:idx val="2"/>
          <c:order val="2"/>
          <c:tx>
            <c:v>Bagazo</c:v>
          </c:tx>
          <c:spPr>
            <a:solidFill>
              <a:srgbClr val="A5A5A5"/>
            </a:solidFill>
            <a:ln cmpd="sng">
              <a:solidFill>
                <a:srgbClr val="000000"/>
              </a:solidFill>
            </a:ln>
          </c:spPr>
          <c:invertIfNegative val="1"/>
          <c:cat>
            <c:numRef>
              <c:f>Combustibles!$E$1:$G$1</c:f>
              <c:numCache>
                <c:formatCode>General</c:formatCode>
                <c:ptCount val="3"/>
              </c:numCache>
            </c:numRef>
          </c:cat>
          <c:val>
            <c:numRef>
              <c:f>Combustibles!$E$271:$G$271</c:f>
              <c:numCache>
                <c:formatCode>#,##0.00</c:formatCode>
                <c:ptCount val="3"/>
                <c:pt idx="0">
                  <c:v>1.3759203419650334</c:v>
                </c:pt>
                <c:pt idx="1">
                  <c:v>1.4878806610556581</c:v>
                </c:pt>
                <c:pt idx="2">
                  <c:v>1.5347486942352482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4A3-485D-B1EB-63AE53B5B460}"/>
            </c:ext>
          </c:extLst>
        </c:ser>
        <c:ser>
          <c:idx val="3"/>
          <c:order val="3"/>
          <c:tx>
            <c:v>Diésel oil</c:v>
          </c:tx>
          <c:spPr>
            <a:solidFill>
              <a:srgbClr val="70AD47"/>
            </a:solidFill>
            <a:ln cmpd="sng">
              <a:solidFill>
                <a:srgbClr val="000000"/>
              </a:solidFill>
            </a:ln>
          </c:spPr>
          <c:invertIfNegative val="1"/>
          <c:cat>
            <c:numRef>
              <c:f>Combustibles!$E$1:$G$1</c:f>
              <c:numCache>
                <c:formatCode>General</c:formatCode>
                <c:ptCount val="3"/>
              </c:numCache>
            </c:numRef>
          </c:cat>
          <c:val>
            <c:numRef>
              <c:f>Combustibles!$E$274:$G$274</c:f>
              <c:numCache>
                <c:formatCode>#,##0.00</c:formatCode>
                <c:ptCount val="3"/>
                <c:pt idx="0">
                  <c:v>5.7717985720869835</c:v>
                </c:pt>
                <c:pt idx="1">
                  <c:v>5.8879874353752326</c:v>
                </c:pt>
                <c:pt idx="2">
                  <c:v>5.6880162266002365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4A3-485D-B1EB-63AE53B5B460}"/>
            </c:ext>
          </c:extLst>
        </c:ser>
        <c:ser>
          <c:idx val="4"/>
          <c:order val="4"/>
          <c:tx>
            <c:v>Fuel oil</c:v>
          </c:tx>
          <c:spPr>
            <a:solidFill>
              <a:srgbClr val="4472C4"/>
            </a:solidFill>
            <a:ln cmpd="sng">
              <a:solidFill>
                <a:srgbClr val="000000"/>
              </a:solidFill>
            </a:ln>
          </c:spPr>
          <c:invertIfNegative val="1"/>
          <c:cat>
            <c:numRef>
              <c:f>Combustibles!$E$1:$G$1</c:f>
              <c:numCache>
                <c:formatCode>General</c:formatCode>
                <c:ptCount val="3"/>
              </c:numCache>
            </c:numRef>
          </c:cat>
          <c:val>
            <c:numRef>
              <c:f>Combustibles!$E$275:$G$275</c:f>
              <c:numCache>
                <c:formatCode>#,##0.00</c:formatCode>
                <c:ptCount val="3"/>
                <c:pt idx="0">
                  <c:v>9.9722642736357106</c:v>
                </c:pt>
                <c:pt idx="1">
                  <c:v>7.0932098359841209</c:v>
                </c:pt>
                <c:pt idx="2">
                  <c:v>5.5318052998432536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4A3-485D-B1EB-63AE53B5B460}"/>
            </c:ext>
          </c:extLst>
        </c:ser>
        <c:ser>
          <c:idx val="5"/>
          <c:order val="5"/>
          <c:invertIfNegative val="1"/>
          <c:cat>
            <c:numRef>
              <c:f>Combustibles!$E$1:$G$1</c:f>
              <c:numCache>
                <c:formatCode>General</c:formatCode>
                <c:ptCount val="3"/>
              </c:numCache>
            </c:numRef>
          </c:cat>
          <c:val>
            <c:numRef>
              <c:f>Combustibles!$E$277:$G$277</c:f>
              <c:numCache>
                <c:formatCode>#,##0.00</c:formatCode>
                <c:ptCount val="3"/>
                <c:pt idx="0">
                  <c:v>0.16380518034114624</c:v>
                </c:pt>
                <c:pt idx="1">
                  <c:v>0.1480830490411065</c:v>
                </c:pt>
                <c:pt idx="2">
                  <c:v>0.15826465809811166</c:v>
                </c:pt>
              </c:numCache>
            </c:numRef>
          </c:val>
          <c:extLst>
            <c:ext xmlns:c16="http://schemas.microsoft.com/office/drawing/2014/chart" uri="{C3380CC4-5D6E-409C-BE32-E72D297353CC}">
              <c16:uniqueId val="{00000005-A4A3-485D-B1EB-63AE53B5B460}"/>
            </c:ext>
          </c:extLst>
        </c:ser>
        <c:dLbls>
          <c:showLegendKey val="0"/>
          <c:showVal val="0"/>
          <c:showCatName val="0"/>
          <c:showSerName val="0"/>
          <c:showPercent val="0"/>
          <c:showBubbleSize val="0"/>
        </c:dLbls>
        <c:gapWidth val="150"/>
        <c:overlap val="100"/>
        <c:axId val="606424587"/>
        <c:axId val="1547229501"/>
      </c:barChart>
      <c:catAx>
        <c:axId val="606424587"/>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47229501"/>
        <c:crosses val="autoZero"/>
        <c:auto val="1"/>
        <c:lblAlgn val="ctr"/>
        <c:lblOffset val="100"/>
        <c:noMultiLvlLbl val="1"/>
      </c:catAx>
      <c:valAx>
        <c:axId val="154722950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606424587"/>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Input Activity Ratio</a:t>
            </a:r>
          </a:p>
        </c:rich>
      </c:tx>
      <c:overlay val="0"/>
    </c:title>
    <c:autoTitleDeleted val="0"/>
    <c:plotArea>
      <c:layout/>
      <c:barChart>
        <c:barDir val="col"/>
        <c:grouping val="clustered"/>
        <c:varyColors val="1"/>
        <c:ser>
          <c:idx val="0"/>
          <c:order val="0"/>
          <c:tx>
            <c:v>Extracción de petróleo</c:v>
          </c:tx>
          <c:spPr>
            <a:solidFill>
              <a:srgbClr val="ED7D31"/>
            </a:solidFill>
            <a:ln cmpd="sng">
              <a:solidFill>
                <a:srgbClr val="000000"/>
              </a:solidFill>
            </a:ln>
          </c:spPr>
          <c:invertIfNegative val="1"/>
          <c:cat>
            <c:numRef>
              <c:f>Combustibles!$E$1:$H$1</c:f>
              <c:numCache>
                <c:formatCode>General</c:formatCode>
                <c:ptCount val="4"/>
              </c:numCache>
            </c:numRef>
          </c:cat>
          <c:val>
            <c:numRef>
              <c:f>Combustibles!$E$37:$H$37</c:f>
              <c:numCache>
                <c:formatCode>0.0000</c:formatCode>
                <c:ptCount val="4"/>
                <c:pt idx="0">
                  <c:v>1.0130230639530615</c:v>
                </c:pt>
                <c:pt idx="1">
                  <c:v>0.99611157682768803</c:v>
                </c:pt>
                <c:pt idx="2">
                  <c:v>0.98321715723633063</c:v>
                </c:pt>
                <c:pt idx="3">
                  <c:v>1.0099532988957931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CBD-4F3F-9412-8B3420696532}"/>
            </c:ext>
          </c:extLst>
        </c:ser>
        <c:ser>
          <c:idx val="1"/>
          <c:order val="1"/>
          <c:tx>
            <c:v>Extracción de Gas Natural</c:v>
          </c:tx>
          <c:spPr>
            <a:solidFill>
              <a:srgbClr val="A5A5A5"/>
            </a:solidFill>
            <a:ln cmpd="sng">
              <a:solidFill>
                <a:srgbClr val="000000"/>
              </a:solidFill>
            </a:ln>
          </c:spPr>
          <c:invertIfNegative val="1"/>
          <c:cat>
            <c:numRef>
              <c:f>Combustibles!$E$1:$H$1</c:f>
              <c:numCache>
                <c:formatCode>General</c:formatCode>
                <c:ptCount val="4"/>
              </c:numCache>
            </c:numRef>
          </c:cat>
          <c:val>
            <c:numRef>
              <c:f>Combustibles!$E$38:$H$38</c:f>
              <c:numCache>
                <c:formatCode>0.0000</c:formatCode>
                <c:ptCount val="4"/>
                <c:pt idx="0">
                  <c:v>1.657375515515576</c:v>
                </c:pt>
                <c:pt idx="1">
                  <c:v>1.7252742318807428</c:v>
                </c:pt>
                <c:pt idx="2">
                  <c:v>1.7263297639122919</c:v>
                </c:pt>
                <c:pt idx="3">
                  <c:v>1.687195980509596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CBD-4F3F-9412-8B3420696532}"/>
            </c:ext>
          </c:extLst>
        </c:ser>
        <c:ser>
          <c:idx val="2"/>
          <c:order val="2"/>
          <c:tx>
            <c:v>Refinería Esmeraldas</c:v>
          </c:tx>
          <c:spPr>
            <a:solidFill>
              <a:srgbClr val="4472C4"/>
            </a:solidFill>
            <a:ln cmpd="sng">
              <a:solidFill>
                <a:srgbClr val="000000"/>
              </a:solidFill>
            </a:ln>
          </c:spPr>
          <c:invertIfNegative val="1"/>
          <c:cat>
            <c:numRef>
              <c:f>Combustibles!$E$1:$H$1</c:f>
              <c:numCache>
                <c:formatCode>General</c:formatCode>
                <c:ptCount val="4"/>
              </c:numCache>
            </c:numRef>
          </c:cat>
          <c:val>
            <c:numRef>
              <c:f>Combustibles!$E$117:$H$117</c:f>
              <c:numCache>
                <c:formatCode>General</c:formatCode>
                <c:ptCount val="4"/>
                <c:pt idx="0">
                  <c:v>1.0186537319565154</c:v>
                </c:pt>
                <c:pt idx="1">
                  <c:v>1.0901412942870059</c:v>
                </c:pt>
                <c:pt idx="2">
                  <c:v>1.0681535574964796</c:v>
                </c:pt>
                <c:pt idx="3">
                  <c:v>1.0569373217520615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CBD-4F3F-9412-8B3420696532}"/>
            </c:ext>
          </c:extLst>
        </c:ser>
        <c:ser>
          <c:idx val="3"/>
          <c:order val="3"/>
          <c:tx>
            <c:v>Refinería La Libertad</c:v>
          </c:tx>
          <c:spPr>
            <a:solidFill>
              <a:srgbClr val="FFC000"/>
            </a:solidFill>
            <a:ln cmpd="sng">
              <a:solidFill>
                <a:srgbClr val="000000"/>
              </a:solidFill>
            </a:ln>
          </c:spPr>
          <c:invertIfNegative val="1"/>
          <c:cat>
            <c:numRef>
              <c:f>Combustibles!$E$1:$H$1</c:f>
              <c:numCache>
                <c:formatCode>General</c:formatCode>
                <c:ptCount val="4"/>
              </c:numCache>
            </c:numRef>
          </c:cat>
          <c:val>
            <c:numRef>
              <c:f>Combustibles!$E$118:$H$118</c:f>
              <c:numCache>
                <c:formatCode>General</c:formatCode>
                <c:ptCount val="4"/>
                <c:pt idx="0">
                  <c:v>1.0191606178665988</c:v>
                </c:pt>
                <c:pt idx="1">
                  <c:v>1.0155787959782421</c:v>
                </c:pt>
                <c:pt idx="2">
                  <c:v>1.0165984336732476</c:v>
                </c:pt>
                <c:pt idx="3">
                  <c:v>1.0202482134019579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CBD-4F3F-9412-8B3420696532}"/>
            </c:ext>
          </c:extLst>
        </c:ser>
        <c:ser>
          <c:idx val="4"/>
          <c:order val="4"/>
          <c:tx>
            <c:v>Refinería Shushufindi</c:v>
          </c:tx>
          <c:spPr>
            <a:solidFill>
              <a:srgbClr val="5B9BD5"/>
            </a:solidFill>
            <a:ln cmpd="sng">
              <a:solidFill>
                <a:srgbClr val="000000"/>
              </a:solidFill>
            </a:ln>
          </c:spPr>
          <c:invertIfNegative val="1"/>
          <c:cat>
            <c:numRef>
              <c:f>Combustibles!$E$1:$H$1</c:f>
              <c:numCache>
                <c:formatCode>General</c:formatCode>
                <c:ptCount val="4"/>
              </c:numCache>
            </c:numRef>
          </c:cat>
          <c:val>
            <c:numRef>
              <c:f>Combustibles!$E$119:$H$119</c:f>
              <c:numCache>
                <c:formatCode>General</c:formatCode>
                <c:ptCount val="4"/>
                <c:pt idx="0">
                  <c:v>1.0209385314399402</c:v>
                </c:pt>
                <c:pt idx="1">
                  <c:v>1.0239590305604978</c:v>
                </c:pt>
                <c:pt idx="2">
                  <c:v>1.017616751671953</c:v>
                </c:pt>
                <c:pt idx="3">
                  <c:v>1.0214879509003236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CBD-4F3F-9412-8B3420696532}"/>
            </c:ext>
          </c:extLst>
        </c:ser>
        <c:ser>
          <c:idx val="5"/>
          <c:order val="5"/>
          <c:invertIfNegative val="1"/>
          <c:cat>
            <c:numRef>
              <c:f>Combustibles!$E$1:$H$1</c:f>
              <c:numCache>
                <c:formatCode>General</c:formatCode>
                <c:ptCount val="4"/>
              </c:numCache>
            </c:numRef>
          </c:cat>
          <c:val>
            <c:numRef>
              <c:f>Combustibles!$E$120:$H$120</c:f>
              <c:numCache>
                <c:formatCode>General</c:formatCode>
                <c:ptCount val="4"/>
                <c:pt idx="0">
                  <c:v>1.0077995979296113</c:v>
                </c:pt>
                <c:pt idx="1">
                  <c:v>1.0128033270125087</c:v>
                </c:pt>
                <c:pt idx="2">
                  <c:v>0.99976582784758372</c:v>
                </c:pt>
                <c:pt idx="3">
                  <c:v>0.99455784209607245</c:v>
                </c:pt>
              </c:numCache>
            </c:numRef>
          </c:val>
          <c:extLst>
            <c:ext xmlns:c16="http://schemas.microsoft.com/office/drawing/2014/chart" uri="{C3380CC4-5D6E-409C-BE32-E72D297353CC}">
              <c16:uniqueId val="{00000005-9CBD-4F3F-9412-8B3420696532}"/>
            </c:ext>
          </c:extLst>
        </c:ser>
        <c:dLbls>
          <c:showLegendKey val="0"/>
          <c:showVal val="0"/>
          <c:showCatName val="0"/>
          <c:showSerName val="0"/>
          <c:showPercent val="0"/>
          <c:showBubbleSize val="0"/>
        </c:dLbls>
        <c:gapWidth val="150"/>
        <c:axId val="740021685"/>
        <c:axId val="1124154267"/>
      </c:barChart>
      <c:catAx>
        <c:axId val="7400216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24154267"/>
        <c:crosses val="autoZero"/>
        <c:auto val="1"/>
        <c:lblAlgn val="ctr"/>
        <c:lblOffset val="100"/>
        <c:noMultiLvlLbl val="1"/>
      </c:catAx>
      <c:valAx>
        <c:axId val="112415426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74002168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Input Activity Ratio (Producción de electricidad a partir de combustibles)</a:t>
            </a:r>
          </a:p>
        </c:rich>
      </c:tx>
      <c:overlay val="0"/>
    </c:title>
    <c:autoTitleDeleted val="0"/>
    <c:plotArea>
      <c:layout/>
      <c:barChart>
        <c:barDir val="col"/>
        <c:grouping val="clustered"/>
        <c:varyColors val="1"/>
        <c:ser>
          <c:idx val="0"/>
          <c:order val="0"/>
          <c:tx>
            <c:v>Petróleo</c:v>
          </c:tx>
          <c:spPr>
            <a:solidFill>
              <a:srgbClr val="4472C4"/>
            </a:solidFill>
            <a:ln cmpd="sng">
              <a:solidFill>
                <a:srgbClr val="000000"/>
              </a:solidFill>
            </a:ln>
          </c:spPr>
          <c:invertIfNegative val="1"/>
          <c:cat>
            <c:numRef>
              <c:f>Combustibles!$E$1:$H$1</c:f>
              <c:numCache>
                <c:formatCode>General</c:formatCode>
                <c:ptCount val="4"/>
              </c:numCache>
            </c:numRef>
          </c:cat>
          <c:val>
            <c:numRef>
              <c:f>Combustibles!$E$284:$H$284</c:f>
              <c:numCache>
                <c:formatCode>General</c:formatCode>
                <c:ptCount val="4"/>
                <c:pt idx="0">
                  <c:v>2.4908000000000001</c:v>
                </c:pt>
                <c:pt idx="1">
                  <c:v>2.6722000000000001</c:v>
                </c:pt>
                <c:pt idx="2">
                  <c:v>2.7822</c:v>
                </c:pt>
                <c:pt idx="3">
                  <c:v>2.6484000000000001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EEA-4EE7-9891-A3227B6C23D5}"/>
            </c:ext>
          </c:extLst>
        </c:ser>
        <c:ser>
          <c:idx val="1"/>
          <c:order val="1"/>
          <c:tx>
            <c:v>Gas Natural</c:v>
          </c:tx>
          <c:spPr>
            <a:solidFill>
              <a:srgbClr val="ED7D31"/>
            </a:solidFill>
            <a:ln cmpd="sng">
              <a:solidFill>
                <a:srgbClr val="000000"/>
              </a:solidFill>
            </a:ln>
          </c:spPr>
          <c:invertIfNegative val="1"/>
          <c:cat>
            <c:numRef>
              <c:f>Combustibles!$E$1:$H$1</c:f>
              <c:numCache>
                <c:formatCode>General</c:formatCode>
                <c:ptCount val="4"/>
              </c:numCache>
            </c:numRef>
          </c:cat>
          <c:val>
            <c:numRef>
              <c:f>Combustibles!$E$285:$H$285</c:f>
              <c:numCache>
                <c:formatCode>General</c:formatCode>
                <c:ptCount val="4"/>
                <c:pt idx="0">
                  <c:v>3.2932000000000001</c:v>
                </c:pt>
                <c:pt idx="1">
                  <c:v>3.1819999999999999</c:v>
                </c:pt>
                <c:pt idx="2">
                  <c:v>3.1124000000000001</c:v>
                </c:pt>
                <c:pt idx="3">
                  <c:v>3.1959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EEA-4EE7-9891-A3227B6C23D5}"/>
            </c:ext>
          </c:extLst>
        </c:ser>
        <c:ser>
          <c:idx val="2"/>
          <c:order val="2"/>
          <c:tx>
            <c:v>Bagazo de caña</c:v>
          </c:tx>
          <c:spPr>
            <a:solidFill>
              <a:srgbClr val="A5A5A5"/>
            </a:solidFill>
            <a:ln cmpd="sng">
              <a:solidFill>
                <a:srgbClr val="000000"/>
              </a:solidFill>
            </a:ln>
          </c:spPr>
          <c:invertIfNegative val="1"/>
          <c:cat>
            <c:numRef>
              <c:f>Combustibles!$E$1:$H$1</c:f>
              <c:numCache>
                <c:formatCode>General</c:formatCode>
                <c:ptCount val="4"/>
              </c:numCache>
            </c:numRef>
          </c:cat>
          <c:val>
            <c:numRef>
              <c:f>Combustibles!$E$286:$H$286</c:f>
              <c:numCache>
                <c:formatCode>General</c:formatCode>
                <c:ptCount val="4"/>
                <c:pt idx="0">
                  <c:v>1.9835</c:v>
                </c:pt>
                <c:pt idx="1">
                  <c:v>1.9824999999999999</c:v>
                </c:pt>
                <c:pt idx="2">
                  <c:v>1.9824999999999999</c:v>
                </c:pt>
                <c:pt idx="3">
                  <c:v>1.9827999999999999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EEA-4EE7-9891-A3227B6C23D5}"/>
            </c:ext>
          </c:extLst>
        </c:ser>
        <c:ser>
          <c:idx val="3"/>
          <c:order val="3"/>
          <c:tx>
            <c:v>Diésel oil</c:v>
          </c:tx>
          <c:spPr>
            <a:solidFill>
              <a:srgbClr val="70AD47"/>
            </a:solidFill>
            <a:ln cmpd="sng">
              <a:solidFill>
                <a:srgbClr val="000000"/>
              </a:solidFill>
            </a:ln>
          </c:spPr>
          <c:invertIfNegative val="1"/>
          <c:cat>
            <c:numRef>
              <c:f>Combustibles!$E$1:$H$1</c:f>
              <c:numCache>
                <c:formatCode>General</c:formatCode>
                <c:ptCount val="4"/>
              </c:numCache>
            </c:numRef>
          </c:cat>
          <c:val>
            <c:numRef>
              <c:f>Combustibles!$E$289:$H$289</c:f>
              <c:numCache>
                <c:formatCode>General</c:formatCode>
                <c:ptCount val="4"/>
                <c:pt idx="0">
                  <c:v>2.7423999999999999</c:v>
                </c:pt>
                <c:pt idx="1">
                  <c:v>2.9929999999999999</c:v>
                </c:pt>
                <c:pt idx="2">
                  <c:v>2.9348999999999998</c:v>
                </c:pt>
                <c:pt idx="3">
                  <c:v>2.8900999999999999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EEA-4EE7-9891-A3227B6C23D5}"/>
            </c:ext>
          </c:extLst>
        </c:ser>
        <c:ser>
          <c:idx val="4"/>
          <c:order val="4"/>
          <c:tx>
            <c:v>Fuel oil</c:v>
          </c:tx>
          <c:spPr>
            <a:solidFill>
              <a:srgbClr val="4472C4"/>
            </a:solidFill>
            <a:ln cmpd="sng">
              <a:solidFill>
                <a:srgbClr val="000000"/>
              </a:solidFill>
            </a:ln>
          </c:spPr>
          <c:invertIfNegative val="1"/>
          <c:cat>
            <c:numRef>
              <c:f>Combustibles!$E$1:$H$1</c:f>
              <c:numCache>
                <c:formatCode>General</c:formatCode>
                <c:ptCount val="4"/>
              </c:numCache>
            </c:numRef>
          </c:cat>
          <c:val>
            <c:numRef>
              <c:f>Combustibles!$E$290:$H$290</c:f>
              <c:numCache>
                <c:formatCode>General</c:formatCode>
                <c:ptCount val="4"/>
                <c:pt idx="0">
                  <c:v>2.6568999999999998</c:v>
                </c:pt>
                <c:pt idx="1">
                  <c:v>2.6916000000000002</c:v>
                </c:pt>
                <c:pt idx="2">
                  <c:v>2.6871</c:v>
                </c:pt>
                <c:pt idx="3">
                  <c:v>2.6785000000000001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2EEA-4EE7-9891-A3227B6C23D5}"/>
            </c:ext>
          </c:extLst>
        </c:ser>
        <c:ser>
          <c:idx val="5"/>
          <c:order val="5"/>
          <c:invertIfNegative val="1"/>
          <c:cat>
            <c:numRef>
              <c:f>Combustibles!$E$1:$H$1</c:f>
              <c:numCache>
                <c:formatCode>General</c:formatCode>
                <c:ptCount val="4"/>
              </c:numCache>
            </c:numRef>
          </c:cat>
          <c:val>
            <c:numRef>
              <c:f>Combustibles!$E$292:$H$292</c:f>
              <c:numCache>
                <c:formatCode>General</c:formatCode>
                <c:ptCount val="4"/>
                <c:pt idx="0">
                  <c:v>5.6361999999999997</c:v>
                </c:pt>
                <c:pt idx="1">
                  <c:v>5.8425000000000002</c:v>
                </c:pt>
                <c:pt idx="2">
                  <c:v>5.8701999999999996</c:v>
                </c:pt>
                <c:pt idx="3">
                  <c:v>5.7830000000000004</c:v>
                </c:pt>
              </c:numCache>
            </c:numRef>
          </c:val>
          <c:extLst>
            <c:ext xmlns:c16="http://schemas.microsoft.com/office/drawing/2014/chart" uri="{C3380CC4-5D6E-409C-BE32-E72D297353CC}">
              <c16:uniqueId val="{00000005-2EEA-4EE7-9891-A3227B6C23D5}"/>
            </c:ext>
          </c:extLst>
        </c:ser>
        <c:dLbls>
          <c:showLegendKey val="0"/>
          <c:showVal val="0"/>
          <c:showCatName val="0"/>
          <c:showSerName val="0"/>
          <c:showPercent val="0"/>
          <c:showBubbleSize val="0"/>
        </c:dLbls>
        <c:gapWidth val="150"/>
        <c:axId val="1877713493"/>
        <c:axId val="1000424358"/>
      </c:barChart>
      <c:catAx>
        <c:axId val="187771349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00424358"/>
        <c:crosses val="autoZero"/>
        <c:auto val="1"/>
        <c:lblAlgn val="ctr"/>
        <c:lblOffset val="100"/>
        <c:noMultiLvlLbl val="1"/>
      </c:catAx>
      <c:valAx>
        <c:axId val="10004243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87771349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(Sistemas Aislados) - 2018</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69E6-4F68-8A4C-5D5CDF7DC59B}"/>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69E6-4F68-8A4C-5D5CDF7DC59B}"/>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Electricidad!$D$295</c:f>
              <c:strCache>
                <c:ptCount val="1"/>
                <c:pt idx="0">
                  <c:v>Eólica</c:v>
                </c:pt>
              </c:strCache>
            </c:strRef>
          </c:cat>
          <c:val>
            <c:numRef>
              <c:f>Electricidad!$D$297</c:f>
              <c:numCache>
                <c:formatCode>General</c:formatCode>
                <c:ptCount val="1"/>
                <c:pt idx="0">
                  <c:v>0</c:v>
                </c:pt>
              </c:numCache>
            </c:numRef>
          </c:val>
          <c:extLst>
            <c:ext xmlns:c16="http://schemas.microsoft.com/office/drawing/2014/chart" uri="{C3380CC4-5D6E-409C-BE32-E72D297353CC}">
              <c16:uniqueId val="{00000002-69E6-4F68-8A4C-5D5CDF7DC59B}"/>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Capacidad Instalada (SNI) - 2018</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6950-41ED-BBD5-BE2F607A511F}"/>
              </c:ext>
            </c:extLst>
          </c:dPt>
          <c:dPt>
            <c:idx val="1"/>
            <c:bubble3D val="0"/>
            <c:spPr>
              <a:solidFill>
                <a:schemeClr val="accent5"/>
              </a:solidFill>
            </c:spPr>
            <c:extLst>
              <c:ext xmlns:c16="http://schemas.microsoft.com/office/drawing/2014/chart" uri="{C3380CC4-5D6E-409C-BE32-E72D297353CC}">
                <c16:uniqueId val="{00000003-6950-41ED-BBD5-BE2F607A511F}"/>
              </c:ext>
            </c:extLst>
          </c:dPt>
          <c:dLbls>
            <c:dLbl>
              <c:idx val="0"/>
              <c:tx>
                <c:rich>
                  <a:bodyPr/>
                  <a:lstStyle/>
                  <a:p>
                    <a:r>
                      <a:rPr lang="en-US"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6950-41ED-BBD5-BE2F607A511F}"/>
                </c:ext>
              </c:extLst>
            </c:dLbl>
            <c:dLbl>
              <c:idx val="1"/>
              <c:tx>
                <c:rich>
                  <a:bodyPr/>
                  <a:lstStyle/>
                  <a:p>
                    <a:r>
                      <a:rPr lang="en-US"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6950-41ED-BBD5-BE2F607A511F}"/>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Electricidad!$D$6</c:f>
              <c:strCache>
                <c:ptCount val="1"/>
                <c:pt idx="0">
                  <c:v>Biomasa</c:v>
                </c:pt>
              </c:strCache>
            </c:strRef>
          </c:cat>
          <c:val>
            <c:numRef>
              <c:f>Electricidad!$D$9:$D$10</c:f>
              <c:numCache>
                <c:formatCode>General</c:formatCode>
                <c:ptCount val="2"/>
                <c:pt idx="0">
                  <c:v>0</c:v>
                </c:pt>
                <c:pt idx="1">
                  <c:v>0</c:v>
                </c:pt>
              </c:numCache>
            </c:numRef>
          </c:val>
          <c:extLst>
            <c:ext xmlns:c16="http://schemas.microsoft.com/office/drawing/2014/chart" uri="{C3380CC4-5D6E-409C-BE32-E72D297353CC}">
              <c16:uniqueId val="{00000004-6950-41ED-BBD5-BE2F607A511F}"/>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Capacidad Instalada (SNI) - 2019</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4853-4DC6-B151-B186209079C9}"/>
              </c:ext>
            </c:extLst>
          </c:dPt>
          <c:dLbls>
            <c:dLbl>
              <c:idx val="0"/>
              <c:tx>
                <c:rich>
                  <a:bodyPr/>
                  <a:lstStyle/>
                  <a:p>
                    <a:r>
                      <a:rPr lang="en-US"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4853-4DC6-B151-B186209079C9}"/>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val>
            <c:numRef>
              <c:f>Electricidad!$F$6</c:f>
              <c:numCache>
                <c:formatCode>#,##0.00000</c:formatCode>
                <c:ptCount val="1"/>
                <c:pt idx="0">
                  <c:v>0.14430000000000001</c:v>
                </c:pt>
              </c:numCache>
            </c:numRef>
          </c:val>
          <c:extLst>
            <c:ext xmlns:c16="http://schemas.microsoft.com/office/drawing/2014/chart" uri="{C3380CC4-5D6E-409C-BE32-E72D297353CC}">
              <c16:uniqueId val="{00000002-4853-4DC6-B151-B186209079C9}"/>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Capacidad Instalada (SNI) - 2020</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DB96-43A6-B2D6-45471ED7D367}"/>
              </c:ext>
            </c:extLst>
          </c:dPt>
          <c:dLbls>
            <c:dLbl>
              <c:idx val="0"/>
              <c:tx>
                <c:rich>
                  <a:bodyPr/>
                  <a:lstStyle/>
                  <a:p>
                    <a:r>
                      <a:rPr lang="en-US"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DB96-43A6-B2D6-45471ED7D36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val>
            <c:numRef>
              <c:f>Electricidad!$G$6</c:f>
              <c:numCache>
                <c:formatCode>#,##0.00000</c:formatCode>
                <c:ptCount val="1"/>
                <c:pt idx="0">
                  <c:v>0.14430000000000001</c:v>
                </c:pt>
              </c:numCache>
            </c:numRef>
          </c:val>
          <c:extLst>
            <c:ext xmlns:c16="http://schemas.microsoft.com/office/drawing/2014/chart" uri="{C3380CC4-5D6E-409C-BE32-E72D297353CC}">
              <c16:uniqueId val="{00000002-DB96-43A6-B2D6-45471ED7D367}"/>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Capacidad Instalada (SNI) - 2021</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6613-4F16-9780-F934EF2F8214}"/>
              </c:ext>
            </c:extLst>
          </c:dPt>
          <c:dLbls>
            <c:dLbl>
              <c:idx val="0"/>
              <c:tx>
                <c:rich>
                  <a:bodyPr/>
                  <a:lstStyle/>
                  <a:p>
                    <a:r>
                      <a:rPr lang="en-US"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6613-4F16-9780-F934EF2F8214}"/>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val>
            <c:numRef>
              <c:f>Electricidad!$H$6</c:f>
              <c:numCache>
                <c:formatCode>#,##0.00000</c:formatCode>
                <c:ptCount val="1"/>
                <c:pt idx="0">
                  <c:v>0.14430000000000001</c:v>
                </c:pt>
              </c:numCache>
            </c:numRef>
          </c:val>
          <c:extLst>
            <c:ext xmlns:c16="http://schemas.microsoft.com/office/drawing/2014/chart" uri="{C3380CC4-5D6E-409C-BE32-E72D297353CC}">
              <c16:uniqueId val="{00000002-6613-4F16-9780-F934EF2F8214}"/>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Capacidad Instalada Térmica (SNI)</a:t>
            </a:r>
          </a:p>
        </c:rich>
      </c:tx>
      <c:overlay val="0"/>
    </c:title>
    <c:autoTitleDeleted val="0"/>
    <c:plotArea>
      <c:layout/>
      <c:barChart>
        <c:barDir val="col"/>
        <c:grouping val="percentStacked"/>
        <c:varyColors val="1"/>
        <c:ser>
          <c:idx val="0"/>
          <c:order val="0"/>
          <c:tx>
            <c:v>MCI-Diesel</c:v>
          </c:tx>
          <c:spPr>
            <a:solidFill>
              <a:srgbClr val="A5A5A5"/>
            </a:solidFill>
            <a:ln cmpd="sng">
              <a:solidFill>
                <a:srgbClr val="000000"/>
              </a:solidFill>
            </a:ln>
          </c:spPr>
          <c:invertIfNegative val="1"/>
          <c:cat>
            <c:numRef>
              <c:f>Electricidad!$E$1:$H$1</c:f>
              <c:numCache>
                <c:formatCode>General</c:formatCode>
                <c:ptCount val="4"/>
              </c:numCache>
            </c:numRef>
          </c:cat>
          <c:val>
            <c:numRef>
              <c:f>Electricidad!$E$20:$H$20</c:f>
              <c:numCache>
                <c:formatCode>#,##0.00000</c:formatCode>
                <c:ptCount val="4"/>
                <c:pt idx="0" formatCode="#,##0.00">
                  <c:v>0.30998559999999997</c:v>
                </c:pt>
                <c:pt idx="1">
                  <c:v>0.2623856</c:v>
                </c:pt>
                <c:pt idx="2">
                  <c:v>0.2623856</c:v>
                </c:pt>
                <c:pt idx="3">
                  <c:v>0.2623856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0B2-4499-8FDC-A3239191A2B3}"/>
            </c:ext>
          </c:extLst>
        </c:ser>
        <c:ser>
          <c:idx val="1"/>
          <c:order val="1"/>
          <c:tx>
            <c:v>MCI-Fuel Oil</c:v>
          </c:tx>
          <c:spPr>
            <a:solidFill>
              <a:srgbClr val="FFC000"/>
            </a:solidFill>
            <a:ln cmpd="sng">
              <a:solidFill>
                <a:srgbClr val="000000"/>
              </a:solidFill>
            </a:ln>
          </c:spPr>
          <c:invertIfNegative val="1"/>
          <c:cat>
            <c:numRef>
              <c:f>Electricidad!$E$1:$H$1</c:f>
              <c:numCache>
                <c:formatCode>General</c:formatCode>
                <c:ptCount val="4"/>
              </c:numCache>
            </c:numRef>
          </c:cat>
          <c:val>
            <c:numRef>
              <c:f>Electricidad!$E$21:$H$21</c:f>
              <c:numCache>
                <c:formatCode>#,##0.00000</c:formatCode>
                <c:ptCount val="4"/>
                <c:pt idx="0" formatCode="#,##0.00">
                  <c:v>0.43722</c:v>
                </c:pt>
                <c:pt idx="1">
                  <c:v>0.43722</c:v>
                </c:pt>
                <c:pt idx="2">
                  <c:v>0.43722</c:v>
                </c:pt>
                <c:pt idx="3">
                  <c:v>0.44643999999999995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0B2-4499-8FDC-A3239191A2B3}"/>
            </c:ext>
          </c:extLst>
        </c:ser>
        <c:ser>
          <c:idx val="2"/>
          <c:order val="2"/>
          <c:tx>
            <c:v>MCI-Otro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Electricidad!$E$22:$H$22</c:f>
              <c:numCache>
                <c:formatCode>#,##0.00000</c:formatCode>
                <c:ptCount val="4"/>
                <c:pt idx="0">
                  <c:v>2.2499999999999998E-3</c:v>
                </c:pt>
                <c:pt idx="1">
                  <c:v>2.2499999999999998E-3</c:v>
                </c:pt>
                <c:pt idx="2">
                  <c:v>2.2499999999999998E-3</c:v>
                </c:pt>
                <c:pt idx="3">
                  <c:v>2.2499999999999998E-3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0B2-4499-8FDC-A3239191A2B3}"/>
            </c:ext>
          </c:extLst>
        </c:ser>
        <c:ser>
          <c:idx val="3"/>
          <c:order val="3"/>
          <c:tx>
            <c:v>MCI-Residuo</c:v>
          </c:tx>
          <c:spPr>
            <a:solidFill>
              <a:srgbClr val="70AD47"/>
            </a:solidFill>
            <a:ln cmpd="sng">
              <a:solidFill>
                <a:srgbClr val="000000"/>
              </a:solidFill>
            </a:ln>
          </c:spPr>
          <c:invertIfNegative val="1"/>
          <c:cat>
            <c:numRef>
              <c:f>Electricidad!$E$1:$H$1</c:f>
              <c:numCache>
                <c:formatCode>General</c:formatCode>
                <c:ptCount val="4"/>
              </c:numCache>
            </c:numRef>
          </c:cat>
          <c:val>
            <c:numRef>
              <c:f>Electricidad!$E$23:$H$23</c:f>
              <c:numCache>
                <c:formatCode>#,##0.00000</c:formatCode>
                <c:ptCount val="4"/>
                <c:pt idx="0" formatCode="#,##0.00">
                  <c:v>8.6599999999999996E-2</c:v>
                </c:pt>
                <c:pt idx="1">
                  <c:v>8.6599999999999996E-2</c:v>
                </c:pt>
                <c:pt idx="2">
                  <c:v>8.6599999999999996E-2</c:v>
                </c:pt>
                <c:pt idx="3">
                  <c:v>8.6599999999999996E-2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0B2-4499-8FDC-A3239191A2B3}"/>
            </c:ext>
          </c:extLst>
        </c:ser>
        <c:ser>
          <c:idx val="4"/>
          <c:order val="4"/>
          <c:tx>
            <c:v>Turbogas-Diesel</c:v>
          </c:tx>
          <c:spPr>
            <a:solidFill>
              <a:srgbClr val="ED7D31"/>
            </a:solidFill>
            <a:ln cmpd="sng">
              <a:solidFill>
                <a:srgbClr val="000000"/>
              </a:solidFill>
            </a:ln>
          </c:spPr>
          <c:invertIfNegative val="1"/>
          <c:cat>
            <c:numRef>
              <c:f>Electricidad!$E$1:$H$1</c:f>
              <c:numCache>
                <c:formatCode>General</c:formatCode>
                <c:ptCount val="4"/>
              </c:numCache>
            </c:numRef>
          </c:cat>
          <c:val>
            <c:numRef>
              <c:f>Electricidad!$E$25:$H$25</c:f>
              <c:numCache>
                <c:formatCode>#,##0.00000</c:formatCode>
                <c:ptCount val="4"/>
                <c:pt idx="0" formatCode="#,##0.00">
                  <c:v>0.54523499999999991</c:v>
                </c:pt>
                <c:pt idx="1">
                  <c:v>0.54523499999999991</c:v>
                </c:pt>
                <c:pt idx="2">
                  <c:v>0.54523499999999991</c:v>
                </c:pt>
                <c:pt idx="3">
                  <c:v>0.54443499999999989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0B2-4499-8FDC-A3239191A2B3}"/>
            </c:ext>
          </c:extLst>
        </c:ser>
        <c:ser>
          <c:idx val="5"/>
          <c:order val="5"/>
          <c:tx>
            <c:v>Turbogas-Gas Natural</c:v>
          </c:tx>
          <c:spPr>
            <a:solidFill>
              <a:srgbClr val="A5A5A5"/>
            </a:solidFill>
            <a:ln cmpd="sng">
              <a:solidFill>
                <a:srgbClr val="000000"/>
              </a:solidFill>
            </a:ln>
          </c:spPr>
          <c:invertIfNegative val="1"/>
          <c:cat>
            <c:numRef>
              <c:f>Electricidad!$E$1:$H$1</c:f>
              <c:numCache>
                <c:formatCode>General</c:formatCode>
                <c:ptCount val="4"/>
              </c:numCache>
            </c:numRef>
          </c:cat>
          <c:val>
            <c:numRef>
              <c:f>Electricidad!$E$26:$H$26</c:f>
              <c:numCache>
                <c:formatCode>#,##0.00000</c:formatCode>
                <c:ptCount val="4"/>
                <c:pt idx="0" formatCode="#,##0.00">
                  <c:v>0.27535999999999999</c:v>
                </c:pt>
                <c:pt idx="1">
                  <c:v>0.27535999999999999</c:v>
                </c:pt>
                <c:pt idx="2">
                  <c:v>0.27535999999999999</c:v>
                </c:pt>
                <c:pt idx="3">
                  <c:v>0.27535999999999999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70B2-4499-8FDC-A3239191A2B3}"/>
            </c:ext>
          </c:extLst>
        </c:ser>
        <c:ser>
          <c:idx val="6"/>
          <c:order val="6"/>
          <c:invertIfNegative val="1"/>
          <c:cat>
            <c:numRef>
              <c:f>Electricidad!$E$1:$H$1</c:f>
              <c:numCache>
                <c:formatCode>General</c:formatCode>
                <c:ptCount val="4"/>
              </c:numCache>
            </c:numRef>
          </c:cat>
          <c:val>
            <c:numRef>
              <c:f>Electricidad!$E$28:$H$28</c:f>
              <c:numCache>
                <c:formatCode>#,##0.00000</c:formatCode>
                <c:ptCount val="4"/>
                <c:pt idx="0" formatCode="#,##0.00">
                  <c:v>0.44600000000000001</c:v>
                </c:pt>
                <c:pt idx="1">
                  <c:v>0.44600000000000001</c:v>
                </c:pt>
                <c:pt idx="2">
                  <c:v>0.44600000000000001</c:v>
                </c:pt>
                <c:pt idx="3">
                  <c:v>0.44600000000000001</c:v>
                </c:pt>
              </c:numCache>
            </c:numRef>
          </c:val>
          <c:extLst>
            <c:ext xmlns:c16="http://schemas.microsoft.com/office/drawing/2014/chart" uri="{C3380CC4-5D6E-409C-BE32-E72D297353CC}">
              <c16:uniqueId val="{00000006-70B2-4499-8FDC-A3239191A2B3}"/>
            </c:ext>
          </c:extLst>
        </c:ser>
        <c:dLbls>
          <c:showLegendKey val="0"/>
          <c:showVal val="0"/>
          <c:showCatName val="0"/>
          <c:showSerName val="0"/>
          <c:showPercent val="0"/>
          <c:showBubbleSize val="0"/>
        </c:dLbls>
        <c:gapWidth val="150"/>
        <c:overlap val="100"/>
        <c:axId val="1201459071"/>
        <c:axId val="470800937"/>
      </c:barChart>
      <c:catAx>
        <c:axId val="120145907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70800937"/>
        <c:crosses val="autoZero"/>
        <c:auto val="1"/>
        <c:lblAlgn val="ctr"/>
        <c:lblOffset val="100"/>
        <c:noMultiLvlLbl val="1"/>
      </c:catAx>
      <c:valAx>
        <c:axId val="4708009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20145907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Capacidad Instalada Centrales Hidroeléctricas (SNI)</a:t>
            </a:r>
          </a:p>
        </c:rich>
      </c:tx>
      <c:overlay val="0"/>
    </c:title>
    <c:autoTitleDeleted val="0"/>
    <c:plotArea>
      <c:layout/>
      <c:barChart>
        <c:barDir val="col"/>
        <c:grouping val="percentStacked"/>
        <c:varyColors val="1"/>
        <c:ser>
          <c:idx val="0"/>
          <c:order val="0"/>
          <c:tx>
            <c:v>Embalse-Pacífico-Pequeñas</c:v>
          </c:tx>
          <c:spPr>
            <a:solidFill>
              <a:srgbClr val="4472C4"/>
            </a:solidFill>
            <a:ln cmpd="sng">
              <a:solidFill>
                <a:srgbClr val="000000"/>
              </a:solidFill>
            </a:ln>
          </c:spPr>
          <c:invertIfNegative val="1"/>
          <c:cat>
            <c:numRef>
              <c:f>Electricidad!$E$1:$H$1</c:f>
              <c:numCache>
                <c:formatCode>General</c:formatCode>
                <c:ptCount val="4"/>
              </c:numCache>
            </c:numRef>
          </c:cat>
          <c:val>
            <c:numRef>
              <c:f>Electricidad!$E$33:$H$33</c:f>
              <c:numCache>
                <c:formatCode>#,##0.000</c:formatCode>
                <c:ptCount val="4"/>
                <c:pt idx="0">
                  <c:v>4.2200000000000001E-2</c:v>
                </c:pt>
                <c:pt idx="1">
                  <c:v>4.2200000000000001E-2</c:v>
                </c:pt>
                <c:pt idx="2">
                  <c:v>4.2200000000000001E-2</c:v>
                </c:pt>
                <c:pt idx="3">
                  <c:v>4.2200000000000001E-2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AEE-44A7-B2BA-192E7FAE2A91}"/>
            </c:ext>
          </c:extLst>
        </c:ser>
        <c:ser>
          <c:idx val="1"/>
          <c:order val="1"/>
          <c:tx>
            <c:v>Embalse-Pacífico-Medianas</c:v>
          </c:tx>
          <c:spPr>
            <a:solidFill>
              <a:srgbClr val="ED7D31"/>
            </a:solidFill>
            <a:ln cmpd="sng">
              <a:solidFill>
                <a:srgbClr val="000000"/>
              </a:solidFill>
            </a:ln>
          </c:spPr>
          <c:invertIfNegative val="1"/>
          <c:cat>
            <c:numRef>
              <c:f>Electricidad!$E$1:$H$1</c:f>
              <c:numCache>
                <c:formatCode>General</c:formatCode>
                <c:ptCount val="4"/>
              </c:numCache>
            </c:numRef>
          </c:cat>
          <c:val>
            <c:numRef>
              <c:f>Electricidad!$E$34:$H$34</c:f>
              <c:numCache>
                <c:formatCode>#,##0.000</c:formatCode>
                <c:ptCount val="4"/>
                <c:pt idx="0">
                  <c:v>0.21299999999999999</c:v>
                </c:pt>
                <c:pt idx="1">
                  <c:v>0.21299999999999999</c:v>
                </c:pt>
                <c:pt idx="2">
                  <c:v>0.21299999999999999</c:v>
                </c:pt>
                <c:pt idx="3">
                  <c:v>0.21299999999999999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AEE-44A7-B2BA-192E7FAE2A91}"/>
            </c:ext>
          </c:extLst>
        </c:ser>
        <c:ser>
          <c:idx val="2"/>
          <c:order val="2"/>
          <c:tx>
            <c:v>Embalse-Amazonas-Medianas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Electricidad!$E$37:$H$37</c:f>
              <c:numCache>
                <c:formatCode>#,##0.000</c:formatCode>
                <c:ptCount val="4"/>
                <c:pt idx="0">
                  <c:v>0.40300000000000002</c:v>
                </c:pt>
                <c:pt idx="1">
                  <c:v>0.40300000000000002</c:v>
                </c:pt>
                <c:pt idx="2">
                  <c:v>0.40300000000000002</c:v>
                </c:pt>
                <c:pt idx="3">
                  <c:v>0.40300000000000002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AEE-44A7-B2BA-192E7FAE2A91}"/>
            </c:ext>
          </c:extLst>
        </c:ser>
        <c:ser>
          <c:idx val="3"/>
          <c:order val="3"/>
          <c:tx>
            <c:v>Embalse-Amazonas-Grandes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Electricidad!$E$38:$H$38</c:f>
              <c:numCache>
                <c:formatCode>#,##0.000</c:formatCode>
                <c:ptCount val="4"/>
                <c:pt idx="0">
                  <c:v>1.075</c:v>
                </c:pt>
                <c:pt idx="1">
                  <c:v>1.075</c:v>
                </c:pt>
                <c:pt idx="2">
                  <c:v>1.075</c:v>
                </c:pt>
                <c:pt idx="3">
                  <c:v>1.075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AEE-44A7-B2BA-192E7FAE2A91}"/>
            </c:ext>
          </c:extLst>
        </c:ser>
        <c:ser>
          <c:idx val="4"/>
          <c:order val="4"/>
          <c:tx>
            <c:v>Pasada-Pacífico-Pequeñas</c:v>
          </c:tx>
          <c:spPr>
            <a:solidFill>
              <a:srgbClr val="A5A5A5"/>
            </a:solidFill>
            <a:ln cmpd="sng">
              <a:solidFill>
                <a:srgbClr val="000000"/>
              </a:solidFill>
            </a:ln>
          </c:spPr>
          <c:invertIfNegative val="1"/>
          <c:cat>
            <c:numRef>
              <c:f>Electricidad!$E$1:$H$1</c:f>
              <c:numCache>
                <c:formatCode>General</c:formatCode>
                <c:ptCount val="4"/>
              </c:numCache>
            </c:numRef>
          </c:cat>
          <c:val>
            <c:numRef>
              <c:f>Electricidad!$E$40:$H$40</c:f>
              <c:numCache>
                <c:formatCode>#,##0.000</c:formatCode>
                <c:ptCount val="4"/>
                <c:pt idx="0">
                  <c:v>5.4393999999999998E-2</c:v>
                </c:pt>
                <c:pt idx="1">
                  <c:v>5.4393999999999991E-2</c:v>
                </c:pt>
                <c:pt idx="2">
                  <c:v>6.4539999999999986E-2</c:v>
                </c:pt>
                <c:pt idx="3">
                  <c:v>6.4539999999999986E-2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AEE-44A7-B2BA-192E7FAE2A91}"/>
            </c:ext>
          </c:extLst>
        </c:ser>
        <c:ser>
          <c:idx val="5"/>
          <c:order val="5"/>
          <c:tx>
            <c:v>Pasada-Pacífico-Medianas</c:v>
          </c:tx>
          <c:spPr>
            <a:solidFill>
              <a:srgbClr val="FFC000"/>
            </a:solidFill>
            <a:ln cmpd="sng">
              <a:solidFill>
                <a:srgbClr val="000000"/>
              </a:solidFill>
            </a:ln>
          </c:spPr>
          <c:invertIfNegative val="1"/>
          <c:cat>
            <c:numRef>
              <c:f>Electricidad!$E$1:$H$1</c:f>
              <c:numCache>
                <c:formatCode>General</c:formatCode>
                <c:ptCount val="4"/>
              </c:numCache>
            </c:numRef>
          </c:cat>
          <c:val>
            <c:numRef>
              <c:f>Electricidad!$E$41:$H$41</c:f>
              <c:numCache>
                <c:formatCode>#,##0.000</c:formatCode>
                <c:ptCount val="4"/>
                <c:pt idx="0">
                  <c:v>0.33335999999999999</c:v>
                </c:pt>
                <c:pt idx="1">
                  <c:v>0.33335999999999999</c:v>
                </c:pt>
                <c:pt idx="2">
                  <c:v>0.33335999999999999</c:v>
                </c:pt>
                <c:pt idx="3">
                  <c:v>0.33335999999999999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AEE-44A7-B2BA-192E7FAE2A91}"/>
            </c:ext>
          </c:extLst>
        </c:ser>
        <c:ser>
          <c:idx val="6"/>
          <c:order val="6"/>
          <c:tx>
            <c:v>Pasada-Amazonas-Pequeñas</c:v>
          </c:tx>
          <c:spPr>
            <a:solidFill>
              <a:srgbClr val="4472C4"/>
            </a:solidFill>
            <a:ln cmpd="sng">
              <a:solidFill>
                <a:srgbClr val="000000"/>
              </a:solidFill>
            </a:ln>
          </c:spPr>
          <c:invertIfNegative val="1"/>
          <c:cat>
            <c:numRef>
              <c:f>Electricidad!$E$1:$H$1</c:f>
              <c:numCache>
                <c:formatCode>General</c:formatCode>
                <c:ptCount val="4"/>
              </c:numCache>
            </c:numRef>
          </c:cat>
          <c:val>
            <c:numRef>
              <c:f>Electricidad!$E$43:$H$43</c:f>
              <c:numCache>
                <c:formatCode>#,##0.000</c:formatCode>
                <c:ptCount val="4"/>
                <c:pt idx="0">
                  <c:v>0.54239000000000004</c:v>
                </c:pt>
                <c:pt idx="1">
                  <c:v>0.55239000000000005</c:v>
                </c:pt>
                <c:pt idx="2">
                  <c:v>0.500282</c:v>
                </c:pt>
                <c:pt idx="3">
                  <c:v>0.508382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AEE-44A7-B2BA-192E7FAE2A91}"/>
            </c:ext>
          </c:extLst>
        </c:ser>
        <c:ser>
          <c:idx val="7"/>
          <c:order val="7"/>
          <c:tx>
            <c:v>Pasada-Amazonas-Medianas</c:v>
          </c:tx>
          <c:spPr>
            <a:solidFill>
              <a:srgbClr val="ED7D31"/>
            </a:solidFill>
            <a:ln cmpd="sng">
              <a:solidFill>
                <a:srgbClr val="000000"/>
              </a:solidFill>
            </a:ln>
          </c:spPr>
          <c:invertIfNegative val="1"/>
          <c:cat>
            <c:numRef>
              <c:f>Electricidad!$E$1:$H$1</c:f>
              <c:numCache>
                <c:formatCode>General</c:formatCode>
                <c:ptCount val="4"/>
              </c:numCache>
            </c:numRef>
          </c:cat>
          <c:val>
            <c:numRef>
              <c:f>Electricidad!$E$44:$H$44</c:f>
              <c:numCache>
                <c:formatCode>#,##0.000</c:formatCode>
                <c:ptCount val="4"/>
                <c:pt idx="0">
                  <c:v>0.41</c:v>
                </c:pt>
                <c:pt idx="1">
                  <c:v>0.41</c:v>
                </c:pt>
                <c:pt idx="2">
                  <c:v>0.47430399999999995</c:v>
                </c:pt>
                <c:pt idx="3">
                  <c:v>0.47430399999999995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AEE-44A7-B2BA-192E7FAE2A91}"/>
            </c:ext>
          </c:extLst>
        </c:ser>
        <c:ser>
          <c:idx val="8"/>
          <c:order val="8"/>
          <c:invertIfNegative val="1"/>
          <c:cat>
            <c:numRef>
              <c:f>Electricidad!$E$1:$H$1</c:f>
              <c:numCache>
                <c:formatCode>General</c:formatCode>
                <c:ptCount val="4"/>
              </c:numCache>
            </c:numRef>
          </c:cat>
          <c:val>
            <c:numRef>
              <c:f>Electricidad!$E$45:$H$45</c:f>
              <c:numCache>
                <c:formatCode>#,##0.000</c:formatCode>
                <c:ptCount val="4"/>
                <c:pt idx="0">
                  <c:v>1.9869999899999999</c:v>
                </c:pt>
                <c:pt idx="1">
                  <c:v>1.9869999899999999</c:v>
                </c:pt>
                <c:pt idx="2">
                  <c:v>1.9869999899999999</c:v>
                </c:pt>
                <c:pt idx="3">
                  <c:v>1.9869999899999999</c:v>
                </c:pt>
              </c:numCache>
            </c:numRef>
          </c:val>
          <c:extLst>
            <c:ext xmlns:c16="http://schemas.microsoft.com/office/drawing/2014/chart" uri="{C3380CC4-5D6E-409C-BE32-E72D297353CC}">
              <c16:uniqueId val="{00000008-9AEE-44A7-B2BA-192E7FAE2A91}"/>
            </c:ext>
          </c:extLst>
        </c:ser>
        <c:dLbls>
          <c:showLegendKey val="0"/>
          <c:showVal val="0"/>
          <c:showCatName val="0"/>
          <c:showSerName val="0"/>
          <c:showPercent val="0"/>
          <c:showBubbleSize val="0"/>
        </c:dLbls>
        <c:gapWidth val="150"/>
        <c:overlap val="100"/>
        <c:axId val="98618569"/>
        <c:axId val="2075447327"/>
      </c:barChart>
      <c:catAx>
        <c:axId val="9861856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75447327"/>
        <c:crosses val="autoZero"/>
        <c:auto val="1"/>
        <c:lblAlgn val="ctr"/>
        <c:lblOffset val="100"/>
        <c:noMultiLvlLbl val="1"/>
      </c:catAx>
      <c:valAx>
        <c:axId val="207544732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9861856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(Sistemas Aislados) - 2018</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AD54-4D7D-A1E2-9DD6BC91B6C6}"/>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AD54-4D7D-A1E2-9DD6BC91B6C6}"/>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Electricidad!$D$50</c:f>
              <c:strCache>
                <c:ptCount val="1"/>
                <c:pt idx="0">
                  <c:v>Eólica</c:v>
                </c:pt>
              </c:strCache>
            </c:strRef>
          </c:cat>
          <c:val>
            <c:numRef>
              <c:f>Electricidad!$D$52</c:f>
              <c:numCache>
                <c:formatCode>General</c:formatCode>
                <c:ptCount val="1"/>
                <c:pt idx="0">
                  <c:v>0</c:v>
                </c:pt>
              </c:numCache>
            </c:numRef>
          </c:val>
          <c:extLst>
            <c:ext xmlns:c16="http://schemas.microsoft.com/office/drawing/2014/chart" uri="{C3380CC4-5D6E-409C-BE32-E72D297353CC}">
              <c16:uniqueId val="{00000002-AD54-4D7D-A1E2-9DD6BC91B6C6}"/>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(Sistemas Aislados) - 2019</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3AC1-4820-8CA7-27E578EDFA8C}"/>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3AC1-4820-8CA7-27E578EDFA8C}"/>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Electricidad!$D$50</c:f>
              <c:strCache>
                <c:ptCount val="1"/>
                <c:pt idx="0">
                  <c:v>Eólica</c:v>
                </c:pt>
              </c:strCache>
            </c:strRef>
          </c:cat>
          <c:val>
            <c:numRef>
              <c:f>Electricidad!$D$52</c:f>
              <c:numCache>
                <c:formatCode>General</c:formatCode>
                <c:ptCount val="1"/>
                <c:pt idx="0">
                  <c:v>0</c:v>
                </c:pt>
              </c:numCache>
            </c:numRef>
          </c:val>
          <c:extLst>
            <c:ext xmlns:c16="http://schemas.microsoft.com/office/drawing/2014/chart" uri="{C3380CC4-5D6E-409C-BE32-E72D297353CC}">
              <c16:uniqueId val="{00000002-3AC1-4820-8CA7-27E578EDFA8C}"/>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(Sistemas Aislados) - 2020</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37CD-4586-918E-3B655E229E5F}"/>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37CD-4586-918E-3B655E229E5F}"/>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Electricidad!$D$50</c:f>
              <c:strCache>
                <c:ptCount val="1"/>
                <c:pt idx="0">
                  <c:v>Eólica</c:v>
                </c:pt>
              </c:strCache>
            </c:strRef>
          </c:cat>
          <c:val>
            <c:numRef>
              <c:f>Electricidad!$D$52</c:f>
              <c:numCache>
                <c:formatCode>General</c:formatCode>
                <c:ptCount val="1"/>
                <c:pt idx="0">
                  <c:v>0</c:v>
                </c:pt>
              </c:numCache>
            </c:numRef>
          </c:val>
          <c:extLst>
            <c:ext xmlns:c16="http://schemas.microsoft.com/office/drawing/2014/chart" uri="{C3380CC4-5D6E-409C-BE32-E72D297353CC}">
              <c16:uniqueId val="{00000002-37CD-4586-918E-3B655E229E5F}"/>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(Sistemas Aislados) - 2021</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B3-4FEF-8186-C49CDF51C782}"/>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E4B3-4FEF-8186-C49CDF51C782}"/>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Electricidad!$D$50</c:f>
              <c:strCache>
                <c:ptCount val="1"/>
                <c:pt idx="0">
                  <c:v>Eólica</c:v>
                </c:pt>
              </c:strCache>
            </c:strRef>
          </c:cat>
          <c:val>
            <c:numRef>
              <c:f>Electricidad!$D$52</c:f>
              <c:numCache>
                <c:formatCode>General</c:formatCode>
                <c:ptCount val="1"/>
                <c:pt idx="0">
                  <c:v>0</c:v>
                </c:pt>
              </c:numCache>
            </c:numRef>
          </c:val>
          <c:extLst>
            <c:ext xmlns:c16="http://schemas.microsoft.com/office/drawing/2014/chart" uri="{C3380CC4-5D6E-409C-BE32-E72D297353CC}">
              <c16:uniqueId val="{00000002-E4B3-4FEF-8186-C49CDF51C782}"/>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Centrales Hidraúlicas (Sistemas Aislados)</a:t>
            </a:r>
          </a:p>
        </c:rich>
      </c:tx>
      <c:overlay val="0"/>
    </c:title>
    <c:autoTitleDeleted val="0"/>
    <c:plotArea>
      <c:layout/>
      <c:barChart>
        <c:barDir val="col"/>
        <c:grouping val="percentStacked"/>
        <c:varyColors val="1"/>
        <c:ser>
          <c:idx val="0"/>
          <c:order val="0"/>
          <c:tx>
            <c:v>Pasada-Amazonas-Electrificación Rural</c:v>
          </c:tx>
          <c:spPr>
            <a:solidFill>
              <a:srgbClr val="4472C4"/>
            </a:solidFill>
            <a:ln cmpd="sng">
              <a:solidFill>
                <a:srgbClr val="000000"/>
              </a:solidFill>
            </a:ln>
          </c:spPr>
          <c:invertIfNegative val="1"/>
          <c:cat>
            <c:numRef>
              <c:f>Electricidad!$E$1:$H$1</c:f>
              <c:numCache>
                <c:formatCode>General</c:formatCode>
                <c:ptCount val="4"/>
              </c:numCache>
            </c:numRef>
          </c:cat>
          <c:val>
            <c:numRef>
              <c:f>Electricidad!$E$55:$H$55</c:f>
              <c:numCache>
                <c:formatCode>#,##0.00000</c:formatCode>
                <c:ptCount val="4"/>
                <c:pt idx="0">
                  <c:v>1.1600000000000002E-3</c:v>
                </c:pt>
                <c:pt idx="1">
                  <c:v>1.1600000000000002E-3</c:v>
                </c:pt>
                <c:pt idx="2">
                  <c:v>1.1600000000000002E-3</c:v>
                </c:pt>
                <c:pt idx="3">
                  <c:v>1.1600000000000002E-3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983-411D-A347-3DE154BBC17E}"/>
            </c:ext>
          </c:extLst>
        </c:ser>
        <c:ser>
          <c:idx val="1"/>
          <c:order val="1"/>
          <c:tx>
            <c:v>Pasada-Pacífico-Electrificación Rural</c:v>
          </c:tx>
          <c:spPr>
            <a:solidFill>
              <a:srgbClr val="ED7D31"/>
            </a:solidFill>
            <a:ln cmpd="sng">
              <a:solidFill>
                <a:srgbClr val="000000"/>
              </a:solidFill>
            </a:ln>
          </c:spPr>
          <c:invertIfNegative val="1"/>
          <c:cat>
            <c:numRef>
              <c:f>Electricidad!$E$1:$H$1</c:f>
              <c:numCache>
                <c:formatCode>General</c:formatCode>
                <c:ptCount val="4"/>
              </c:numCache>
            </c:numRef>
          </c:cat>
          <c:val>
            <c:numRef>
              <c:f>Electricidad!$E$56:$H$56</c:f>
              <c:numCache>
                <c:formatCode>#,##0.00000</c:formatCode>
                <c:ptCount val="4"/>
                <c:pt idx="0">
                  <c:v>2.8999999999999998E-3</c:v>
                </c:pt>
                <c:pt idx="1">
                  <c:v>2.8999999999999998E-3</c:v>
                </c:pt>
                <c:pt idx="2">
                  <c:v>2.8999999999999998E-3</c:v>
                </c:pt>
                <c:pt idx="3">
                  <c:v>2.8999999999999998E-3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983-411D-A347-3DE154BBC17E}"/>
            </c:ext>
          </c:extLst>
        </c:ser>
        <c:ser>
          <c:idx val="2"/>
          <c:order val="2"/>
          <c:invertIfNegative val="1"/>
          <c:cat>
            <c:numRef>
              <c:f>Electricidad!$E$1:$H$1</c:f>
              <c:numCache>
                <c:formatCode>General</c:formatCode>
                <c:ptCount val="4"/>
              </c:numCache>
            </c:numRef>
          </c:cat>
          <c:val>
            <c:numRef>
              <c:f>Electricidad!$E$58:$H$58</c:f>
              <c:numCache>
                <c:formatCode>#,##0.00000</c:formatCode>
                <c:ptCount val="4"/>
                <c:pt idx="0">
                  <c:v>2E-3</c:v>
                </c:pt>
                <c:pt idx="1">
                  <c:v>2E-3</c:v>
                </c:pt>
                <c:pt idx="2">
                  <c:v>2E-3</c:v>
                </c:pt>
                <c:pt idx="3">
                  <c:v>2E-3</c:v>
                </c:pt>
              </c:numCache>
            </c:numRef>
          </c:val>
          <c:extLst>
            <c:ext xmlns:c16="http://schemas.microsoft.com/office/drawing/2014/chart" uri="{C3380CC4-5D6E-409C-BE32-E72D297353CC}">
              <c16:uniqueId val="{00000002-6983-411D-A347-3DE154BBC17E}"/>
            </c:ext>
          </c:extLst>
        </c:ser>
        <c:dLbls>
          <c:showLegendKey val="0"/>
          <c:showVal val="0"/>
          <c:showCatName val="0"/>
          <c:showSerName val="0"/>
          <c:showPercent val="0"/>
          <c:showBubbleSize val="0"/>
        </c:dLbls>
        <c:gapWidth val="150"/>
        <c:overlap val="100"/>
        <c:axId val="540662153"/>
        <c:axId val="683287067"/>
      </c:barChart>
      <c:catAx>
        <c:axId val="54066215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83287067"/>
        <c:crosses val="autoZero"/>
        <c:auto val="1"/>
        <c:lblAlgn val="ctr"/>
        <c:lblOffset val="100"/>
        <c:noMultiLvlLbl val="1"/>
      </c:catAx>
      <c:valAx>
        <c:axId val="68328706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54066215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Solar (Sistemas Aislados)</a:t>
            </a:r>
          </a:p>
        </c:rich>
      </c:tx>
      <c:overlay val="0"/>
    </c:title>
    <c:autoTitleDeleted val="0"/>
    <c:plotArea>
      <c:layout/>
      <c:barChart>
        <c:barDir val="col"/>
        <c:grouping val="percentStacked"/>
        <c:varyColors val="1"/>
        <c:ser>
          <c:idx val="0"/>
          <c:order val="0"/>
          <c:tx>
            <c:v>Galápagos</c:v>
          </c:tx>
          <c:spPr>
            <a:solidFill>
              <a:srgbClr val="A5A5A5"/>
            </a:solidFill>
            <a:ln cmpd="sng">
              <a:solidFill>
                <a:srgbClr val="000000"/>
              </a:solidFill>
            </a:ln>
          </c:spPr>
          <c:invertIfNegative val="1"/>
          <c:cat>
            <c:numRef>
              <c:f>Electricidad!$E$1:$H$1</c:f>
              <c:numCache>
                <c:formatCode>General</c:formatCode>
                <c:ptCount val="4"/>
              </c:numCache>
            </c:numRef>
          </c:cat>
          <c:val>
            <c:numRef>
              <c:f>Electricidad!$E$61:$H$61</c:f>
              <c:numCache>
                <c:formatCode>#,##0.00000</c:formatCode>
                <c:ptCount val="4"/>
                <c:pt idx="0">
                  <c:v>2.5964199999999999E-3</c:v>
                </c:pt>
                <c:pt idx="1">
                  <c:v>2.5964199999999999E-3</c:v>
                </c:pt>
                <c:pt idx="2">
                  <c:v>2.5964199999999999E-3</c:v>
                </c:pt>
                <c:pt idx="3">
                  <c:v>2.6197600000000001E-3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C9-43B7-B0DA-189DDA3E37AC}"/>
            </c:ext>
          </c:extLst>
        </c:ser>
        <c:ser>
          <c:idx val="1"/>
          <c:order val="1"/>
          <c:invertIfNegative val="1"/>
          <c:cat>
            <c:numRef>
              <c:f>Electricidad!$E$1:$H$1</c:f>
              <c:numCache>
                <c:formatCode>General</c:formatCode>
                <c:ptCount val="4"/>
              </c:numCache>
            </c:numRef>
          </c:cat>
          <c:val>
            <c:numRef>
              <c:f>Electricidad!$E$62:$H$62</c:f>
              <c:numCache>
                <c:formatCode>#,##0.00000</c:formatCode>
                <c:ptCount val="4"/>
                <c:pt idx="0">
                  <c:v>5.7260000000000004E-4</c:v>
                </c:pt>
                <c:pt idx="1">
                  <c:v>5.7260000000000004E-4</c:v>
                </c:pt>
                <c:pt idx="2">
                  <c:v>5.7260000000000004E-4</c:v>
                </c:pt>
                <c:pt idx="3">
                  <c:v>5.7260000000000004E-4</c:v>
                </c:pt>
              </c:numCache>
            </c:numRef>
          </c:val>
          <c:extLst>
            <c:ext xmlns:c16="http://schemas.microsoft.com/office/drawing/2014/chart" uri="{C3380CC4-5D6E-409C-BE32-E72D297353CC}">
              <c16:uniqueId val="{00000001-7CC9-43B7-B0DA-189DDA3E37AC}"/>
            </c:ext>
          </c:extLst>
        </c:ser>
        <c:dLbls>
          <c:showLegendKey val="0"/>
          <c:showVal val="0"/>
          <c:showCatName val="0"/>
          <c:showSerName val="0"/>
          <c:showPercent val="0"/>
          <c:showBubbleSize val="0"/>
        </c:dLbls>
        <c:gapWidth val="150"/>
        <c:overlap val="100"/>
        <c:axId val="1160033904"/>
        <c:axId val="2134542637"/>
      </c:barChart>
      <c:catAx>
        <c:axId val="11600339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134542637"/>
        <c:crosses val="autoZero"/>
        <c:auto val="1"/>
        <c:lblAlgn val="ctr"/>
        <c:lblOffset val="100"/>
        <c:noMultiLvlLbl val="1"/>
      </c:catAx>
      <c:valAx>
        <c:axId val="21345426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16003390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Térmica (Sistemas Aislados)</a:t>
            </a:r>
          </a:p>
        </c:rich>
      </c:tx>
      <c:overlay val="0"/>
    </c:title>
    <c:autoTitleDeleted val="0"/>
    <c:plotArea>
      <c:layout/>
      <c:barChart>
        <c:barDir val="col"/>
        <c:grouping val="percentStacked"/>
        <c:varyColors val="1"/>
        <c:ser>
          <c:idx val="0"/>
          <c:order val="0"/>
          <c:tx>
            <c:v>MCI-Diesel-Electrificación Rural</c:v>
          </c:tx>
          <c:spPr>
            <a:solidFill>
              <a:srgbClr val="4472C4"/>
            </a:solidFill>
            <a:ln cmpd="sng">
              <a:solidFill>
                <a:srgbClr val="000000"/>
              </a:solidFill>
            </a:ln>
          </c:spPr>
          <c:invertIfNegative val="1"/>
          <c:cat>
            <c:numRef>
              <c:f>Electricidad!$E$1:$H$1</c:f>
              <c:numCache>
                <c:formatCode>General</c:formatCode>
                <c:ptCount val="4"/>
              </c:numCache>
            </c:numRef>
          </c:cat>
          <c:val>
            <c:numRef>
              <c:f>Electricidad!$E$66:$H$66</c:f>
              <c:numCache>
                <c:formatCode>#,##0.00000</c:formatCode>
                <c:ptCount val="4"/>
                <c:pt idx="0">
                  <c:v>3.2799999999999996E-2</c:v>
                </c:pt>
                <c:pt idx="1">
                  <c:v>3.2250000000000001E-2</c:v>
                </c:pt>
                <c:pt idx="2">
                  <c:v>3.3649999999999999E-2</c:v>
                </c:pt>
                <c:pt idx="3">
                  <c:v>1.325E-2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3ED-43B6-9B2B-C2B74DD37C54}"/>
            </c:ext>
          </c:extLst>
        </c:ser>
        <c:ser>
          <c:idx val="1"/>
          <c:order val="1"/>
          <c:tx>
            <c:v>MCI-Diesel-Galápagos</c:v>
          </c:tx>
          <c:spPr>
            <a:solidFill>
              <a:srgbClr val="ED7D31"/>
            </a:solidFill>
            <a:ln cmpd="sng">
              <a:solidFill>
                <a:srgbClr val="000000"/>
              </a:solidFill>
            </a:ln>
          </c:spPr>
          <c:invertIfNegative val="1"/>
          <c:cat>
            <c:numRef>
              <c:f>Electricidad!$E$1:$H$1</c:f>
              <c:numCache>
                <c:formatCode>General</c:formatCode>
                <c:ptCount val="4"/>
              </c:numCache>
            </c:numRef>
          </c:cat>
          <c:val>
            <c:numRef>
              <c:f>Electricidad!$E$68:$H$68</c:f>
              <c:numCache>
                <c:formatCode>#,##0.00000</c:formatCode>
                <c:ptCount val="4"/>
                <c:pt idx="0">
                  <c:v>2.7581999999999999E-2</c:v>
                </c:pt>
                <c:pt idx="1">
                  <c:v>2.4146999999999998E-2</c:v>
                </c:pt>
                <c:pt idx="2">
                  <c:v>2.4285000000000001E-2</c:v>
                </c:pt>
                <c:pt idx="3">
                  <c:v>2.4285000000000001E-2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3ED-43B6-9B2B-C2B74DD37C54}"/>
            </c:ext>
          </c:extLst>
        </c:ser>
        <c:ser>
          <c:idx val="2"/>
          <c:order val="2"/>
          <c:tx>
            <c:v>MCI-Crudo-Petrolero</c:v>
          </c:tx>
          <c:spPr>
            <a:solidFill>
              <a:srgbClr val="A5A5A5"/>
            </a:solidFill>
            <a:ln cmpd="sng">
              <a:solidFill>
                <a:srgbClr val="000000"/>
              </a:solidFill>
            </a:ln>
          </c:spPr>
          <c:invertIfNegative val="1"/>
          <c:cat>
            <c:numRef>
              <c:f>Electricidad!$E$1:$H$1</c:f>
              <c:numCache>
                <c:formatCode>General</c:formatCode>
                <c:ptCount val="4"/>
              </c:numCache>
            </c:numRef>
          </c:cat>
          <c:val>
            <c:numRef>
              <c:f>Electricidad!$E$70:$H$70</c:f>
              <c:numCache>
                <c:formatCode>#,##0.00000</c:formatCode>
                <c:ptCount val="4"/>
                <c:pt idx="0">
                  <c:v>0.37858699999999995</c:v>
                </c:pt>
                <c:pt idx="1">
                  <c:v>0.37858699999999995</c:v>
                </c:pt>
                <c:pt idx="2">
                  <c:v>0.3785369999999999</c:v>
                </c:pt>
                <c:pt idx="3">
                  <c:v>0.43229199999999995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3ED-43B6-9B2B-C2B74DD37C54}"/>
            </c:ext>
          </c:extLst>
        </c:ser>
        <c:ser>
          <c:idx val="3"/>
          <c:order val="3"/>
          <c:tx>
            <c:v>MCI-Diesel-Petrolero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Electricidad!$E$71:$H$71</c:f>
              <c:numCache>
                <c:formatCode>#,##0.00000</c:formatCode>
                <c:ptCount val="4"/>
                <c:pt idx="0">
                  <c:v>0.53094777999999998</c:v>
                </c:pt>
                <c:pt idx="1">
                  <c:v>0.59061478000000001</c:v>
                </c:pt>
                <c:pt idx="2">
                  <c:v>0.59251978000000005</c:v>
                </c:pt>
                <c:pt idx="3">
                  <c:v>0.54150777999999999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3ED-43B6-9B2B-C2B74DD37C54}"/>
            </c:ext>
          </c:extLst>
        </c:ser>
        <c:ser>
          <c:idx val="4"/>
          <c:order val="4"/>
          <c:tx>
            <c:v>MCI-Fuel Oil-Petrolero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Electricidad!$E$72:$H$72</c:f>
              <c:numCache>
                <c:formatCode>#,##0.00000</c:formatCode>
                <c:ptCount val="4"/>
                <c:pt idx="0">
                  <c:v>1.44E-2</c:v>
                </c:pt>
                <c:pt idx="1">
                  <c:v>1.44E-2</c:v>
                </c:pt>
                <c:pt idx="2">
                  <c:v>1.44E-2</c:v>
                </c:pt>
                <c:pt idx="3">
                  <c:v>1.44E-2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3ED-43B6-9B2B-C2B74DD37C54}"/>
            </c:ext>
          </c:extLst>
        </c:ser>
        <c:ser>
          <c:idx val="5"/>
          <c:order val="5"/>
          <c:tx>
            <c:v>MCI-Gas Natural-Petrolero</c:v>
          </c:tx>
          <c:spPr>
            <a:solidFill>
              <a:srgbClr val="70AD47"/>
            </a:solidFill>
            <a:ln cmpd="sng">
              <a:solidFill>
                <a:srgbClr val="000000"/>
              </a:solidFill>
            </a:ln>
          </c:spPr>
          <c:invertIfNegative val="1"/>
          <c:cat>
            <c:numRef>
              <c:f>Electricidad!$E$1:$H$1</c:f>
              <c:numCache>
                <c:formatCode>General</c:formatCode>
                <c:ptCount val="4"/>
              </c:numCache>
            </c:numRef>
          </c:cat>
          <c:val>
            <c:numRef>
              <c:f>Electricidad!$E$73:$H$73</c:f>
              <c:numCache>
                <c:formatCode>#,##0.00000</c:formatCode>
                <c:ptCount val="4"/>
                <c:pt idx="0">
                  <c:v>0.19107200000000002</c:v>
                </c:pt>
                <c:pt idx="1">
                  <c:v>0.19634200000000007</c:v>
                </c:pt>
                <c:pt idx="2">
                  <c:v>0.19789000000000001</c:v>
                </c:pt>
                <c:pt idx="3">
                  <c:v>0.19725700000000002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43ED-43B6-9B2B-C2B74DD37C54}"/>
            </c:ext>
          </c:extLst>
        </c:ser>
        <c:ser>
          <c:idx val="6"/>
          <c:order val="6"/>
          <c:tx>
            <c:v>Turbogas-Diesel-Petrolero</c:v>
          </c:tx>
          <c:spPr>
            <a:solidFill>
              <a:srgbClr val="4472C4"/>
            </a:solidFill>
            <a:ln cmpd="sng">
              <a:solidFill>
                <a:srgbClr val="000000"/>
              </a:solidFill>
            </a:ln>
          </c:spPr>
          <c:invertIfNegative val="1"/>
          <c:cat>
            <c:numRef>
              <c:f>Electricidad!$E$1:$H$1</c:f>
              <c:numCache>
                <c:formatCode>General</c:formatCode>
                <c:ptCount val="4"/>
              </c:numCache>
            </c:numRef>
          </c:cat>
          <c:val>
            <c:numRef>
              <c:f>Electricidad!$E$76:$H$76</c:f>
              <c:numCache>
                <c:formatCode>#,##0.00000</c:formatCode>
                <c:ptCount val="4"/>
                <c:pt idx="0">
                  <c:v>5.04E-2</c:v>
                </c:pt>
                <c:pt idx="1">
                  <c:v>5.04E-2</c:v>
                </c:pt>
                <c:pt idx="2">
                  <c:v>5.04E-2</c:v>
                </c:pt>
                <c:pt idx="3">
                  <c:v>5.04E-2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43ED-43B6-9B2B-C2B74DD37C54}"/>
            </c:ext>
          </c:extLst>
        </c:ser>
        <c:ser>
          <c:idx val="7"/>
          <c:order val="7"/>
          <c:tx>
            <c:v>Turbogas-Gas Natural-Petrolero</c:v>
          </c:tx>
          <c:spPr>
            <a:solidFill>
              <a:srgbClr val="ED7D31"/>
            </a:solidFill>
            <a:ln cmpd="sng">
              <a:solidFill>
                <a:srgbClr val="000000"/>
              </a:solidFill>
            </a:ln>
          </c:spPr>
          <c:invertIfNegative val="1"/>
          <c:cat>
            <c:numRef>
              <c:f>Electricidad!$E$1:$H$1</c:f>
              <c:numCache>
                <c:formatCode>General</c:formatCode>
                <c:ptCount val="4"/>
              </c:numCache>
            </c:numRef>
          </c:cat>
          <c:val>
            <c:numRef>
              <c:f>Electricidad!$E$77:$H$77</c:f>
              <c:numCache>
                <c:formatCode>#,##0.00000</c:formatCode>
                <c:ptCount val="4"/>
                <c:pt idx="0">
                  <c:v>4.5850000000000002E-2</c:v>
                </c:pt>
                <c:pt idx="1">
                  <c:v>4.5850000000000002E-2</c:v>
                </c:pt>
                <c:pt idx="2">
                  <c:v>4.5850000000000002E-2</c:v>
                </c:pt>
                <c:pt idx="3">
                  <c:v>6.8650000000000003E-2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43ED-43B6-9B2B-C2B74DD37C54}"/>
            </c:ext>
          </c:extLst>
        </c:ser>
        <c:ser>
          <c:idx val="8"/>
          <c:order val="8"/>
          <c:tx>
            <c:v>Turbogas-Crudo-Petrolero</c:v>
          </c:tx>
          <c:spPr>
            <a:solidFill>
              <a:srgbClr val="A5A5A5"/>
            </a:solidFill>
            <a:ln cmpd="sng">
              <a:solidFill>
                <a:srgbClr val="000000"/>
              </a:solidFill>
            </a:ln>
          </c:spPr>
          <c:invertIfNegative val="1"/>
          <c:cat>
            <c:numRef>
              <c:f>Electricidad!$E$1:$H$1</c:f>
              <c:numCache>
                <c:formatCode>General</c:formatCode>
                <c:ptCount val="4"/>
              </c:numCache>
            </c:numRef>
          </c:cat>
          <c:val>
            <c:numRef>
              <c:f>Electricidad!$E$78:$H$78</c:f>
              <c:numCache>
                <c:formatCode>#,##0.00000</c:formatCode>
                <c:ptCount val="4"/>
                <c:pt idx="0">
                  <c:v>5.0039999999999998E-3</c:v>
                </c:pt>
                <c:pt idx="1">
                  <c:v>5.0039999999999998E-3</c:v>
                </c:pt>
                <c:pt idx="2">
                  <c:v>5.0039999999999998E-3</c:v>
                </c:pt>
                <c:pt idx="3">
                  <c:v>5.0039999999999998E-3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43ED-43B6-9B2B-C2B74DD37C54}"/>
            </c:ext>
          </c:extLst>
        </c:ser>
        <c:ser>
          <c:idx val="9"/>
          <c:order val="9"/>
          <c:tx>
            <c:v>Turbovapor-Diesel-Electrificación Rural</c:v>
          </c:tx>
          <c:spPr>
            <a:solidFill>
              <a:srgbClr val="FFC000"/>
            </a:solidFill>
            <a:ln cmpd="sng">
              <a:solidFill>
                <a:srgbClr val="000000"/>
              </a:solidFill>
            </a:ln>
          </c:spPr>
          <c:invertIfNegative val="1"/>
          <c:cat>
            <c:numRef>
              <c:f>Electricidad!$E$1:$H$1</c:f>
              <c:numCache>
                <c:formatCode>General</c:formatCode>
                <c:ptCount val="4"/>
              </c:numCache>
            </c:numRef>
          </c:cat>
          <c:val>
            <c:numRef>
              <c:f>Electricidad!$E$81:$H$81</c:f>
              <c:numCache>
                <c:formatCode>#,##0.00000</c:formatCode>
                <c:ptCount val="4"/>
                <c:pt idx="0">
                  <c:v>2.3999999999999998E-4</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43ED-43B6-9B2B-C2B74DD37C54}"/>
            </c:ext>
          </c:extLst>
        </c:ser>
        <c:ser>
          <c:idx val="10"/>
          <c:order val="10"/>
          <c:tx>
            <c:v>Turbovapor-Diesel-Cementera</c:v>
          </c:tx>
          <c:spPr>
            <a:solidFill>
              <a:srgbClr val="5B9BD5"/>
            </a:solidFill>
            <a:ln cmpd="sng">
              <a:solidFill>
                <a:srgbClr val="000000"/>
              </a:solidFill>
            </a:ln>
          </c:spPr>
          <c:invertIfNegative val="1"/>
          <c:cat>
            <c:numRef>
              <c:f>Electricidad!$E$1:$H$1</c:f>
              <c:numCache>
                <c:formatCode>General</c:formatCode>
                <c:ptCount val="4"/>
              </c:numCache>
            </c:numRef>
          </c:cat>
          <c:val>
            <c:numRef>
              <c:f>Electricidad!$E$83:$H$83</c:f>
              <c:numCache>
                <c:formatCode>#,##0.00000</c:formatCode>
                <c:ptCount val="4"/>
                <c:pt idx="0">
                  <c:v>3.6250000000000002E-3</c:v>
                </c:pt>
                <c:pt idx="1">
                  <c:v>3.6250000000000002E-3</c:v>
                </c:pt>
                <c:pt idx="2">
                  <c:v>3.6250000000000002E-3</c:v>
                </c:pt>
                <c:pt idx="3">
                  <c:v>3.6250000000000002E-3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43ED-43B6-9B2B-C2B74DD37C54}"/>
            </c:ext>
          </c:extLst>
        </c:ser>
        <c:ser>
          <c:idx val="11"/>
          <c:order val="11"/>
          <c:invertIfNegative val="1"/>
          <c:cat>
            <c:numRef>
              <c:f>Electricidad!$E$1:$H$1</c:f>
              <c:numCache>
                <c:formatCode>General</c:formatCode>
                <c:ptCount val="4"/>
              </c:numCache>
            </c:numRef>
          </c:cat>
          <c:val>
            <c:numRef>
              <c:f>Electricidad!$E$85:$H$85</c:f>
              <c:numCache>
                <c:formatCode>#,##0.00000</c:formatCode>
                <c:ptCount val="4"/>
                <c:pt idx="0">
                  <c:v>1.2E-2</c:v>
                </c:pt>
                <c:pt idx="1">
                  <c:v>1.2E-2</c:v>
                </c:pt>
                <c:pt idx="2">
                  <c:v>1.2E-2</c:v>
                </c:pt>
                <c:pt idx="3">
                  <c:v>1.2E-2</c:v>
                </c:pt>
              </c:numCache>
            </c:numRef>
          </c:val>
          <c:extLst>
            <c:ext xmlns:c16="http://schemas.microsoft.com/office/drawing/2014/chart" uri="{C3380CC4-5D6E-409C-BE32-E72D297353CC}">
              <c16:uniqueId val="{0000000B-43ED-43B6-9B2B-C2B74DD37C54}"/>
            </c:ext>
          </c:extLst>
        </c:ser>
        <c:dLbls>
          <c:showLegendKey val="0"/>
          <c:showVal val="0"/>
          <c:showCatName val="0"/>
          <c:showSerName val="0"/>
          <c:showPercent val="0"/>
          <c:showBubbleSize val="0"/>
        </c:dLbls>
        <c:gapWidth val="150"/>
        <c:overlap val="100"/>
        <c:axId val="1450710053"/>
        <c:axId val="1937143467"/>
      </c:barChart>
      <c:catAx>
        <c:axId val="145071005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37143467"/>
        <c:crosses val="autoZero"/>
        <c:auto val="1"/>
        <c:lblAlgn val="ctr"/>
        <c:lblOffset val="100"/>
        <c:noMultiLvlLbl val="1"/>
      </c:catAx>
      <c:valAx>
        <c:axId val="193714346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45071005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Capacidad Instalada (SNI+Sistemas Aislados)</a:t>
            </a:r>
          </a:p>
        </c:rich>
      </c:tx>
      <c:overlay val="0"/>
    </c:title>
    <c:autoTitleDeleted val="0"/>
    <c:plotArea>
      <c:layout/>
      <c:barChart>
        <c:barDir val="col"/>
        <c:grouping val="percentStacked"/>
        <c:varyColors val="1"/>
        <c:ser>
          <c:idx val="0"/>
          <c:order val="0"/>
          <c:tx>
            <c:v>Biomasa</c:v>
          </c:tx>
          <c:spPr>
            <a:solidFill>
              <a:srgbClr val="4472C4"/>
            </a:solidFill>
            <a:ln cmpd="sng">
              <a:solidFill>
                <a:srgbClr val="000000"/>
              </a:solidFill>
            </a:ln>
          </c:spPr>
          <c:invertIfNegative val="1"/>
          <c:cat>
            <c:numRef>
              <c:f>Electricidad!$E$1:$H$1</c:f>
              <c:numCache>
                <c:formatCode>General</c:formatCode>
                <c:ptCount val="4"/>
              </c:numCache>
            </c:numRef>
          </c:cat>
          <c:val>
            <c:numRef>
              <c:f>Electricidad!$E$90:$H$90</c:f>
              <c:numCache>
                <c:formatCode>#,##0.00000</c:formatCode>
                <c:ptCount val="4"/>
                <c:pt idx="0">
                  <c:v>0.14430000000000001</c:v>
                </c:pt>
                <c:pt idx="1">
                  <c:v>0.14430000000000001</c:v>
                </c:pt>
                <c:pt idx="2">
                  <c:v>0.14430000000000001</c:v>
                </c:pt>
                <c:pt idx="3">
                  <c:v>0.14430000000000001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80-4CCB-8D28-166389C0F437}"/>
            </c:ext>
          </c:extLst>
        </c:ser>
        <c:ser>
          <c:idx val="1"/>
          <c:order val="1"/>
          <c:tx>
            <c:v>Eólica</c:v>
          </c:tx>
          <c:spPr>
            <a:solidFill>
              <a:srgbClr val="ED7D31"/>
            </a:solidFill>
            <a:ln cmpd="sng">
              <a:solidFill>
                <a:srgbClr val="000000"/>
              </a:solidFill>
            </a:ln>
          </c:spPr>
          <c:invertIfNegative val="1"/>
          <c:cat>
            <c:numRef>
              <c:f>Electricidad!$E$1:$H$1</c:f>
              <c:numCache>
                <c:formatCode>General</c:formatCode>
                <c:ptCount val="4"/>
              </c:numCache>
            </c:numRef>
          </c:cat>
          <c:val>
            <c:numRef>
              <c:f>Electricidad!$E$91:$H$91</c:f>
              <c:numCache>
                <c:formatCode>#,##0.00000</c:formatCode>
                <c:ptCount val="4"/>
                <c:pt idx="0">
                  <c:v>2.1149999999999999E-2</c:v>
                </c:pt>
                <c:pt idx="1">
                  <c:v>2.1149999999999999E-2</c:v>
                </c:pt>
                <c:pt idx="2">
                  <c:v>2.1149999999999999E-2</c:v>
                </c:pt>
                <c:pt idx="3">
                  <c:v>2.1149999999999999E-2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80-4CCB-8D28-166389C0F437}"/>
            </c:ext>
          </c:extLst>
        </c:ser>
        <c:ser>
          <c:idx val="2"/>
          <c:order val="2"/>
          <c:tx>
            <c:v>Hidráulica-Embalse</c:v>
          </c:tx>
          <c:spPr>
            <a:solidFill>
              <a:srgbClr val="A5A5A5"/>
            </a:solidFill>
            <a:ln cmpd="sng">
              <a:solidFill>
                <a:srgbClr val="000000"/>
              </a:solidFill>
            </a:ln>
          </c:spPr>
          <c:invertIfNegative val="1"/>
          <c:cat>
            <c:numRef>
              <c:f>Electricidad!$E$1:$H$1</c:f>
              <c:numCache>
                <c:formatCode>General</c:formatCode>
                <c:ptCount val="4"/>
              </c:numCache>
            </c:numRef>
          </c:cat>
          <c:val>
            <c:numRef>
              <c:f>Electricidad!$E$93:$H$93</c:f>
              <c:numCache>
                <c:formatCode>#,##0.00000</c:formatCode>
                <c:ptCount val="4"/>
                <c:pt idx="0">
                  <c:v>1.7332000000000001</c:v>
                </c:pt>
                <c:pt idx="1">
                  <c:v>1.7332000000000001</c:v>
                </c:pt>
                <c:pt idx="2">
                  <c:v>1.7332000000000001</c:v>
                </c:pt>
                <c:pt idx="3">
                  <c:v>1.7332000000000001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80-4CCB-8D28-166389C0F437}"/>
            </c:ext>
          </c:extLst>
        </c:ser>
        <c:ser>
          <c:idx val="3"/>
          <c:order val="3"/>
          <c:tx>
            <c:v>Hidráulica-Pasada</c:v>
          </c:tx>
          <c:spPr>
            <a:solidFill>
              <a:srgbClr val="FFC000"/>
            </a:solidFill>
            <a:ln cmpd="sng">
              <a:solidFill>
                <a:srgbClr val="000000"/>
              </a:solidFill>
            </a:ln>
          </c:spPr>
          <c:invertIfNegative val="1"/>
          <c:cat>
            <c:numRef>
              <c:f>Electricidad!$E$1:$H$1</c:f>
              <c:numCache>
                <c:formatCode>General</c:formatCode>
                <c:ptCount val="4"/>
              </c:numCache>
            </c:numRef>
          </c:cat>
          <c:val>
            <c:numRef>
              <c:f>Electricidad!$E$94:$H$94</c:f>
              <c:numCache>
                <c:formatCode>#,##0.00000</c:formatCode>
                <c:ptCount val="4"/>
                <c:pt idx="0">
                  <c:v>3.3332039899999999</c:v>
                </c:pt>
                <c:pt idx="1">
                  <c:v>3.3432039900000001</c:v>
                </c:pt>
                <c:pt idx="2">
                  <c:v>3.3655459900000002</c:v>
                </c:pt>
                <c:pt idx="3">
                  <c:v>3.37364599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A80-4CCB-8D28-166389C0F437}"/>
            </c:ext>
          </c:extLst>
        </c:ser>
        <c:ser>
          <c:idx val="4"/>
          <c:order val="4"/>
          <c:tx>
            <c:v>Solar</c:v>
          </c:tx>
          <c:spPr>
            <a:solidFill>
              <a:srgbClr val="5B9BD5"/>
            </a:solidFill>
            <a:ln cmpd="sng">
              <a:solidFill>
                <a:srgbClr val="000000"/>
              </a:solidFill>
            </a:ln>
          </c:spPr>
          <c:invertIfNegative val="1"/>
          <c:cat>
            <c:numRef>
              <c:f>Electricidad!$E$1:$H$1</c:f>
              <c:numCache>
                <c:formatCode>General</c:formatCode>
                <c:ptCount val="4"/>
              </c:numCache>
            </c:numRef>
          </c:cat>
          <c:val>
            <c:numRef>
              <c:f>Electricidad!$E$95:$H$95</c:f>
              <c:numCache>
                <c:formatCode>#,##0.00000</c:formatCode>
                <c:ptCount val="4"/>
                <c:pt idx="0">
                  <c:v>2.7629839999999992E-2</c:v>
                </c:pt>
                <c:pt idx="1">
                  <c:v>2.7629839999999992E-2</c:v>
                </c:pt>
                <c:pt idx="2">
                  <c:v>2.7629839999999992E-2</c:v>
                </c:pt>
                <c:pt idx="3">
                  <c:v>2.7653179999999992E-2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A80-4CCB-8D28-166389C0F437}"/>
            </c:ext>
          </c:extLst>
        </c:ser>
        <c:ser>
          <c:idx val="5"/>
          <c:order val="5"/>
          <c:tx>
            <c:v>Térmica-MCI</c:v>
          </c:tx>
          <c:spPr>
            <a:solidFill>
              <a:srgbClr val="70AD47"/>
            </a:solidFill>
            <a:ln cmpd="sng">
              <a:solidFill>
                <a:srgbClr val="000000"/>
              </a:solidFill>
            </a:ln>
          </c:spPr>
          <c:invertIfNegative val="1"/>
          <c:cat>
            <c:numRef>
              <c:f>Electricidad!$E$1:$H$1</c:f>
              <c:numCache>
                <c:formatCode>General</c:formatCode>
                <c:ptCount val="4"/>
              </c:numCache>
            </c:numRef>
          </c:cat>
          <c:val>
            <c:numRef>
              <c:f>Electricidad!$E$97:$H$97</c:f>
              <c:numCache>
                <c:formatCode>#,##0.00000</c:formatCode>
                <c:ptCount val="4"/>
                <c:pt idx="0">
                  <c:v>2.0114443799999999</c:v>
                </c:pt>
                <c:pt idx="1">
                  <c:v>2.0247963800000002</c:v>
                </c:pt>
                <c:pt idx="2">
                  <c:v>2.0297373800000003</c:v>
                </c:pt>
                <c:pt idx="3">
                  <c:v>2.0206673799999999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A80-4CCB-8D28-166389C0F437}"/>
            </c:ext>
          </c:extLst>
        </c:ser>
        <c:ser>
          <c:idx val="6"/>
          <c:order val="6"/>
          <c:tx>
            <c:v>Térmica-Turbogas</c:v>
          </c:tx>
          <c:spPr>
            <a:solidFill>
              <a:srgbClr val="4472C4"/>
            </a:solidFill>
            <a:ln cmpd="sng">
              <a:solidFill>
                <a:srgbClr val="000000"/>
              </a:solidFill>
            </a:ln>
          </c:spPr>
          <c:invertIfNegative val="1"/>
          <c:cat>
            <c:numRef>
              <c:f>Electricidad!$E$1:$H$1</c:f>
              <c:numCache>
                <c:formatCode>General</c:formatCode>
                <c:ptCount val="4"/>
              </c:numCache>
            </c:numRef>
          </c:cat>
          <c:val>
            <c:numRef>
              <c:f>Electricidad!$E$98:$H$98</c:f>
              <c:numCache>
                <c:formatCode>#,##0.00000</c:formatCode>
                <c:ptCount val="4"/>
                <c:pt idx="0">
                  <c:v>0.92184899999999992</c:v>
                </c:pt>
                <c:pt idx="1">
                  <c:v>0.92184899999999992</c:v>
                </c:pt>
                <c:pt idx="2">
                  <c:v>0.92184899999999992</c:v>
                </c:pt>
                <c:pt idx="3">
                  <c:v>0.94384899999999994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1A80-4CCB-8D28-166389C0F437}"/>
            </c:ext>
          </c:extLst>
        </c:ser>
        <c:ser>
          <c:idx val="7"/>
          <c:order val="7"/>
          <c:tx>
            <c:v>Térmica-Turbovapor</c:v>
          </c:tx>
          <c:spPr>
            <a:solidFill>
              <a:srgbClr val="ED7D31"/>
            </a:solidFill>
            <a:ln cmpd="sng">
              <a:solidFill>
                <a:srgbClr val="000000"/>
              </a:solidFill>
            </a:ln>
          </c:spPr>
          <c:invertIfNegative val="1"/>
          <c:cat>
            <c:numRef>
              <c:f>Electricidad!$E$1:$H$1</c:f>
              <c:numCache>
                <c:formatCode>General</c:formatCode>
                <c:ptCount val="4"/>
              </c:numCache>
            </c:numRef>
          </c:cat>
          <c:val>
            <c:numRef>
              <c:f>Electricidad!$E$99:$H$99</c:f>
              <c:numCache>
                <c:formatCode>#,##0.00000</c:formatCode>
                <c:ptCount val="4"/>
                <c:pt idx="0">
                  <c:v>0.46186500000000003</c:v>
                </c:pt>
                <c:pt idx="1">
                  <c:v>0.46162500000000001</c:v>
                </c:pt>
                <c:pt idx="2">
                  <c:v>0.46162500000000001</c:v>
                </c:pt>
                <c:pt idx="3">
                  <c:v>0.46162500000000001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1A80-4CCB-8D28-166389C0F437}"/>
            </c:ext>
          </c:extLst>
        </c:ser>
        <c:ser>
          <c:idx val="8"/>
          <c:order val="8"/>
          <c:invertIfNegative val="1"/>
          <c:cat>
            <c:numRef>
              <c:f>Electricidad!$E$1:$H$1</c:f>
              <c:numCache>
                <c:formatCode>General</c:formatCode>
                <c:ptCount val="4"/>
              </c:numCache>
            </c:numRef>
          </c:cat>
          <c:val>
            <c:numRef>
              <c:f>Electricidad!$E$100:$H$100</c:f>
              <c:numCache>
                <c:formatCode>#,##0.00000</c:formatCode>
                <c:ptCount val="4"/>
                <c:pt idx="0">
                  <c:v>7.26E-3</c:v>
                </c:pt>
                <c:pt idx="1">
                  <c:v>7.26E-3</c:v>
                </c:pt>
                <c:pt idx="2">
                  <c:v>7.26E-3</c:v>
                </c:pt>
                <c:pt idx="3">
                  <c:v>8.320000000000001E-3</c:v>
                </c:pt>
              </c:numCache>
            </c:numRef>
          </c:val>
          <c:extLst>
            <c:ext xmlns:c16="http://schemas.microsoft.com/office/drawing/2014/chart" uri="{C3380CC4-5D6E-409C-BE32-E72D297353CC}">
              <c16:uniqueId val="{00000008-1A80-4CCB-8D28-166389C0F437}"/>
            </c:ext>
          </c:extLst>
        </c:ser>
        <c:dLbls>
          <c:showLegendKey val="0"/>
          <c:showVal val="0"/>
          <c:showCatName val="0"/>
          <c:showSerName val="0"/>
          <c:showPercent val="0"/>
          <c:showBubbleSize val="0"/>
        </c:dLbls>
        <c:gapWidth val="150"/>
        <c:overlap val="100"/>
        <c:axId val="1146363821"/>
        <c:axId val="248874225"/>
      </c:barChart>
      <c:catAx>
        <c:axId val="11463638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48874225"/>
        <c:crosses val="autoZero"/>
        <c:auto val="1"/>
        <c:lblAlgn val="ctr"/>
        <c:lblOffset val="100"/>
        <c:noMultiLvlLbl val="1"/>
      </c:catAx>
      <c:valAx>
        <c:axId val="24887422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14636382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Nueva capacidad proyectada en planes de expansión</a:t>
            </a:r>
          </a:p>
        </c:rich>
      </c:tx>
      <c:overlay val="0"/>
    </c:title>
    <c:autoTitleDeleted val="0"/>
    <c:plotArea>
      <c:layout/>
      <c:barChart>
        <c:barDir val="col"/>
        <c:grouping val="percentStacked"/>
        <c:varyColors val="1"/>
        <c:ser>
          <c:idx val="0"/>
          <c:order val="0"/>
          <c:tx>
            <c:v>Geotérmico</c:v>
          </c:tx>
          <c:spPr>
            <a:solidFill>
              <a:srgbClr val="4472C4"/>
            </a:solidFill>
            <a:ln cmpd="sng">
              <a:solidFill>
                <a:srgbClr val="000000"/>
              </a:solidFill>
            </a:ln>
          </c:spPr>
          <c:invertIfNegative val="1"/>
          <c:cat>
            <c:numRef>
              <c:f>Electricidad!$E$1:$R$1</c:f>
              <c:numCache>
                <c:formatCode>General</c:formatCode>
                <c:ptCount val="14"/>
              </c:numCache>
            </c:numRef>
          </c:cat>
          <c:val>
            <c:numRef>
              <c:f>Electricidad!$E$107:$R$107</c:f>
              <c:numCache>
                <c:formatCode>#,##0.00000</c:formatCode>
                <c:ptCount val="14"/>
                <c:pt idx="10">
                  <c:v>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1D3-4940-AE75-35DEF626BBAF}"/>
            </c:ext>
          </c:extLst>
        </c:ser>
        <c:ser>
          <c:idx val="1"/>
          <c:order val="1"/>
          <c:tx>
            <c:v>Embalse-Pacífico-Pequeñas</c:v>
          </c:tx>
          <c:spPr>
            <a:solidFill>
              <a:srgbClr val="A5A5A5"/>
            </a:solidFill>
            <a:ln cmpd="sng">
              <a:solidFill>
                <a:srgbClr val="000000"/>
              </a:solidFill>
            </a:ln>
          </c:spPr>
          <c:invertIfNegative val="1"/>
          <c:cat>
            <c:numRef>
              <c:f>Electricidad!$E$1:$R$1</c:f>
              <c:numCache>
                <c:formatCode>General</c:formatCode>
                <c:ptCount val="14"/>
              </c:numCache>
            </c:numRef>
          </c:cat>
          <c:val>
            <c:numRef>
              <c:f>Electricidad!$E$109:$R$109</c:f>
              <c:numCache>
                <c:formatCode>#,##0.00000</c:formatCode>
                <c:ptCount val="14"/>
                <c:pt idx="4">
                  <c:v>4.9000000000000002E-2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1D3-4940-AE75-35DEF626BBAF}"/>
            </c:ext>
          </c:extLst>
        </c:ser>
        <c:ser>
          <c:idx val="2"/>
          <c:order val="2"/>
          <c:tx>
            <c:v>Embalse-Pacífico-Medianas</c:v>
          </c:tx>
          <c:spPr>
            <a:solidFill>
              <a:srgbClr val="FFC000"/>
            </a:solidFill>
            <a:ln cmpd="sng">
              <a:solidFill>
                <a:srgbClr val="000000"/>
              </a:solidFill>
            </a:ln>
          </c:spPr>
          <c:invertIfNegative val="1"/>
          <c:cat>
            <c:numRef>
              <c:f>Electricidad!$E$1:$R$1</c:f>
              <c:numCache>
                <c:formatCode>General</c:formatCode>
                <c:ptCount val="14"/>
              </c:numCache>
            </c:numRef>
          </c:cat>
          <c:val>
            <c:numRef>
              <c:f>Electricidad!$E$110:$R$110</c:f>
              <c:numCache>
                <c:formatCode>#,##0.00000</c:formatCode>
                <c:ptCount val="14"/>
                <c:pt idx="5">
                  <c:v>0.2054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1D3-4940-AE75-35DEF626BBAF}"/>
            </c:ext>
          </c:extLst>
        </c:ser>
        <c:ser>
          <c:idx val="3"/>
          <c:order val="3"/>
          <c:tx>
            <c:v>Embalse-Amazonas-Pequeñas</c:v>
          </c:tx>
          <c:spPr>
            <a:solidFill>
              <a:srgbClr val="70AD47"/>
            </a:solidFill>
            <a:ln cmpd="sng">
              <a:solidFill>
                <a:srgbClr val="000000"/>
              </a:solidFill>
            </a:ln>
          </c:spPr>
          <c:invertIfNegative val="1"/>
          <c:cat>
            <c:numRef>
              <c:f>Electricidad!$E$1:$R$1</c:f>
              <c:numCache>
                <c:formatCode>General</c:formatCode>
                <c:ptCount val="14"/>
              </c:numCache>
            </c:numRef>
          </c:cat>
          <c:val>
            <c:numRef>
              <c:f>Electricidad!$E$112:$R$112</c:f>
              <c:numCache>
                <c:formatCode>#,##0.00000</c:formatCode>
                <c:ptCount val="14"/>
                <c:pt idx="6">
                  <c:v>7.1999999999999998E-3</c:v>
                </c:pt>
                <c:pt idx="7">
                  <c:v>1.46E-2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1D3-4940-AE75-35DEF626BBAF}"/>
            </c:ext>
          </c:extLst>
        </c:ser>
        <c:ser>
          <c:idx val="4"/>
          <c:order val="4"/>
          <c:tx>
            <c:v>Embalse-Amazonas-Grandes</c:v>
          </c:tx>
          <c:spPr>
            <a:solidFill>
              <a:srgbClr val="ED7D31"/>
            </a:solidFill>
            <a:ln cmpd="sng">
              <a:solidFill>
                <a:srgbClr val="000000"/>
              </a:solidFill>
            </a:ln>
          </c:spPr>
          <c:invertIfNegative val="1"/>
          <c:cat>
            <c:numRef>
              <c:f>Electricidad!$E$1:$R$1</c:f>
              <c:numCache>
                <c:formatCode>General</c:formatCode>
                <c:ptCount val="14"/>
              </c:numCache>
            </c:numRef>
          </c:cat>
          <c:val>
            <c:numRef>
              <c:f>Electricidad!$E$114:$R$114</c:f>
              <c:numCache>
                <c:formatCode>#,##0.00000</c:formatCode>
                <c:ptCount val="14"/>
                <c:pt idx="12">
                  <c:v>0.59560000000000002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81D3-4940-AE75-35DEF626BBAF}"/>
            </c:ext>
          </c:extLst>
        </c:ser>
        <c:ser>
          <c:idx val="5"/>
          <c:order val="5"/>
          <c:tx>
            <c:v>Pasada-Pacífico-Pequeñas</c:v>
          </c:tx>
          <c:spPr>
            <a:solidFill>
              <a:srgbClr val="FFC000"/>
            </a:solidFill>
            <a:ln cmpd="sng">
              <a:solidFill>
                <a:srgbClr val="000000"/>
              </a:solidFill>
            </a:ln>
          </c:spPr>
          <c:invertIfNegative val="1"/>
          <c:cat>
            <c:numRef>
              <c:f>Electricidad!$E$1:$R$1</c:f>
              <c:numCache>
                <c:formatCode>General</c:formatCode>
                <c:ptCount val="14"/>
              </c:numCache>
            </c:numRef>
          </c:cat>
          <c:val>
            <c:numRef>
              <c:f>Electricidad!$E$116:$R$116</c:f>
              <c:numCache>
                <c:formatCode>#,##0.00000</c:formatCode>
                <c:ptCount val="14"/>
                <c:pt idx="5">
                  <c:v>8.9999999999999993E-3</c:v>
                </c:pt>
                <c:pt idx="6">
                  <c:v>0.05</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81D3-4940-AE75-35DEF626BBAF}"/>
            </c:ext>
          </c:extLst>
        </c:ser>
        <c:ser>
          <c:idx val="6"/>
          <c:order val="6"/>
          <c:tx>
            <c:v>Pasada-Pacífico-Medianas</c:v>
          </c:tx>
          <c:spPr>
            <a:solidFill>
              <a:srgbClr val="5B9BD5"/>
            </a:solidFill>
            <a:ln cmpd="sng">
              <a:solidFill>
                <a:srgbClr val="000000"/>
              </a:solidFill>
            </a:ln>
          </c:spPr>
          <c:invertIfNegative val="1"/>
          <c:cat>
            <c:numRef>
              <c:f>Electricidad!$E$1:$R$1</c:f>
              <c:numCache>
                <c:formatCode>General</c:formatCode>
                <c:ptCount val="14"/>
              </c:numCache>
            </c:numRef>
          </c:cat>
          <c:val>
            <c:numRef>
              <c:f>Electricidad!$E$117:$R$117</c:f>
              <c:numCache>
                <c:formatCode>#,##0.00000</c:formatCode>
                <c:ptCount val="14"/>
                <c:pt idx="10">
                  <c:v>0.19400000000000001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81D3-4940-AE75-35DEF626BBAF}"/>
            </c:ext>
          </c:extLst>
        </c:ser>
        <c:ser>
          <c:idx val="7"/>
          <c:order val="7"/>
          <c:tx>
            <c:v>Pasada-Pacífico-Grandes</c:v>
          </c:tx>
          <c:spPr>
            <a:solidFill>
              <a:srgbClr val="70AD47"/>
            </a:solidFill>
            <a:ln cmpd="sng">
              <a:solidFill>
                <a:srgbClr val="000000"/>
              </a:solidFill>
            </a:ln>
          </c:spPr>
          <c:invertIfNegative val="1"/>
          <c:cat>
            <c:numRef>
              <c:f>Electricidad!$E$1:$R$1</c:f>
              <c:numCache>
                <c:formatCode>General</c:formatCode>
                <c:ptCount val="14"/>
              </c:numCache>
            </c:numRef>
          </c:cat>
          <c:val>
            <c:numRef>
              <c:f>Electricidad!$E$118:$R$118</c:f>
              <c:numCache>
                <c:formatCode>#,##0.00000</c:formatCode>
                <c:ptCount val="1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81D3-4940-AE75-35DEF626BBAF}"/>
            </c:ext>
          </c:extLst>
        </c:ser>
        <c:ser>
          <c:idx val="8"/>
          <c:order val="8"/>
          <c:tx>
            <c:v>Pasada-Amazonas-Pequeñas</c:v>
          </c:tx>
          <c:spPr>
            <a:solidFill>
              <a:srgbClr val="4472C4"/>
            </a:solidFill>
            <a:ln cmpd="sng">
              <a:solidFill>
                <a:srgbClr val="000000"/>
              </a:solidFill>
            </a:ln>
          </c:spPr>
          <c:invertIfNegative val="1"/>
          <c:cat>
            <c:numRef>
              <c:f>Electricidad!$E$1:$R$1</c:f>
              <c:numCache>
                <c:formatCode>General</c:formatCode>
                <c:ptCount val="14"/>
              </c:numCache>
            </c:numRef>
          </c:cat>
          <c:val>
            <c:numRef>
              <c:f>Electricidad!$E$119:$R$119</c:f>
              <c:numCache>
                <c:formatCode>#,##0.00000</c:formatCode>
                <c:ptCount val="14"/>
                <c:pt idx="4">
                  <c:v>0.03</c:v>
                </c:pt>
                <c:pt idx="6">
                  <c:v>4.0000000000000001E-3</c:v>
                </c:pt>
                <c:pt idx="7">
                  <c:v>1.4579999999999999E-2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81D3-4940-AE75-35DEF626BBAF}"/>
            </c:ext>
          </c:extLst>
        </c:ser>
        <c:ser>
          <c:idx val="9"/>
          <c:order val="9"/>
          <c:tx>
            <c:v>Pasada-Amazonas-Medianas</c:v>
          </c:tx>
          <c:spPr>
            <a:solidFill>
              <a:srgbClr val="ED7D31"/>
            </a:solidFill>
            <a:ln cmpd="sng">
              <a:solidFill>
                <a:srgbClr val="000000"/>
              </a:solidFill>
            </a:ln>
          </c:spPr>
          <c:invertIfNegative val="1"/>
          <c:cat>
            <c:numRef>
              <c:f>Electricidad!$E$1:$R$1</c:f>
              <c:numCache>
                <c:formatCode>General</c:formatCode>
                <c:ptCount val="14"/>
              </c:numCache>
            </c:numRef>
          </c:cat>
          <c:val>
            <c:numRef>
              <c:f>Electricidad!$E$120:$R$120</c:f>
              <c:numCache>
                <c:formatCode>#,##0.00000</c:formatCode>
                <c:ptCount val="14"/>
                <c:pt idx="7">
                  <c:v>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81D3-4940-AE75-35DEF626BBAF}"/>
            </c:ext>
          </c:extLst>
        </c:ser>
        <c:ser>
          <c:idx val="10"/>
          <c:order val="10"/>
          <c:tx>
            <c:v>Pasada-Amazonas-Grandes</c:v>
          </c:tx>
          <c:spPr>
            <a:solidFill>
              <a:srgbClr val="A5A5A5"/>
            </a:solidFill>
            <a:ln cmpd="sng">
              <a:solidFill>
                <a:srgbClr val="000000"/>
              </a:solidFill>
            </a:ln>
          </c:spPr>
          <c:invertIfNegative val="1"/>
          <c:cat>
            <c:numRef>
              <c:f>Electricidad!$E$1:$R$1</c:f>
              <c:numCache>
                <c:formatCode>General</c:formatCode>
                <c:ptCount val="14"/>
              </c:numCache>
            </c:numRef>
          </c:cat>
          <c:val>
            <c:numRef>
              <c:f>Electricidad!$E$121:$R$121</c:f>
              <c:numCache>
                <c:formatCode>#,##0.00000</c:formatCode>
                <c:ptCount val="1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81D3-4940-AE75-35DEF626BBAF}"/>
            </c:ext>
          </c:extLst>
        </c:ser>
        <c:ser>
          <c:idx val="11"/>
          <c:order val="11"/>
          <c:tx>
            <c:v>Fotovoltaico</c:v>
          </c:tx>
          <c:spPr>
            <a:solidFill>
              <a:srgbClr val="5B9BD5"/>
            </a:solidFill>
            <a:ln cmpd="sng">
              <a:solidFill>
                <a:srgbClr val="000000"/>
              </a:solidFill>
            </a:ln>
          </c:spPr>
          <c:invertIfNegative val="1"/>
          <c:cat>
            <c:numRef>
              <c:f>Electricidad!$E$1:$R$1</c:f>
              <c:numCache>
                <c:formatCode>General</c:formatCode>
                <c:ptCount val="14"/>
              </c:numCache>
            </c:numRef>
          </c:cat>
          <c:val>
            <c:numRef>
              <c:f>Electricidad!$E$123:$R$123</c:f>
              <c:numCache>
                <c:formatCode>#,##0.00000</c:formatCode>
                <c:ptCount val="14"/>
                <c:pt idx="6">
                  <c:v>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81D3-4940-AE75-35DEF626BBAF}"/>
            </c:ext>
          </c:extLst>
        </c:ser>
        <c:ser>
          <c:idx val="12"/>
          <c:order val="12"/>
          <c:tx>
            <c:v>Eólico</c:v>
          </c:tx>
          <c:spPr>
            <a:solidFill>
              <a:srgbClr val="70AD47"/>
            </a:solidFill>
            <a:ln cmpd="sng">
              <a:solidFill>
                <a:srgbClr val="000000"/>
              </a:solidFill>
            </a:ln>
          </c:spPr>
          <c:invertIfNegative val="1"/>
          <c:cat>
            <c:numRef>
              <c:f>Electricidad!$E$1:$R$1</c:f>
              <c:numCache>
                <c:formatCode>General</c:formatCode>
                <c:ptCount val="14"/>
              </c:numCache>
            </c:numRef>
          </c:cat>
          <c:val>
            <c:numRef>
              <c:f>Electricidad!$E$124:$R$124</c:f>
              <c:numCache>
                <c:formatCode>#,##0.00000</c:formatCode>
                <c:ptCount val="14"/>
                <c:pt idx="5">
                  <c:v>0.05</c:v>
                </c:pt>
                <c:pt idx="6">
                  <c:v>0.11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81D3-4940-AE75-35DEF626BBAF}"/>
            </c:ext>
          </c:extLst>
        </c:ser>
        <c:ser>
          <c:idx val="13"/>
          <c:order val="13"/>
          <c:tx>
            <c:v>Termoeléctrico-Gas Natural</c:v>
          </c:tx>
          <c:spPr>
            <a:solidFill>
              <a:srgbClr val="FFC000"/>
            </a:solidFill>
            <a:ln cmpd="sng">
              <a:solidFill>
                <a:srgbClr val="000000"/>
              </a:solidFill>
            </a:ln>
          </c:spPr>
          <c:invertIfNegative val="1"/>
          <c:cat>
            <c:numRef>
              <c:f>Electricidad!$E$1:$R$1</c:f>
              <c:numCache>
                <c:formatCode>General</c:formatCode>
                <c:ptCount val="14"/>
              </c:numCache>
            </c:numRef>
          </c:cat>
          <c:val>
            <c:numRef>
              <c:f>Electricidad!$E$128:$R$128</c:f>
              <c:numCache>
                <c:formatCode>#,##0.00000</c:formatCode>
                <c:ptCount val="14"/>
                <c:pt idx="6">
                  <c:v>0.187</c:v>
                </c:pt>
                <c:pt idx="8">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81D3-4940-AE75-35DEF626BBAF}"/>
            </c:ext>
          </c:extLst>
        </c:ser>
        <c:ser>
          <c:idx val="14"/>
          <c:order val="14"/>
          <c:tx>
            <c:v>Bloques ERNC</c:v>
          </c:tx>
          <c:spPr>
            <a:solidFill>
              <a:srgbClr val="5B9BD5"/>
            </a:solidFill>
            <a:ln cmpd="sng">
              <a:solidFill>
                <a:srgbClr val="000000"/>
              </a:solidFill>
            </a:ln>
          </c:spPr>
          <c:invertIfNegative val="1"/>
          <c:cat>
            <c:numRef>
              <c:f>Electricidad!$E$1:$R$1</c:f>
              <c:numCache>
                <c:formatCode>General</c:formatCode>
                <c:ptCount val="14"/>
              </c:numCache>
            </c:numRef>
          </c:cat>
          <c:val>
            <c:numRef>
              <c:f>Electricidad!$E$129:$R$129</c:f>
              <c:numCache>
                <c:formatCode>#,##0.00000</c:formatCode>
                <c:ptCount val="14"/>
                <c:pt idx="9">
                  <c:v>0.12</c:v>
                </c:pt>
                <c:pt idx="10">
                  <c:v>0.32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81D3-4940-AE75-35DEF626BBAF}"/>
            </c:ext>
          </c:extLst>
        </c:ser>
        <c:ser>
          <c:idx val="15"/>
          <c:order val="15"/>
          <c:tx>
            <c:v>Bloque ERNC-Hidroeléctricas de Pasada</c:v>
          </c:tx>
          <c:spPr>
            <a:solidFill>
              <a:srgbClr val="70AD47"/>
            </a:solidFill>
            <a:ln cmpd="sng">
              <a:solidFill>
                <a:srgbClr val="000000"/>
              </a:solidFill>
            </a:ln>
          </c:spPr>
          <c:invertIfNegative val="1"/>
          <c:cat>
            <c:numRef>
              <c:f>Electricidad!$E$1:$R$1</c:f>
              <c:numCache>
                <c:formatCode>General</c:formatCode>
                <c:ptCount val="14"/>
              </c:numCache>
            </c:numRef>
          </c:cat>
          <c:val>
            <c:numRef>
              <c:f>Electricidad!$E$130:$R$130</c:f>
              <c:numCache>
                <c:formatCode>#,##0.00000</c:formatCode>
                <c:ptCount val="14"/>
                <c:pt idx="6">
                  <c:v>4.4810000000000003E-2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F-81D3-4940-AE75-35DEF626BBAF}"/>
            </c:ext>
          </c:extLst>
        </c:ser>
        <c:ser>
          <c:idx val="16"/>
          <c:order val="16"/>
          <c:tx>
            <c:v>Bloque ERNC-Eólicos</c:v>
          </c:tx>
          <c:spPr>
            <a:solidFill>
              <a:srgbClr val="4472C4"/>
            </a:solidFill>
            <a:ln cmpd="sng">
              <a:solidFill>
                <a:srgbClr val="000000"/>
              </a:solidFill>
            </a:ln>
          </c:spPr>
          <c:invertIfNegative val="1"/>
          <c:cat>
            <c:numRef>
              <c:f>Electricidad!$E$1:$R$1</c:f>
              <c:numCache>
                <c:formatCode>General</c:formatCode>
                <c:ptCount val="14"/>
              </c:numCache>
            </c:numRef>
          </c:cat>
          <c:val>
            <c:numRef>
              <c:f>Electricidad!$E$131:$R$131</c:f>
              <c:numCache>
                <c:formatCode>#,##0.00000</c:formatCode>
                <c:ptCount val="14"/>
                <c:pt idx="6">
                  <c:v>0.14930000000000002</c:v>
                </c:pt>
                <c:pt idx="8">
                  <c:v>0.13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81D3-4940-AE75-35DEF626BBAF}"/>
            </c:ext>
          </c:extLst>
        </c:ser>
        <c:ser>
          <c:idx val="17"/>
          <c:order val="17"/>
          <c:tx>
            <c:v>Bloque ERNC-Fotovoltaicos</c:v>
          </c:tx>
          <c:spPr>
            <a:solidFill>
              <a:srgbClr val="ED7D31"/>
            </a:solidFill>
            <a:ln cmpd="sng">
              <a:solidFill>
                <a:srgbClr val="000000"/>
              </a:solidFill>
            </a:ln>
          </c:spPr>
          <c:invertIfNegative val="1"/>
          <c:cat>
            <c:numRef>
              <c:f>Electricidad!$E$1:$R$1</c:f>
              <c:numCache>
                <c:formatCode>General</c:formatCode>
                <c:ptCount val="14"/>
              </c:numCache>
            </c:numRef>
          </c:cat>
          <c:val>
            <c:numRef>
              <c:f>Electricidad!$E$132:$R$132</c:f>
              <c:numCache>
                <c:formatCode>#,##0.00000</c:formatCode>
                <c:ptCount val="14"/>
                <c:pt idx="6">
                  <c:v>0.31760000000000005</c:v>
                </c:pt>
                <c:pt idx="8">
                  <c:v>0.27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1-81D3-4940-AE75-35DEF626BBAF}"/>
            </c:ext>
          </c:extLst>
        </c:ser>
        <c:ser>
          <c:idx val="18"/>
          <c:order val="18"/>
          <c:tx>
            <c:v>Bloque ERNC-Biomasa,biogás y biogás de residuos orgánicos</c:v>
          </c:tx>
          <c:spPr>
            <a:solidFill>
              <a:srgbClr val="A5A5A5"/>
            </a:solidFill>
            <a:ln cmpd="sng">
              <a:solidFill>
                <a:srgbClr val="000000"/>
              </a:solidFill>
            </a:ln>
          </c:spPr>
          <c:invertIfNegative val="1"/>
          <c:cat>
            <c:numRef>
              <c:f>Electricidad!$E$1:$R$1</c:f>
              <c:numCache>
                <c:formatCode>General</c:formatCode>
                <c:ptCount val="14"/>
              </c:numCache>
            </c:numRef>
          </c:cat>
          <c:val>
            <c:numRef>
              <c:f>Electricidad!$E$133:$R$133</c:f>
              <c:numCache>
                <c:formatCode>#,##0.00000</c:formatCode>
                <c:ptCount val="1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2-81D3-4940-AE75-35DEF626BBAF}"/>
            </c:ext>
          </c:extLst>
        </c:ser>
        <c:dLbls>
          <c:showLegendKey val="0"/>
          <c:showVal val="0"/>
          <c:showCatName val="0"/>
          <c:showSerName val="0"/>
          <c:showPercent val="0"/>
          <c:showBubbleSize val="0"/>
        </c:dLbls>
        <c:gapWidth val="150"/>
        <c:overlap val="100"/>
        <c:axId val="35502609"/>
        <c:axId val="308033156"/>
      </c:barChart>
      <c:catAx>
        <c:axId val="355026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08033156"/>
        <c:crosses val="autoZero"/>
        <c:auto val="1"/>
        <c:lblAlgn val="ctr"/>
        <c:lblOffset val="100"/>
        <c:noMultiLvlLbl val="1"/>
      </c:catAx>
      <c:valAx>
        <c:axId val="3080331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3550260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Año de salida si fue instalada en 2018</c:v>
          </c:tx>
          <c:spPr>
            <a:solidFill>
              <a:srgbClr val="ED7D31"/>
            </a:solidFill>
            <a:ln cmpd="sng">
              <a:solidFill>
                <a:srgbClr val="000000"/>
              </a:solidFill>
            </a:ln>
          </c:spPr>
          <c:invertIfNegative val="1"/>
          <c:cat>
            <c:strRef>
              <c:f>Electricidad!$D$194:$D$203</c:f>
              <c:strCache>
                <c:ptCount val="10"/>
                <c:pt idx="0">
                  <c:v>Biomasa</c:v>
                </c:pt>
                <c:pt idx="1">
                  <c:v>Fuel oil motor</c:v>
                </c:pt>
                <c:pt idx="2">
                  <c:v>Geotérmico</c:v>
                </c:pt>
                <c:pt idx="3">
                  <c:v>Hidroeléctrico represa</c:v>
                </c:pt>
                <c:pt idx="4">
                  <c:v>Hidroeléctrico filo de agua</c:v>
                </c:pt>
                <c:pt idx="5">
                  <c:v>Diesel motor</c:v>
                </c:pt>
                <c:pt idx="6">
                  <c:v>Fotovoltaico</c:v>
                </c:pt>
                <c:pt idx="7">
                  <c:v>Eólico </c:v>
                </c:pt>
                <c:pt idx="8">
                  <c:v>Carbón</c:v>
                </c:pt>
                <c:pt idx="9">
                  <c:v>Distribuida solar </c:v>
                </c:pt>
              </c:strCache>
            </c:strRef>
          </c:cat>
          <c:val>
            <c:numRef>
              <c:f>Electricidad!$D$206:$D$209</c:f>
              <c:numCache>
                <c:formatCode>General</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6E6-41DF-BF78-27FAC3224C65}"/>
            </c:ext>
          </c:extLst>
        </c:ser>
        <c:ser>
          <c:idx val="1"/>
          <c:order val="1"/>
          <c:tx>
            <c:v>Vida útil</c:v>
          </c:tx>
          <c:spPr>
            <a:solidFill>
              <a:srgbClr val="4472C4"/>
            </a:solidFill>
            <a:ln cmpd="sng">
              <a:solidFill>
                <a:srgbClr val="000000"/>
              </a:solidFill>
            </a:ln>
          </c:spPr>
          <c:invertIfNegative val="1"/>
          <c:cat>
            <c:strRef>
              <c:f>Electricidad!$D$194:$D$203</c:f>
              <c:strCache>
                <c:ptCount val="10"/>
                <c:pt idx="0">
                  <c:v>Biomasa</c:v>
                </c:pt>
                <c:pt idx="1">
                  <c:v>Fuel oil motor</c:v>
                </c:pt>
                <c:pt idx="2">
                  <c:v>Geotérmico</c:v>
                </c:pt>
                <c:pt idx="3">
                  <c:v>Hidroeléctrico represa</c:v>
                </c:pt>
                <c:pt idx="4">
                  <c:v>Hidroeléctrico filo de agua</c:v>
                </c:pt>
                <c:pt idx="5">
                  <c:v>Diesel motor</c:v>
                </c:pt>
                <c:pt idx="6">
                  <c:v>Fotovoltaico</c:v>
                </c:pt>
                <c:pt idx="7">
                  <c:v>Eólico </c:v>
                </c:pt>
                <c:pt idx="8">
                  <c:v>Carbón</c:v>
                </c:pt>
                <c:pt idx="9">
                  <c:v>Distribuida solar </c:v>
                </c:pt>
              </c:strCache>
            </c:strRef>
          </c:cat>
          <c:val>
            <c:numRef>
              <c:f>Electricidad!$F$194:$F$203</c:f>
              <c:numCache>
                <c:formatCode>#,##0</c:formatCode>
                <c:ptCount val="10"/>
                <c:pt idx="0">
                  <c:v>2038</c:v>
                </c:pt>
                <c:pt idx="1">
                  <c:v>2033</c:v>
                </c:pt>
                <c:pt idx="2">
                  <c:v>2068</c:v>
                </c:pt>
                <c:pt idx="3">
                  <c:v>2068</c:v>
                </c:pt>
                <c:pt idx="4">
                  <c:v>2068</c:v>
                </c:pt>
                <c:pt idx="5">
                  <c:v>2033</c:v>
                </c:pt>
                <c:pt idx="6">
                  <c:v>2043</c:v>
                </c:pt>
                <c:pt idx="7">
                  <c:v>2043</c:v>
                </c:pt>
                <c:pt idx="8">
                  <c:v>2058</c:v>
                </c:pt>
                <c:pt idx="9">
                  <c:v>2048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6E6-41DF-BF78-27FAC3224C65}"/>
            </c:ext>
          </c:extLst>
        </c:ser>
        <c:ser>
          <c:idx val="2"/>
          <c:order val="2"/>
          <c:tx>
            <c:v>2 043</c:v>
          </c:tx>
          <c:spPr>
            <a:solidFill>
              <a:srgbClr val="A5A5A5"/>
            </a:solidFill>
            <a:ln cmpd="sng">
              <a:solidFill>
                <a:srgbClr val="000000"/>
              </a:solidFill>
            </a:ln>
          </c:spPr>
          <c:invertIfNegative val="1"/>
          <c:cat>
            <c:strRef>
              <c:f>Electricidad!$D$194:$D$203</c:f>
              <c:strCache>
                <c:ptCount val="10"/>
                <c:pt idx="0">
                  <c:v>Biomasa</c:v>
                </c:pt>
                <c:pt idx="1">
                  <c:v>Fuel oil motor</c:v>
                </c:pt>
                <c:pt idx="2">
                  <c:v>Geotérmico</c:v>
                </c:pt>
                <c:pt idx="3">
                  <c:v>Hidroeléctrico represa</c:v>
                </c:pt>
                <c:pt idx="4">
                  <c:v>Hidroeléctrico filo de agua</c:v>
                </c:pt>
                <c:pt idx="5">
                  <c:v>Diesel motor</c:v>
                </c:pt>
                <c:pt idx="6">
                  <c:v>Fotovoltaico</c:v>
                </c:pt>
                <c:pt idx="7">
                  <c:v>Eólico </c:v>
                </c:pt>
                <c:pt idx="8">
                  <c:v>Carbón</c:v>
                </c:pt>
                <c:pt idx="9">
                  <c:v>Distribuida solar </c:v>
                </c:pt>
              </c:strCache>
            </c:strRef>
          </c:cat>
          <c:val>
            <c:numRef>
              <c:f>Electricidad!$F$205:$F$209</c:f>
              <c:numCache>
                <c:formatCode>#,##0</c:formatCode>
                <c:ptCount val="5"/>
                <c:pt idx="0">
                  <c:v>2043</c:v>
                </c:pt>
                <c:pt idx="1">
                  <c:v>2039</c:v>
                </c:pt>
                <c:pt idx="2">
                  <c:v>2038</c:v>
                </c:pt>
                <c:pt idx="3">
                  <c:v>2038</c:v>
                </c:pt>
                <c:pt idx="4">
                  <c:v>2048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6E6-41DF-BF78-27FAC3224C65}"/>
            </c:ext>
          </c:extLst>
        </c:ser>
        <c:ser>
          <c:idx val="3"/>
          <c:order val="3"/>
          <c:tx>
            <c:v>Vida útil</c:v>
          </c:tx>
          <c:spPr>
            <a:solidFill>
              <a:srgbClr val="FFC000"/>
            </a:solidFill>
            <a:ln cmpd="sng">
              <a:solidFill>
                <a:srgbClr val="000000"/>
              </a:solidFill>
            </a:ln>
          </c:spPr>
          <c:invertIfNegative val="1"/>
          <c:cat>
            <c:strRef>
              <c:f>Electricidad!$D$194:$D$203</c:f>
              <c:strCache>
                <c:ptCount val="10"/>
                <c:pt idx="0">
                  <c:v>Biomasa</c:v>
                </c:pt>
                <c:pt idx="1">
                  <c:v>Fuel oil motor</c:v>
                </c:pt>
                <c:pt idx="2">
                  <c:v>Geotérmico</c:v>
                </c:pt>
                <c:pt idx="3">
                  <c:v>Hidroeléctrico represa</c:v>
                </c:pt>
                <c:pt idx="4">
                  <c:v>Hidroeléctrico filo de agua</c:v>
                </c:pt>
                <c:pt idx="5">
                  <c:v>Diesel motor</c:v>
                </c:pt>
                <c:pt idx="6">
                  <c:v>Fotovoltaico</c:v>
                </c:pt>
                <c:pt idx="7">
                  <c:v>Eólico </c:v>
                </c:pt>
                <c:pt idx="8">
                  <c:v>Carbón</c:v>
                </c:pt>
                <c:pt idx="9">
                  <c:v>Distribuida solar </c:v>
                </c:pt>
              </c:strCache>
            </c:strRef>
          </c:cat>
          <c:val>
            <c:numRef>
              <c:f>Electricidad!$E$193:$E$203</c:f>
              <c:numCache>
                <c:formatCode>#,##0</c:formatCode>
                <c:ptCount val="11"/>
                <c:pt idx="0" formatCode="#,##0.00000">
                  <c:v>0</c:v>
                </c:pt>
                <c:pt idx="1">
                  <c:v>20</c:v>
                </c:pt>
                <c:pt idx="2">
                  <c:v>15</c:v>
                </c:pt>
                <c:pt idx="3">
                  <c:v>50</c:v>
                </c:pt>
                <c:pt idx="4">
                  <c:v>50</c:v>
                </c:pt>
                <c:pt idx="5">
                  <c:v>50</c:v>
                </c:pt>
                <c:pt idx="6">
                  <c:v>15</c:v>
                </c:pt>
                <c:pt idx="7">
                  <c:v>25</c:v>
                </c:pt>
                <c:pt idx="8">
                  <c:v>25</c:v>
                </c:pt>
                <c:pt idx="9">
                  <c:v>40</c:v>
                </c:pt>
                <c:pt idx="1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6E6-41DF-BF78-27FAC3224C65}"/>
            </c:ext>
          </c:extLst>
        </c:ser>
        <c:ser>
          <c:idx val="4"/>
          <c:order val="4"/>
          <c:invertIfNegative val="1"/>
          <c:cat>
            <c:strRef>
              <c:f>Electricidad!$D$194:$D$203</c:f>
              <c:strCache>
                <c:ptCount val="10"/>
                <c:pt idx="0">
                  <c:v>Biomasa</c:v>
                </c:pt>
                <c:pt idx="1">
                  <c:v>Fuel oil motor</c:v>
                </c:pt>
                <c:pt idx="2">
                  <c:v>Geotérmico</c:v>
                </c:pt>
                <c:pt idx="3">
                  <c:v>Hidroeléctrico represa</c:v>
                </c:pt>
                <c:pt idx="4">
                  <c:v>Hidroeléctrico filo de agua</c:v>
                </c:pt>
                <c:pt idx="5">
                  <c:v>Diesel motor</c:v>
                </c:pt>
                <c:pt idx="6">
                  <c:v>Fotovoltaico</c:v>
                </c:pt>
                <c:pt idx="7">
                  <c:v>Eólico </c:v>
                </c:pt>
                <c:pt idx="8">
                  <c:v>Carbón</c:v>
                </c:pt>
                <c:pt idx="9">
                  <c:v>Distribuida solar </c:v>
                </c:pt>
              </c:strCache>
            </c:strRef>
          </c:cat>
          <c:val>
            <c:numRef>
              <c:f>Electricidad!$E$205:$E$209</c:f>
              <c:numCache>
                <c:formatCode>#,##0</c:formatCode>
                <c:ptCount val="5"/>
                <c:pt idx="0">
                  <c:v>25</c:v>
                </c:pt>
                <c:pt idx="1">
                  <c:v>21</c:v>
                </c:pt>
                <c:pt idx="2">
                  <c:v>20</c:v>
                </c:pt>
                <c:pt idx="3">
                  <c:v>20</c:v>
                </c:pt>
                <c:pt idx="4">
                  <c:v>30</c:v>
                </c:pt>
              </c:numCache>
            </c:numRef>
          </c:val>
          <c:extLst>
            <c:ext xmlns:c16="http://schemas.microsoft.com/office/drawing/2014/chart" uri="{C3380CC4-5D6E-409C-BE32-E72D297353CC}">
              <c16:uniqueId val="{00000004-D6E6-41DF-BF78-27FAC3224C65}"/>
            </c:ext>
          </c:extLst>
        </c:ser>
        <c:dLbls>
          <c:showLegendKey val="0"/>
          <c:showVal val="0"/>
          <c:showCatName val="0"/>
          <c:showSerName val="0"/>
          <c:showPercent val="0"/>
          <c:showBubbleSize val="0"/>
        </c:dLbls>
        <c:gapWidth val="150"/>
        <c:axId val="86459698"/>
        <c:axId val="1525783641"/>
      </c:barChart>
      <c:catAx>
        <c:axId val="8645969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2520000"/>
          <a:lstStyle/>
          <a:p>
            <a:pPr lvl="0">
              <a:defRPr sz="900" b="0" i="0">
                <a:solidFill>
                  <a:srgbClr val="000000"/>
                </a:solidFill>
                <a:latin typeface="+mn-lt"/>
              </a:defRPr>
            </a:pPr>
            <a:endParaRPr lang="en-US"/>
          </a:p>
        </c:txPr>
        <c:crossAx val="1525783641"/>
        <c:crosses val="autoZero"/>
        <c:auto val="1"/>
        <c:lblAlgn val="ctr"/>
        <c:lblOffset val="100"/>
        <c:noMultiLvlLbl val="1"/>
      </c:catAx>
      <c:valAx>
        <c:axId val="152578364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Año de salida</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8645969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(SNI) - 2018</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0B6-42D2-BFF1-BE916600AFE3}"/>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10B6-42D2-BFF1-BE916600AFE3}"/>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Electricidad!$D$251</c:f>
              <c:strCache>
                <c:ptCount val="1"/>
                <c:pt idx="0">
                  <c:v>Biomasa [PJ]</c:v>
                </c:pt>
              </c:strCache>
            </c:strRef>
          </c:cat>
          <c:val>
            <c:numRef>
              <c:f>Electricidad!$D$254</c:f>
              <c:numCache>
                <c:formatCode>General</c:formatCode>
                <c:ptCount val="1"/>
                <c:pt idx="0">
                  <c:v>0</c:v>
                </c:pt>
              </c:numCache>
            </c:numRef>
          </c:val>
          <c:extLst>
            <c:ext xmlns:c16="http://schemas.microsoft.com/office/drawing/2014/chart" uri="{C3380CC4-5D6E-409C-BE32-E72D297353CC}">
              <c16:uniqueId val="{00000002-10B6-42D2-BFF1-BE916600AFE3}"/>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(SNI) - 2019</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CA3B-442E-B3D2-8FAF56F6DB82}"/>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CA3B-442E-B3D2-8FAF56F6DB82}"/>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Electricidad!$D$251</c:f>
              <c:strCache>
                <c:ptCount val="1"/>
                <c:pt idx="0">
                  <c:v>Biomasa [PJ]</c:v>
                </c:pt>
              </c:strCache>
            </c:strRef>
          </c:cat>
          <c:val>
            <c:numRef>
              <c:f>Electricidad!$D$254</c:f>
              <c:numCache>
                <c:formatCode>General</c:formatCode>
                <c:ptCount val="1"/>
                <c:pt idx="0">
                  <c:v>0</c:v>
                </c:pt>
              </c:numCache>
            </c:numRef>
          </c:val>
          <c:extLst>
            <c:ext xmlns:c16="http://schemas.microsoft.com/office/drawing/2014/chart" uri="{C3380CC4-5D6E-409C-BE32-E72D297353CC}">
              <c16:uniqueId val="{00000002-CA3B-442E-B3D2-8FAF56F6DB82}"/>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(SNI) - 2020</a:t>
            </a:r>
          </a:p>
        </c:rich>
      </c:tx>
      <c:overlay val="0"/>
    </c:title>
    <c:autoTitleDeleted val="0"/>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0073-4A6A-BFAB-F0BEE501ECD6}"/>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0073-4A6A-BFAB-F0BEE501ECD6}"/>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Electricidad!$D$251</c:f>
              <c:strCache>
                <c:ptCount val="1"/>
                <c:pt idx="0">
                  <c:v>Biomasa [PJ]</c:v>
                </c:pt>
              </c:strCache>
            </c:strRef>
          </c:cat>
          <c:val>
            <c:numRef>
              <c:f>Electricidad!$D$254</c:f>
              <c:numCache>
                <c:formatCode>General</c:formatCode>
                <c:ptCount val="1"/>
                <c:pt idx="0">
                  <c:v>0</c:v>
                </c:pt>
              </c:numCache>
            </c:numRef>
          </c:val>
          <c:extLst>
            <c:ext xmlns:c16="http://schemas.microsoft.com/office/drawing/2014/chart" uri="{C3380CC4-5D6E-409C-BE32-E72D297353CC}">
              <c16:uniqueId val="{00000002-0073-4A6A-BFAB-F0BEE501ECD6}"/>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Centrales Térmica (SNI)</a:t>
            </a:r>
          </a:p>
        </c:rich>
      </c:tx>
      <c:overlay val="0"/>
    </c:title>
    <c:autoTitleDeleted val="0"/>
    <c:plotArea>
      <c:layout/>
      <c:barChart>
        <c:barDir val="col"/>
        <c:grouping val="percentStacked"/>
        <c:varyColors val="1"/>
        <c:ser>
          <c:idx val="0"/>
          <c:order val="0"/>
          <c:tx>
            <c:v>MCI-Diesel</c:v>
          </c:tx>
          <c:spPr>
            <a:solidFill>
              <a:srgbClr val="4472C4"/>
            </a:solidFill>
            <a:ln cmpd="sng">
              <a:solidFill>
                <a:srgbClr val="000000"/>
              </a:solidFill>
            </a:ln>
          </c:spPr>
          <c:invertIfNegative val="1"/>
          <c:cat>
            <c:numRef>
              <c:f>Electricidad!$E$1:$G$1</c:f>
              <c:numCache>
                <c:formatCode>General</c:formatCode>
                <c:ptCount val="3"/>
              </c:numCache>
            </c:numRef>
          </c:cat>
          <c:val>
            <c:numRef>
              <c:f>Electricidad!$E$265:$G$265</c:f>
              <c:numCache>
                <c:formatCode>#,##0.00</c:formatCode>
                <c:ptCount val="3"/>
                <c:pt idx="0">
                  <c:v>0.79536078417679257</c:v>
                </c:pt>
                <c:pt idx="1">
                  <c:v>8.5024525079884797E-2</c:v>
                </c:pt>
                <c:pt idx="2">
                  <c:v>0.28855296870148778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CE3-435F-B859-6F99F28EA838}"/>
            </c:ext>
          </c:extLst>
        </c:ser>
        <c:ser>
          <c:idx val="1"/>
          <c:order val="1"/>
          <c:tx>
            <c:v>MCI-Fuel Oil</c:v>
          </c:tx>
          <c:spPr>
            <a:solidFill>
              <a:srgbClr val="ED7D31"/>
            </a:solidFill>
            <a:ln cmpd="sng">
              <a:solidFill>
                <a:srgbClr val="000000"/>
              </a:solidFill>
            </a:ln>
          </c:spPr>
          <c:invertIfNegative val="1"/>
          <c:cat>
            <c:numRef>
              <c:f>Electricidad!$E$1:$G$1</c:f>
              <c:numCache>
                <c:formatCode>General</c:formatCode>
                <c:ptCount val="3"/>
              </c:numCache>
            </c:numRef>
          </c:cat>
          <c:val>
            <c:numRef>
              <c:f>Electricidad!$E$266:$G$266</c:f>
              <c:numCache>
                <c:formatCode>#,##0.00</c:formatCode>
                <c:ptCount val="3"/>
                <c:pt idx="0">
                  <c:v>3.567888267110829</c:v>
                </c:pt>
                <c:pt idx="1">
                  <c:v>2.4146508363674135</c:v>
                </c:pt>
                <c:pt idx="2">
                  <c:v>1.9707872520283418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CE3-435F-B859-6F99F28EA838}"/>
            </c:ext>
          </c:extLst>
        </c:ser>
        <c:ser>
          <c:idx val="2"/>
          <c:order val="2"/>
          <c:tx>
            <c:v>MCI-Residuo</c:v>
          </c:tx>
          <c:spPr>
            <a:solidFill>
              <a:srgbClr val="FFC000"/>
            </a:solidFill>
            <a:ln cmpd="sng">
              <a:solidFill>
                <a:srgbClr val="000000"/>
              </a:solidFill>
            </a:ln>
          </c:spPr>
          <c:invertIfNegative val="1"/>
          <c:cat>
            <c:numRef>
              <c:f>Electricidad!$E$1:$G$1</c:f>
              <c:numCache>
                <c:formatCode>General</c:formatCode>
                <c:ptCount val="3"/>
              </c:numCache>
            </c:numRef>
          </c:cat>
          <c:val>
            <c:numRef>
              <c:f>Electricidad!$E$268:$G$268</c:f>
              <c:numCache>
                <c:formatCode>#,##0.00</c:formatCode>
                <c:ptCount val="3"/>
                <c:pt idx="0">
                  <c:v>0.85036223205432315</c:v>
                </c:pt>
                <c:pt idx="1">
                  <c:v>0.57359787560150388</c:v>
                </c:pt>
                <c:pt idx="2">
                  <c:v>0.55806665693659674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CE3-435F-B859-6F99F28EA838}"/>
            </c:ext>
          </c:extLst>
        </c:ser>
        <c:ser>
          <c:idx val="3"/>
          <c:order val="3"/>
          <c:tx>
            <c:v>Turbogas-Diesel</c:v>
          </c:tx>
          <c:spPr>
            <a:solidFill>
              <a:srgbClr val="5B9BD5"/>
            </a:solidFill>
            <a:ln cmpd="sng">
              <a:solidFill>
                <a:srgbClr val="000000"/>
              </a:solidFill>
            </a:ln>
          </c:spPr>
          <c:invertIfNegative val="1"/>
          <c:cat>
            <c:numRef>
              <c:f>Electricidad!$E$1:$G$1</c:f>
              <c:numCache>
                <c:formatCode>General</c:formatCode>
                <c:ptCount val="3"/>
              </c:numCache>
            </c:numRef>
          </c:cat>
          <c:val>
            <c:numRef>
              <c:f>Electricidad!$E$270:$G$270</c:f>
              <c:numCache>
                <c:formatCode>#,##0.00</c:formatCode>
                <c:ptCount val="3"/>
                <c:pt idx="0">
                  <c:v>0.43115275566005506</c:v>
                </c:pt>
                <c:pt idx="1">
                  <c:v>0.2463369722966349</c:v>
                </c:pt>
                <c:pt idx="2">
                  <c:v>8.2980216623659148E-2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CE3-435F-B859-6F99F28EA838}"/>
            </c:ext>
          </c:extLst>
        </c:ser>
        <c:ser>
          <c:idx val="4"/>
          <c:order val="4"/>
          <c:tx>
            <c:v>Turbogas-Gas Natural</c:v>
          </c:tx>
          <c:spPr>
            <a:solidFill>
              <a:srgbClr val="70AD47"/>
            </a:solidFill>
            <a:ln cmpd="sng">
              <a:solidFill>
                <a:srgbClr val="000000"/>
              </a:solidFill>
            </a:ln>
          </c:spPr>
          <c:invertIfNegative val="1"/>
          <c:cat>
            <c:numRef>
              <c:f>Electricidad!$E$1:$G$1</c:f>
              <c:numCache>
                <c:formatCode>General</c:formatCode>
                <c:ptCount val="3"/>
              </c:numCache>
            </c:numRef>
          </c:cat>
          <c:val>
            <c:numRef>
              <c:f>Electricidad!$E$271:$G$271</c:f>
              <c:numCache>
                <c:formatCode>#,##0.00</c:formatCode>
                <c:ptCount val="3"/>
                <c:pt idx="0">
                  <c:v>3.2378596123791215</c:v>
                </c:pt>
                <c:pt idx="1">
                  <c:v>2.950797949439171</c:v>
                </c:pt>
                <c:pt idx="2">
                  <c:v>2.4648027458697332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CE3-435F-B859-6F99F28EA838}"/>
            </c:ext>
          </c:extLst>
        </c:ser>
        <c:ser>
          <c:idx val="5"/>
          <c:order val="5"/>
          <c:tx>
            <c:v>Turbovapor-Fuel Oil</c:v>
          </c:tx>
          <c:spPr>
            <a:solidFill>
              <a:srgbClr val="4472C4"/>
            </a:solidFill>
            <a:ln cmpd="sng">
              <a:solidFill>
                <a:srgbClr val="000000"/>
              </a:solidFill>
            </a:ln>
          </c:spPr>
          <c:invertIfNegative val="1"/>
          <c:cat>
            <c:numRef>
              <c:f>Electricidad!$E$1:$G$1</c:f>
              <c:numCache>
                <c:formatCode>General</c:formatCode>
                <c:ptCount val="3"/>
              </c:numCache>
            </c:numRef>
          </c:cat>
          <c:val>
            <c:numRef>
              <c:f>Electricidad!$E$273:$G$273</c:f>
              <c:numCache>
                <c:formatCode>#,##0.00</c:formatCode>
                <c:ptCount val="3"/>
                <c:pt idx="0">
                  <c:v>6.1468496544752593</c:v>
                </c:pt>
                <c:pt idx="1">
                  <c:v>4.4407022964149139</c:v>
                </c:pt>
                <c:pt idx="2">
                  <c:v>3.3112366622901273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4CE3-435F-B859-6F99F28EA838}"/>
            </c:ext>
          </c:extLst>
        </c:ser>
        <c:ser>
          <c:idx val="6"/>
          <c:order val="6"/>
          <c:invertIfNegative val="1"/>
          <c:cat>
            <c:numRef>
              <c:f>Electricidad!$E$1:$G$1</c:f>
              <c:numCache>
                <c:formatCode>General</c:formatCode>
                <c:ptCount val="3"/>
              </c:numCache>
            </c:numRef>
          </c:cat>
          <c:val>
            <c:numRef>
              <c:f>Electricidad!$E$267:$G$267</c:f>
              <c:numCache>
                <c:formatCode>#,##0.00000</c:formatCode>
                <c:ptCount val="3"/>
                <c:pt idx="0">
                  <c:v>1.5830063551527422E-3</c:v>
                </c:pt>
                <c:pt idx="1">
                  <c:v>0</c:v>
                </c:pt>
                <c:pt idx="2">
                  <c:v>0</c:v>
                </c:pt>
              </c:numCache>
            </c:numRef>
          </c:val>
          <c:extLst>
            <c:ext xmlns:c16="http://schemas.microsoft.com/office/drawing/2014/chart" uri="{C3380CC4-5D6E-409C-BE32-E72D297353CC}">
              <c16:uniqueId val="{00000006-4CE3-435F-B859-6F99F28EA838}"/>
            </c:ext>
          </c:extLst>
        </c:ser>
        <c:dLbls>
          <c:showLegendKey val="0"/>
          <c:showVal val="0"/>
          <c:showCatName val="0"/>
          <c:showSerName val="0"/>
          <c:showPercent val="0"/>
          <c:showBubbleSize val="0"/>
        </c:dLbls>
        <c:gapWidth val="150"/>
        <c:overlap val="100"/>
        <c:axId val="2029267687"/>
        <c:axId val="460252311"/>
      </c:barChart>
      <c:catAx>
        <c:axId val="202926768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60252311"/>
        <c:crosses val="autoZero"/>
        <c:auto val="1"/>
        <c:lblAlgn val="ctr"/>
        <c:lblOffset val="100"/>
        <c:noMultiLvlLbl val="1"/>
      </c:catAx>
      <c:valAx>
        <c:axId val="4602523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02926768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Centrales Hidroeléctricas (SNI)</a:t>
            </a:r>
          </a:p>
        </c:rich>
      </c:tx>
      <c:overlay val="0"/>
    </c:title>
    <c:autoTitleDeleted val="0"/>
    <c:plotArea>
      <c:layout/>
      <c:barChart>
        <c:barDir val="col"/>
        <c:grouping val="percentStacked"/>
        <c:varyColors val="1"/>
        <c:ser>
          <c:idx val="0"/>
          <c:order val="0"/>
          <c:tx>
            <c:v>Embalse-Pacífico-Pequeñas</c:v>
          </c:tx>
          <c:spPr>
            <a:solidFill>
              <a:srgbClr val="4472C4"/>
            </a:solidFill>
            <a:ln cmpd="sng">
              <a:solidFill>
                <a:srgbClr val="000000"/>
              </a:solidFill>
            </a:ln>
          </c:spPr>
          <c:invertIfNegative val="1"/>
          <c:cat>
            <c:numRef>
              <c:f>Electricidad!$E$1:$G$1</c:f>
              <c:numCache>
                <c:formatCode>General</c:formatCode>
                <c:ptCount val="3"/>
              </c:numCache>
            </c:numRef>
          </c:cat>
          <c:val>
            <c:numRef>
              <c:f>Electricidad!$E$278:$G$278</c:f>
              <c:numCache>
                <c:formatCode>#,##0.00</c:formatCode>
                <c:ptCount val="3"/>
                <c:pt idx="0">
                  <c:v>0.37542434809133779</c:v>
                </c:pt>
                <c:pt idx="1">
                  <c:v>0.54153208313088808</c:v>
                </c:pt>
                <c:pt idx="2">
                  <c:v>0.51336176549260171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C5-4484-A8BB-C39C94E101E8}"/>
            </c:ext>
          </c:extLst>
        </c:ser>
        <c:ser>
          <c:idx val="1"/>
          <c:order val="1"/>
          <c:tx>
            <c:v>Embalse-Pacífico-Medianas</c:v>
          </c:tx>
          <c:spPr>
            <a:solidFill>
              <a:srgbClr val="ED7D31"/>
            </a:solidFill>
            <a:ln cmpd="sng">
              <a:solidFill>
                <a:srgbClr val="000000"/>
              </a:solidFill>
            </a:ln>
          </c:spPr>
          <c:invertIfNegative val="1"/>
          <c:cat>
            <c:numRef>
              <c:f>Electricidad!$E$1:$G$1</c:f>
              <c:numCache>
                <c:formatCode>General</c:formatCode>
                <c:ptCount val="3"/>
              </c:numCache>
            </c:numRef>
          </c:cat>
          <c:val>
            <c:numRef>
              <c:f>Electricidad!$E$279:$G$279</c:f>
              <c:numCache>
                <c:formatCode>#,##0.00</c:formatCode>
                <c:ptCount val="3"/>
                <c:pt idx="0">
                  <c:v>3.1947226892012086</c:v>
                </c:pt>
                <c:pt idx="1">
                  <c:v>4.2458389090226296</c:v>
                </c:pt>
                <c:pt idx="2">
                  <c:v>3.1616234654116511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4C5-4484-A8BB-C39C94E101E8}"/>
            </c:ext>
          </c:extLst>
        </c:ser>
        <c:ser>
          <c:idx val="2"/>
          <c:order val="2"/>
          <c:tx>
            <c:v>Embalse-Amazonas-Medianas</c:v>
          </c:tx>
          <c:spPr>
            <a:solidFill>
              <a:srgbClr val="A5A5A5"/>
            </a:solidFill>
            <a:ln cmpd="sng">
              <a:solidFill>
                <a:srgbClr val="000000"/>
              </a:solidFill>
            </a:ln>
          </c:spPr>
          <c:invertIfNegative val="1"/>
          <c:cat>
            <c:numRef>
              <c:f>Electricidad!$E$1:$G$1</c:f>
              <c:numCache>
                <c:formatCode>General</c:formatCode>
                <c:ptCount val="3"/>
              </c:numCache>
            </c:numRef>
          </c:cat>
          <c:val>
            <c:numRef>
              <c:f>Electricidad!$E$282:$G$282</c:f>
              <c:numCache>
                <c:formatCode>#,##0.00</c:formatCode>
                <c:ptCount val="3"/>
                <c:pt idx="0">
                  <c:v>6.524720466933652</c:v>
                </c:pt>
                <c:pt idx="1">
                  <c:v>7.2397564350668668</c:v>
                </c:pt>
                <c:pt idx="2">
                  <c:v>6.6742268083107694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4C5-4484-A8BB-C39C94E101E8}"/>
            </c:ext>
          </c:extLst>
        </c:ser>
        <c:ser>
          <c:idx val="3"/>
          <c:order val="3"/>
          <c:tx>
            <c:v>Embalse-Amazonas-Grandes</c:v>
          </c:tx>
          <c:spPr>
            <a:solidFill>
              <a:srgbClr val="FFC000"/>
            </a:solidFill>
            <a:ln cmpd="sng">
              <a:solidFill>
                <a:srgbClr val="000000"/>
              </a:solidFill>
            </a:ln>
          </c:spPr>
          <c:invertIfNegative val="1"/>
          <c:cat>
            <c:numRef>
              <c:f>Electricidad!$E$1:$G$1</c:f>
              <c:numCache>
                <c:formatCode>General</c:formatCode>
                <c:ptCount val="3"/>
              </c:numCache>
            </c:numRef>
          </c:cat>
          <c:val>
            <c:numRef>
              <c:f>Electricidad!$E$283:$G$283</c:f>
              <c:numCache>
                <c:formatCode>#,##0.00</c:formatCode>
                <c:ptCount val="3"/>
                <c:pt idx="0">
                  <c:v>17.642785715263123</c:v>
                </c:pt>
                <c:pt idx="1">
                  <c:v>20.178814055611628</c:v>
                </c:pt>
                <c:pt idx="2">
                  <c:v>18.703974454867119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4C5-4484-A8BB-C39C94E101E8}"/>
            </c:ext>
          </c:extLst>
        </c:ser>
        <c:ser>
          <c:idx val="4"/>
          <c:order val="4"/>
          <c:tx>
            <c:v>Pasada-Pacífico-Pequeñas</c:v>
          </c:tx>
          <c:spPr>
            <a:solidFill>
              <a:srgbClr val="5B9BD5"/>
            </a:solidFill>
            <a:ln cmpd="sng">
              <a:solidFill>
                <a:srgbClr val="000000"/>
              </a:solidFill>
            </a:ln>
          </c:spPr>
          <c:invertIfNegative val="1"/>
          <c:cat>
            <c:numRef>
              <c:f>Electricidad!$E$1:$G$1</c:f>
              <c:numCache>
                <c:formatCode>General</c:formatCode>
                <c:ptCount val="3"/>
              </c:numCache>
            </c:numRef>
          </c:cat>
          <c:val>
            <c:numRef>
              <c:f>Electricidad!$E$285:$G$285</c:f>
              <c:numCache>
                <c:formatCode>#,##0.00</c:formatCode>
                <c:ptCount val="3"/>
                <c:pt idx="0">
                  <c:v>0.9713178408484342</c:v>
                </c:pt>
                <c:pt idx="1">
                  <c:v>0.97648875999740659</c:v>
                </c:pt>
                <c:pt idx="2">
                  <c:v>1.0890751083914971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4C5-4484-A8BB-C39C94E101E8}"/>
            </c:ext>
          </c:extLst>
        </c:ser>
        <c:ser>
          <c:idx val="5"/>
          <c:order val="5"/>
          <c:tx>
            <c:v>Pasada-Pacífico-Medianas</c:v>
          </c:tx>
          <c:spPr>
            <a:solidFill>
              <a:srgbClr val="70AD47"/>
            </a:solidFill>
            <a:ln cmpd="sng">
              <a:solidFill>
                <a:srgbClr val="000000"/>
              </a:solidFill>
            </a:ln>
          </c:spPr>
          <c:invertIfNegative val="1"/>
          <c:cat>
            <c:numRef>
              <c:f>Electricidad!$E$1:$G$1</c:f>
              <c:numCache>
                <c:formatCode>General</c:formatCode>
                <c:ptCount val="3"/>
              </c:numCache>
            </c:numRef>
          </c:cat>
          <c:val>
            <c:numRef>
              <c:f>Electricidad!$E$286:$G$286</c:f>
              <c:numCache>
                <c:formatCode>#,##0.00</c:formatCode>
                <c:ptCount val="3"/>
                <c:pt idx="0">
                  <c:v>1.400277053384088</c:v>
                </c:pt>
                <c:pt idx="1">
                  <c:v>4.837217320318052</c:v>
                </c:pt>
                <c:pt idx="2">
                  <c:v>4.8689762112739512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44C5-4484-A8BB-C39C94E101E8}"/>
            </c:ext>
          </c:extLst>
        </c:ser>
        <c:ser>
          <c:idx val="6"/>
          <c:order val="6"/>
          <c:tx>
            <c:v>Pasada-Amazonas-Pequeñas</c:v>
          </c:tx>
          <c:spPr>
            <a:solidFill>
              <a:srgbClr val="4472C4"/>
            </a:solidFill>
            <a:ln cmpd="sng">
              <a:solidFill>
                <a:srgbClr val="000000"/>
              </a:solidFill>
            </a:ln>
          </c:spPr>
          <c:invertIfNegative val="1"/>
          <c:cat>
            <c:numRef>
              <c:f>Electricidad!$E$1:$G$1</c:f>
              <c:numCache>
                <c:formatCode>General</c:formatCode>
                <c:ptCount val="3"/>
              </c:numCache>
            </c:numRef>
          </c:cat>
          <c:val>
            <c:numRef>
              <c:f>Electricidad!$E$288:$G$288</c:f>
              <c:numCache>
                <c:formatCode>#,##0.00</c:formatCode>
                <c:ptCount val="3"/>
                <c:pt idx="0">
                  <c:v>9.7867334823474437</c:v>
                </c:pt>
                <c:pt idx="1">
                  <c:v>11.980628286001632</c:v>
                </c:pt>
                <c:pt idx="2">
                  <c:v>10.299665497592036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44C5-4484-A8BB-C39C94E101E8}"/>
            </c:ext>
          </c:extLst>
        </c:ser>
        <c:ser>
          <c:idx val="7"/>
          <c:order val="7"/>
          <c:tx>
            <c:v>Pasada-Amazonas-Medianas</c:v>
          </c:tx>
          <c:spPr>
            <a:solidFill>
              <a:srgbClr val="ED7D31"/>
            </a:solidFill>
            <a:ln cmpd="sng">
              <a:solidFill>
                <a:srgbClr val="000000"/>
              </a:solidFill>
            </a:ln>
          </c:spPr>
          <c:invertIfNegative val="1"/>
          <c:cat>
            <c:numRef>
              <c:f>Electricidad!$E$1:$G$1</c:f>
              <c:numCache>
                <c:formatCode>General</c:formatCode>
                <c:ptCount val="3"/>
              </c:numCache>
            </c:numRef>
          </c:cat>
          <c:val>
            <c:numRef>
              <c:f>Electricidad!$E$289:$G$289</c:f>
              <c:numCache>
                <c:formatCode>#,##0.00</c:formatCode>
                <c:ptCount val="3"/>
                <c:pt idx="0">
                  <c:v>4.4398291423631662</c:v>
                </c:pt>
                <c:pt idx="1">
                  <c:v>6.9170193209854558</c:v>
                </c:pt>
                <c:pt idx="2">
                  <c:v>8.8806710849968749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44C5-4484-A8BB-C39C94E101E8}"/>
            </c:ext>
          </c:extLst>
        </c:ser>
        <c:ser>
          <c:idx val="8"/>
          <c:order val="8"/>
          <c:invertIfNegative val="1"/>
          <c:cat>
            <c:numRef>
              <c:f>Electricidad!$E$1:$G$1</c:f>
              <c:numCache>
                <c:formatCode>General</c:formatCode>
                <c:ptCount val="3"/>
              </c:numCache>
            </c:numRef>
          </c:cat>
          <c:val>
            <c:numRef>
              <c:f>Electricidad!$E$290:$G$290</c:f>
              <c:numCache>
                <c:formatCode>#,##0.00</c:formatCode>
                <c:ptCount val="3"/>
                <c:pt idx="0">
                  <c:v>29.999337571996644</c:v>
                </c:pt>
                <c:pt idx="1">
                  <c:v>31.65598970008115</c:v>
                </c:pt>
                <c:pt idx="2">
                  <c:v>33.279827423516998</c:v>
                </c:pt>
              </c:numCache>
            </c:numRef>
          </c:val>
          <c:extLst>
            <c:ext xmlns:c16="http://schemas.microsoft.com/office/drawing/2014/chart" uri="{C3380CC4-5D6E-409C-BE32-E72D297353CC}">
              <c16:uniqueId val="{00000008-44C5-4484-A8BB-C39C94E101E8}"/>
            </c:ext>
          </c:extLst>
        </c:ser>
        <c:dLbls>
          <c:showLegendKey val="0"/>
          <c:showVal val="0"/>
          <c:showCatName val="0"/>
          <c:showSerName val="0"/>
          <c:showPercent val="0"/>
          <c:showBubbleSize val="0"/>
        </c:dLbls>
        <c:gapWidth val="150"/>
        <c:overlap val="100"/>
        <c:axId val="1624575581"/>
        <c:axId val="1554869862"/>
      </c:barChart>
      <c:catAx>
        <c:axId val="162457558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54869862"/>
        <c:crosses val="autoZero"/>
        <c:auto val="1"/>
        <c:lblAlgn val="ctr"/>
        <c:lblOffset val="100"/>
        <c:noMultiLvlLbl val="1"/>
      </c:catAx>
      <c:valAx>
        <c:axId val="15548698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62457558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(Sistemas Aislados) - 2019</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2A75-4D28-883B-169354B3F7D4}"/>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2A75-4D28-883B-169354B3F7D4}"/>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Electricidad!$D$295</c:f>
              <c:strCache>
                <c:ptCount val="1"/>
                <c:pt idx="0">
                  <c:v>Eólica</c:v>
                </c:pt>
              </c:strCache>
            </c:strRef>
          </c:cat>
          <c:val>
            <c:numRef>
              <c:f>Electricidad!$D$297</c:f>
              <c:numCache>
                <c:formatCode>General</c:formatCode>
                <c:ptCount val="1"/>
                <c:pt idx="0">
                  <c:v>0</c:v>
                </c:pt>
              </c:numCache>
            </c:numRef>
          </c:val>
          <c:extLst>
            <c:ext xmlns:c16="http://schemas.microsoft.com/office/drawing/2014/chart" uri="{C3380CC4-5D6E-409C-BE32-E72D297353CC}">
              <c16:uniqueId val="{00000002-2A75-4D28-883B-169354B3F7D4}"/>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(Sistemas Aislados) - 2020</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B324-44A6-A111-087B3244AE6B}"/>
              </c:ext>
            </c:extLst>
          </c:dPt>
          <c:dLbls>
            <c:dLbl>
              <c:idx val="0"/>
              <c:tx>
                <c:rich>
                  <a:bodyPr/>
                  <a:lstStyle/>
                  <a:p>
                    <a:r>
                      <a:rPr b="0">
                        <a:solidFill>
                          <a:srgbClr val="000000"/>
                        </a:solidFill>
                        <a:latin typeface="+mn-lt"/>
                      </a:rPr>
                      <a:t>[] []</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B324-44A6-A111-087B3244AE6B}"/>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Electricidad!$D$295</c:f>
              <c:strCache>
                <c:ptCount val="1"/>
                <c:pt idx="0">
                  <c:v>Eólica</c:v>
                </c:pt>
              </c:strCache>
            </c:strRef>
          </c:cat>
          <c:val>
            <c:numRef>
              <c:f>Electricidad!$D$297</c:f>
              <c:numCache>
                <c:formatCode>General</c:formatCode>
                <c:ptCount val="1"/>
                <c:pt idx="0">
                  <c:v>0</c:v>
                </c:pt>
              </c:numCache>
            </c:numRef>
          </c:val>
          <c:extLst>
            <c:ext xmlns:c16="http://schemas.microsoft.com/office/drawing/2014/chart" uri="{C3380CC4-5D6E-409C-BE32-E72D297353CC}">
              <c16:uniqueId val="{00000002-B324-44A6-A111-087B3244AE6B}"/>
            </c:ext>
          </c:extLst>
        </c:ser>
        <c:dLbls>
          <c:showLegendKey val="0"/>
          <c:showVal val="0"/>
          <c:showCatName val="0"/>
          <c:showSerName val="0"/>
          <c:showPercent val="0"/>
          <c:showBubbleSize val="0"/>
          <c:showLeaderLines val="1"/>
        </c:dLbls>
        <c:firstSliceAng val="0"/>
      </c:pieChart>
    </c:plotArea>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Centrales Hidráulicas (Sistemas Aislados)</a:t>
            </a:r>
          </a:p>
        </c:rich>
      </c:tx>
      <c:overlay val="0"/>
    </c:title>
    <c:autoTitleDeleted val="0"/>
    <c:plotArea>
      <c:layout/>
      <c:barChart>
        <c:barDir val="col"/>
        <c:grouping val="percentStacked"/>
        <c:varyColors val="1"/>
        <c:ser>
          <c:idx val="0"/>
          <c:order val="0"/>
          <c:tx>
            <c:v>Pasada-Amazonas-Electrificación Rural</c:v>
          </c:tx>
          <c:spPr>
            <a:solidFill>
              <a:srgbClr val="ED7D31"/>
            </a:solidFill>
            <a:ln cmpd="sng">
              <a:solidFill>
                <a:srgbClr val="000000"/>
              </a:solidFill>
            </a:ln>
          </c:spPr>
          <c:invertIfNegative val="1"/>
          <c:cat>
            <c:numRef>
              <c:f>Electricidad!$E$1:$G$1</c:f>
              <c:numCache>
                <c:formatCode>General</c:formatCode>
                <c:ptCount val="3"/>
              </c:numCache>
            </c:numRef>
          </c:cat>
          <c:val>
            <c:numRef>
              <c:f>Electricidad!$E$300:$G$300</c:f>
              <c:numCache>
                <c:formatCode>#,##0.00</c:formatCode>
                <c:ptCount val="3"/>
                <c:pt idx="0">
                  <c:v>1.7196162058607078E-2</c:v>
                </c:pt>
                <c:pt idx="1">
                  <c:v>2.025647311728895E-2</c:v>
                </c:pt>
                <c:pt idx="2">
                  <c:v>1.7551007324081429E-2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23-4EDB-A784-BA1F8BEB18E3}"/>
            </c:ext>
          </c:extLst>
        </c:ser>
        <c:ser>
          <c:idx val="1"/>
          <c:order val="1"/>
          <c:tx>
            <c:v>Pasada-Pacífico-Electrificación Rural</c:v>
          </c:tx>
          <c:spPr>
            <a:solidFill>
              <a:srgbClr val="FFC000"/>
            </a:solidFill>
            <a:ln cmpd="sng">
              <a:solidFill>
                <a:srgbClr val="000000"/>
              </a:solidFill>
            </a:ln>
          </c:spPr>
          <c:invertIfNegative val="1"/>
          <c:cat>
            <c:numRef>
              <c:f>Electricidad!$E$1:$G$1</c:f>
              <c:numCache>
                <c:formatCode>General</c:formatCode>
                <c:ptCount val="3"/>
              </c:numCache>
            </c:numRef>
          </c:cat>
          <c:val>
            <c:numRef>
              <c:f>Electricidad!$E$301:$G$301</c:f>
              <c:numCache>
                <c:formatCode>#,##0.00</c:formatCode>
                <c:ptCount val="3"/>
                <c:pt idx="0">
                  <c:v>3.6891603332663031E-2</c:v>
                </c:pt>
                <c:pt idx="1">
                  <c:v>4.1414864105426177E-2</c:v>
                </c:pt>
                <c:pt idx="2">
                  <c:v>5.5439760750822027E-2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23-4EDB-A784-BA1F8BEB18E3}"/>
            </c:ext>
          </c:extLst>
        </c:ser>
        <c:ser>
          <c:idx val="2"/>
          <c:order val="2"/>
          <c:invertIfNegative val="1"/>
          <c:cat>
            <c:numRef>
              <c:f>Electricidad!$E$1:$G$1</c:f>
              <c:numCache>
                <c:formatCode>General</c:formatCode>
                <c:ptCount val="3"/>
              </c:numCache>
            </c:numRef>
          </c:cat>
          <c:val>
            <c:numRef>
              <c:f>Electricidad!$E$303:$G$303</c:f>
              <c:numCache>
                <c:formatCode>#,##0.000</c:formatCode>
                <c:ptCount val="3"/>
                <c:pt idx="0">
                  <c:v>4.9648835684336003E-3</c:v>
                </c:pt>
                <c:pt idx="1">
                  <c:v>1.5466475773682566E-2</c:v>
                </c:pt>
                <c:pt idx="2">
                  <c:v>4.2503720635851124E-4</c:v>
                </c:pt>
              </c:numCache>
            </c:numRef>
          </c:val>
          <c:extLst>
            <c:ext xmlns:c16="http://schemas.microsoft.com/office/drawing/2014/chart" uri="{C3380CC4-5D6E-409C-BE32-E72D297353CC}">
              <c16:uniqueId val="{00000002-F123-4EDB-A784-BA1F8BEB18E3}"/>
            </c:ext>
          </c:extLst>
        </c:ser>
        <c:dLbls>
          <c:showLegendKey val="0"/>
          <c:showVal val="0"/>
          <c:showCatName val="0"/>
          <c:showSerName val="0"/>
          <c:showPercent val="0"/>
          <c:showBubbleSize val="0"/>
        </c:dLbls>
        <c:gapWidth val="150"/>
        <c:overlap val="100"/>
        <c:axId val="1068411812"/>
        <c:axId val="1656855879"/>
      </c:barChart>
      <c:catAx>
        <c:axId val="10684118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56855879"/>
        <c:crosses val="autoZero"/>
        <c:auto val="1"/>
        <c:lblAlgn val="ctr"/>
        <c:lblOffset val="100"/>
        <c:noMultiLvlLbl val="1"/>
      </c:catAx>
      <c:valAx>
        <c:axId val="16568558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06841181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Centrales Solares (Sistemas Aislados)</a:t>
            </a:r>
          </a:p>
        </c:rich>
      </c:tx>
      <c:overlay val="0"/>
    </c:title>
    <c:autoTitleDeleted val="0"/>
    <c:plotArea>
      <c:layout/>
      <c:barChart>
        <c:barDir val="col"/>
        <c:grouping val="percentStacked"/>
        <c:varyColors val="1"/>
        <c:ser>
          <c:idx val="0"/>
          <c:order val="0"/>
          <c:tx>
            <c:v>Galápagos</c:v>
          </c:tx>
          <c:spPr>
            <a:solidFill>
              <a:srgbClr val="70AD47"/>
            </a:solidFill>
            <a:ln cmpd="sng">
              <a:solidFill>
                <a:srgbClr val="000000"/>
              </a:solidFill>
            </a:ln>
          </c:spPr>
          <c:invertIfNegative val="1"/>
          <c:cat>
            <c:numRef>
              <c:f>Electricidad!$E$1:$G$1</c:f>
              <c:numCache>
                <c:formatCode>General</c:formatCode>
                <c:ptCount val="3"/>
              </c:numCache>
            </c:numRef>
          </c:cat>
          <c:val>
            <c:numRef>
              <c:f>Electricidad!$E$306:$G$306</c:f>
              <c:numCache>
                <c:formatCode>#,##0.000</c:formatCode>
                <c:ptCount val="3"/>
                <c:pt idx="0">
                  <c:v>2.7137765765720759E-3</c:v>
                </c:pt>
                <c:pt idx="1">
                  <c:v>2.608542631371581E-3</c:v>
                </c:pt>
                <c:pt idx="2">
                  <c:v>2.6616093216863604E-3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1E5-46F4-B941-C250FD4FA051}"/>
            </c:ext>
          </c:extLst>
        </c:ser>
        <c:ser>
          <c:idx val="1"/>
          <c:order val="1"/>
          <c:invertIfNegative val="1"/>
          <c:cat>
            <c:numRef>
              <c:f>Electricidad!$E$1:$G$1</c:f>
              <c:numCache>
                <c:formatCode>General</c:formatCode>
                <c:ptCount val="3"/>
              </c:numCache>
            </c:numRef>
          </c:cat>
          <c:val>
            <c:numRef>
              <c:f>Electricidad!$E$307:$G$307</c:f>
              <c:numCache>
                <c:formatCode>#,##0.000</c:formatCode>
                <c:ptCount val="3"/>
                <c:pt idx="0">
                  <c:v>9.1981303814493327E-3</c:v>
                </c:pt>
                <c:pt idx="1">
                  <c:v>1.3552657067720063E-2</c:v>
                </c:pt>
                <c:pt idx="2">
                  <c:v>1.1545620873889361E-2</c:v>
                </c:pt>
              </c:numCache>
            </c:numRef>
          </c:val>
          <c:extLst>
            <c:ext xmlns:c16="http://schemas.microsoft.com/office/drawing/2014/chart" uri="{C3380CC4-5D6E-409C-BE32-E72D297353CC}">
              <c16:uniqueId val="{00000001-A1E5-46F4-B941-C250FD4FA051}"/>
            </c:ext>
          </c:extLst>
        </c:ser>
        <c:dLbls>
          <c:showLegendKey val="0"/>
          <c:showVal val="0"/>
          <c:showCatName val="0"/>
          <c:showSerName val="0"/>
          <c:showPercent val="0"/>
          <c:showBubbleSize val="0"/>
        </c:dLbls>
        <c:gapWidth val="150"/>
        <c:overlap val="100"/>
        <c:axId val="1842713416"/>
        <c:axId val="966718354"/>
      </c:barChart>
      <c:catAx>
        <c:axId val="184271341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66718354"/>
        <c:crosses val="autoZero"/>
        <c:auto val="1"/>
        <c:lblAlgn val="ctr"/>
        <c:lblOffset val="100"/>
        <c:noMultiLvlLbl val="1"/>
      </c:catAx>
      <c:valAx>
        <c:axId val="96671835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84271341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Centrales Térmicas (Sistemas Aislados)</a:t>
            </a:r>
          </a:p>
        </c:rich>
      </c:tx>
      <c:overlay val="0"/>
    </c:title>
    <c:autoTitleDeleted val="0"/>
    <c:plotArea>
      <c:layout/>
      <c:barChart>
        <c:barDir val="col"/>
        <c:grouping val="percentStacked"/>
        <c:varyColors val="1"/>
        <c:ser>
          <c:idx val="0"/>
          <c:order val="0"/>
          <c:tx>
            <c:v>MCI-Diesel-Electrificación Rural</c:v>
          </c:tx>
          <c:spPr>
            <a:solidFill>
              <a:srgbClr val="70AD47"/>
            </a:solidFill>
            <a:ln cmpd="sng">
              <a:solidFill>
                <a:srgbClr val="000000"/>
              </a:solidFill>
            </a:ln>
          </c:spPr>
          <c:invertIfNegative val="1"/>
          <c:cat>
            <c:numRef>
              <c:f>Electricidad!$E$1:$G$1</c:f>
              <c:numCache>
                <c:formatCode>General</c:formatCode>
                <c:ptCount val="3"/>
              </c:numCache>
            </c:numRef>
          </c:cat>
          <c:val>
            <c:numRef>
              <c:f>Electricidad!$E$311:$G$311</c:f>
              <c:numCache>
                <c:formatCode>#,##0.00</c:formatCode>
                <c:ptCount val="3"/>
                <c:pt idx="0">
                  <c:v>0.43270039621413703</c:v>
                </c:pt>
                <c:pt idx="1">
                  <c:v>0.39093061488840219</c:v>
                </c:pt>
                <c:pt idx="2">
                  <c:v>0.43032588668140792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625-4546-A692-2DCEF8FE9D4E}"/>
            </c:ext>
          </c:extLst>
        </c:ser>
        <c:ser>
          <c:idx val="1"/>
          <c:order val="1"/>
          <c:tx>
            <c:v>MCI-Diesel-Galápagos</c:v>
          </c:tx>
          <c:spPr>
            <a:solidFill>
              <a:srgbClr val="5B9BD5"/>
            </a:solidFill>
            <a:ln cmpd="sng">
              <a:solidFill>
                <a:srgbClr val="000000"/>
              </a:solidFill>
            </a:ln>
          </c:spPr>
          <c:invertIfNegative val="1"/>
          <c:cat>
            <c:numRef>
              <c:f>Electricidad!$E$1:$G$1</c:f>
              <c:numCache>
                <c:formatCode>General</c:formatCode>
                <c:ptCount val="3"/>
              </c:numCache>
            </c:numRef>
          </c:cat>
          <c:val>
            <c:numRef>
              <c:f>Electricidad!$E$313:$G$313</c:f>
              <c:numCache>
                <c:formatCode>#,##0.00</c:formatCode>
                <c:ptCount val="3"/>
                <c:pt idx="0">
                  <c:v>0.16729498980591478</c:v>
                </c:pt>
                <c:pt idx="1">
                  <c:v>0.17261134571738854</c:v>
                </c:pt>
                <c:pt idx="2">
                  <c:v>0.15157285850587504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625-4546-A692-2DCEF8FE9D4E}"/>
            </c:ext>
          </c:extLst>
        </c:ser>
        <c:ser>
          <c:idx val="2"/>
          <c:order val="2"/>
          <c:tx>
            <c:v>MCI-Crudo-Petrolero</c:v>
          </c:tx>
          <c:spPr>
            <a:solidFill>
              <a:srgbClr val="FFC000"/>
            </a:solidFill>
            <a:ln cmpd="sng">
              <a:solidFill>
                <a:srgbClr val="000000"/>
              </a:solidFill>
            </a:ln>
          </c:spPr>
          <c:invertIfNegative val="1"/>
          <c:cat>
            <c:numRef>
              <c:f>Electricidad!$E$1:$G$1</c:f>
              <c:numCache>
                <c:formatCode>General</c:formatCode>
                <c:ptCount val="3"/>
              </c:numCache>
            </c:numRef>
          </c:cat>
          <c:val>
            <c:numRef>
              <c:f>Electricidad!$E$315:$G$315</c:f>
              <c:numCache>
                <c:formatCode>#,##0.0000</c:formatCode>
                <c:ptCount val="3"/>
                <c:pt idx="0">
                  <c:v>6.1733477417638296</c:v>
                </c:pt>
                <c:pt idx="1">
                  <c:v>6.0833170956848344</c:v>
                </c:pt>
                <c:pt idx="2">
                  <c:v>5.888688991034396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625-4546-A692-2DCEF8FE9D4E}"/>
            </c:ext>
          </c:extLst>
        </c:ser>
        <c:ser>
          <c:idx val="3"/>
          <c:order val="3"/>
          <c:tx>
            <c:v>MCI-Diesel-Petrolero</c:v>
          </c:tx>
          <c:spPr>
            <a:solidFill>
              <a:srgbClr val="70AD47"/>
            </a:solidFill>
            <a:ln cmpd="sng">
              <a:solidFill>
                <a:srgbClr val="000000"/>
              </a:solidFill>
            </a:ln>
          </c:spPr>
          <c:invertIfNegative val="1"/>
          <c:cat>
            <c:numRef>
              <c:f>Electricidad!$E$1:$G$1</c:f>
              <c:numCache>
                <c:formatCode>General</c:formatCode>
                <c:ptCount val="3"/>
              </c:numCache>
            </c:numRef>
          </c:cat>
          <c:val>
            <c:numRef>
              <c:f>Electricidad!$E$316:$G$316</c:f>
              <c:numCache>
                <c:formatCode>#,##0.0000</c:formatCode>
                <c:ptCount val="3"/>
                <c:pt idx="0">
                  <c:v>3.3806036127133026</c:v>
                </c:pt>
                <c:pt idx="1">
                  <c:v>4.6115294101722144</c:v>
                </c:pt>
                <c:pt idx="2" formatCode="#,##0.00000">
                  <c:v>4.3923622974545813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625-4546-A692-2DCEF8FE9D4E}"/>
            </c:ext>
          </c:extLst>
        </c:ser>
        <c:ser>
          <c:idx val="4"/>
          <c:order val="4"/>
          <c:tx>
            <c:v>MCI-Fuel Oil-Petrolero</c:v>
          </c:tx>
          <c:spPr>
            <a:solidFill>
              <a:srgbClr val="5B9BD5"/>
            </a:solidFill>
            <a:ln cmpd="sng">
              <a:solidFill>
                <a:srgbClr val="000000"/>
              </a:solidFill>
            </a:ln>
          </c:spPr>
          <c:invertIfNegative val="1"/>
          <c:cat>
            <c:numRef>
              <c:f>Electricidad!$E$1:$G$1</c:f>
              <c:numCache>
                <c:formatCode>General</c:formatCode>
                <c:ptCount val="3"/>
              </c:numCache>
            </c:numRef>
          </c:cat>
          <c:val>
            <c:numRef>
              <c:f>Electricidad!$E$317:$G$317</c:f>
              <c:numCache>
                <c:formatCode>#,##0.0000</c:formatCode>
                <c:ptCount val="3"/>
                <c:pt idx="0">
                  <c:v>0.2575263520496211</c:v>
                </c:pt>
                <c:pt idx="1">
                  <c:v>0.23785670320179342</c:v>
                </c:pt>
                <c:pt idx="2">
                  <c:v>0.24978138552478479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625-4546-A692-2DCEF8FE9D4E}"/>
            </c:ext>
          </c:extLst>
        </c:ser>
        <c:ser>
          <c:idx val="5"/>
          <c:order val="5"/>
          <c:tx>
            <c:v>MCI-Gas Natural-Petrolero</c:v>
          </c:tx>
          <c:spPr>
            <a:solidFill>
              <a:srgbClr val="FFC000"/>
            </a:solidFill>
            <a:ln cmpd="sng">
              <a:solidFill>
                <a:srgbClr val="000000"/>
              </a:solidFill>
            </a:ln>
          </c:spPr>
          <c:invertIfNegative val="1"/>
          <c:cat>
            <c:numRef>
              <c:f>Electricidad!$E$1:$G$1</c:f>
              <c:numCache>
                <c:formatCode>General</c:formatCode>
                <c:ptCount val="3"/>
              </c:numCache>
            </c:numRef>
          </c:cat>
          <c:val>
            <c:numRef>
              <c:f>Electricidad!$E$318:$G$318</c:f>
              <c:numCache>
                <c:formatCode>#,##0.0000</c:formatCode>
                <c:ptCount val="3"/>
                <c:pt idx="0">
                  <c:v>2.1563989236228625</c:v>
                </c:pt>
                <c:pt idx="1">
                  <c:v>2.0462580920981668</c:v>
                </c:pt>
                <c:pt idx="2">
                  <c:v>1.9794495433355883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B625-4546-A692-2DCEF8FE9D4E}"/>
            </c:ext>
          </c:extLst>
        </c:ser>
        <c:ser>
          <c:idx val="6"/>
          <c:order val="6"/>
          <c:tx>
            <c:v>Turbogas-Diesel-Petrolero</c:v>
          </c:tx>
          <c:spPr>
            <a:solidFill>
              <a:srgbClr val="70AD47"/>
            </a:solidFill>
            <a:ln cmpd="sng">
              <a:solidFill>
                <a:srgbClr val="000000"/>
              </a:solidFill>
            </a:ln>
          </c:spPr>
          <c:invertIfNegative val="1"/>
          <c:cat>
            <c:numRef>
              <c:f>Electricidad!$E$1:$G$1</c:f>
              <c:numCache>
                <c:formatCode>General</c:formatCode>
                <c:ptCount val="3"/>
              </c:numCache>
            </c:numRef>
          </c:cat>
          <c:val>
            <c:numRef>
              <c:f>Electricidad!$E$321:$G$321</c:f>
              <c:numCache>
                <c:formatCode>#,##0.0000</c:formatCode>
                <c:ptCount val="3"/>
                <c:pt idx="0">
                  <c:v>0.56457202108179305</c:v>
                </c:pt>
                <c:pt idx="1">
                  <c:v>0.55416591293809569</c:v>
                </c:pt>
                <c:pt idx="2">
                  <c:v>0.49379485713910076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B625-4546-A692-2DCEF8FE9D4E}"/>
            </c:ext>
          </c:extLst>
        </c:ser>
        <c:ser>
          <c:idx val="7"/>
          <c:order val="7"/>
          <c:tx>
            <c:v>Turbogas-Gas Natural-Petrolero</c:v>
          </c:tx>
          <c:spPr>
            <a:solidFill>
              <a:srgbClr val="5B9BD5"/>
            </a:solidFill>
            <a:ln cmpd="sng">
              <a:solidFill>
                <a:srgbClr val="000000"/>
              </a:solidFill>
            </a:ln>
          </c:spPr>
          <c:invertIfNegative val="1"/>
          <c:cat>
            <c:numRef>
              <c:f>Electricidad!$E$1:$G$1</c:f>
              <c:numCache>
                <c:formatCode>General</c:formatCode>
                <c:ptCount val="3"/>
              </c:numCache>
            </c:numRef>
          </c:cat>
          <c:val>
            <c:numRef>
              <c:f>Electricidad!$E$322:$G$322</c:f>
              <c:numCache>
                <c:formatCode>#,##0.0000</c:formatCode>
                <c:ptCount val="3"/>
                <c:pt idx="0">
                  <c:v>0.53543750866355</c:v>
                </c:pt>
                <c:pt idx="1">
                  <c:v>0.48766237686504016</c:v>
                </c:pt>
                <c:pt idx="2">
                  <c:v>0.46653296939210137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B625-4546-A692-2DCEF8FE9D4E}"/>
            </c:ext>
          </c:extLst>
        </c:ser>
        <c:ser>
          <c:idx val="8"/>
          <c:order val="8"/>
          <c:tx>
            <c:v>Turbogas-Crudo-Petrolero</c:v>
          </c:tx>
          <c:spPr>
            <a:solidFill>
              <a:srgbClr val="FFC000"/>
            </a:solidFill>
            <a:ln cmpd="sng">
              <a:solidFill>
                <a:srgbClr val="000000"/>
              </a:solidFill>
            </a:ln>
          </c:spPr>
          <c:invertIfNegative val="1"/>
          <c:cat>
            <c:numRef>
              <c:f>Electricidad!$E$1:$G$1</c:f>
              <c:numCache>
                <c:formatCode>General</c:formatCode>
                <c:ptCount val="3"/>
              </c:numCache>
            </c:numRef>
          </c:cat>
          <c:val>
            <c:numRef>
              <c:f>Electricidad!$E$323:$G$323</c:f>
              <c:numCache>
                <c:formatCode>#,##0.0000</c:formatCode>
                <c:ptCount val="3"/>
                <c:pt idx="0">
                  <c:v>4.6212272796968046E-2</c:v>
                </c:pt>
                <c:pt idx="1">
                  <c:v>2.7002130903017896E-2</c:v>
                </c:pt>
                <c:pt idx="2">
                  <c:v>2.3986061274220826E-2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B625-4546-A692-2DCEF8FE9D4E}"/>
            </c:ext>
          </c:extLst>
        </c:ser>
        <c:ser>
          <c:idx val="9"/>
          <c:order val="9"/>
          <c:tx>
            <c:v>Turbovapor-Diesel-Cementera</c:v>
          </c:tx>
          <c:spPr>
            <a:solidFill>
              <a:srgbClr val="70AD47"/>
            </a:solidFill>
            <a:ln cmpd="sng">
              <a:solidFill>
                <a:srgbClr val="000000"/>
              </a:solidFill>
            </a:ln>
          </c:spPr>
          <c:invertIfNegative val="1"/>
          <c:cat>
            <c:numRef>
              <c:f>Electricidad!$E$1:$G$1</c:f>
              <c:numCache>
                <c:formatCode>General</c:formatCode>
                <c:ptCount val="3"/>
              </c:numCache>
            </c:numRef>
          </c:cat>
          <c:val>
            <c:numRef>
              <c:f>Electricidad!$E$328:$G$328</c:f>
              <c:numCache>
                <c:formatCode>#,##0.00000</c:formatCode>
                <c:ptCount val="3"/>
                <c:pt idx="0">
                  <c:v>1.0793225148768695E-4</c:v>
                </c:pt>
                <c:pt idx="1">
                  <c:v>4.3388765098050153E-5</c:v>
                </c:pt>
                <c:pt idx="2">
                  <c:v>4.3172900595074785E-7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B625-4546-A692-2DCEF8FE9D4E}"/>
            </c:ext>
          </c:extLst>
        </c:ser>
        <c:ser>
          <c:idx val="10"/>
          <c:order val="10"/>
          <c:tx>
            <c:v>Turbovapor-Gas Natural-Petrolero</c:v>
          </c:tx>
          <c:spPr>
            <a:solidFill>
              <a:srgbClr val="5B9BD5"/>
            </a:solidFill>
            <a:ln cmpd="sng">
              <a:solidFill>
                <a:srgbClr val="000000"/>
              </a:solidFill>
            </a:ln>
          </c:spPr>
          <c:invertIfNegative val="1"/>
          <c:cat>
            <c:numRef>
              <c:f>Electricidad!$E$1:$G$1</c:f>
              <c:numCache>
                <c:formatCode>General</c:formatCode>
                <c:ptCount val="3"/>
              </c:numCache>
            </c:numRef>
          </c:cat>
          <c:val>
            <c:numRef>
              <c:f>Electricidad!$E$330:$G$330</c:f>
              <c:numCache>
                <c:formatCode>#,##0.00</c:formatCode>
                <c:ptCount val="3"/>
                <c:pt idx="0">
                  <c:v>0.10565959402294529</c:v>
                </c:pt>
                <c:pt idx="1">
                  <c:v>9.7419434328283719E-2</c:v>
                </c:pt>
                <c:pt idx="2">
                  <c:v>1.8224360663695944E-2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B625-4546-A692-2DCEF8FE9D4E}"/>
            </c:ext>
          </c:extLst>
        </c:ser>
        <c:ser>
          <c:idx val="11"/>
          <c:order val="11"/>
          <c:invertIfNegative val="1"/>
          <c:cat>
            <c:numRef>
              <c:f>Electricidad!$E$1:$G$1</c:f>
              <c:numCache>
                <c:formatCode>General</c:formatCode>
                <c:ptCount val="3"/>
              </c:numCache>
            </c:numRef>
          </c:cat>
          <c:val>
            <c:numRef>
              <c:f>Electricidad!$E$326:$G$326</c:f>
              <c:numCache>
                <c:formatCode>#,##0.000000</c:formatCode>
                <c:ptCount val="3"/>
                <c:pt idx="0">
                  <c:v>6.0801835004730329E-6</c:v>
                </c:pt>
                <c:pt idx="1">
                  <c:v>0</c:v>
                </c:pt>
                <c:pt idx="2">
                  <c:v>0</c:v>
                </c:pt>
              </c:numCache>
            </c:numRef>
          </c:val>
          <c:extLst>
            <c:ext xmlns:c16="http://schemas.microsoft.com/office/drawing/2014/chart" uri="{C3380CC4-5D6E-409C-BE32-E72D297353CC}">
              <c16:uniqueId val="{0000000B-B625-4546-A692-2DCEF8FE9D4E}"/>
            </c:ext>
          </c:extLst>
        </c:ser>
        <c:dLbls>
          <c:showLegendKey val="0"/>
          <c:showVal val="0"/>
          <c:showCatName val="0"/>
          <c:showSerName val="0"/>
          <c:showPercent val="0"/>
          <c:showBubbleSize val="0"/>
        </c:dLbls>
        <c:gapWidth val="150"/>
        <c:overlap val="100"/>
        <c:axId val="1994864144"/>
        <c:axId val="1161213633"/>
      </c:barChart>
      <c:catAx>
        <c:axId val="199486414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61213633"/>
        <c:crosses val="autoZero"/>
        <c:auto val="1"/>
        <c:lblAlgn val="ctr"/>
        <c:lblOffset val="100"/>
        <c:noMultiLvlLbl val="1"/>
      </c:catAx>
      <c:valAx>
        <c:axId val="11612136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99486414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Generada (SNI+Sistemas Aislados)</a:t>
            </a:r>
          </a:p>
        </c:rich>
      </c:tx>
      <c:overlay val="0"/>
    </c:title>
    <c:autoTitleDeleted val="0"/>
    <c:plotArea>
      <c:layout/>
      <c:barChart>
        <c:barDir val="col"/>
        <c:grouping val="percentStacked"/>
        <c:varyColors val="1"/>
        <c:ser>
          <c:idx val="0"/>
          <c:order val="0"/>
          <c:tx>
            <c:v>Biomasa</c:v>
          </c:tx>
          <c:spPr>
            <a:solidFill>
              <a:srgbClr val="4472C4"/>
            </a:solidFill>
            <a:ln cmpd="sng">
              <a:solidFill>
                <a:srgbClr val="000000"/>
              </a:solidFill>
            </a:ln>
          </c:spPr>
          <c:invertIfNegative val="1"/>
          <c:cat>
            <c:numRef>
              <c:f>Electricidad!$E$1:$G$1</c:f>
              <c:numCache>
                <c:formatCode>General</c:formatCode>
                <c:ptCount val="3"/>
              </c:numCache>
            </c:numRef>
          </c:cat>
          <c:val>
            <c:numRef>
              <c:f>Electricidad!$E$335:$G$335</c:f>
              <c:numCache>
                <c:formatCode>#,##0.00</c:formatCode>
                <c:ptCount val="3"/>
                <c:pt idx="0">
                  <c:v>1.3759203419650334</c:v>
                </c:pt>
                <c:pt idx="1">
                  <c:v>1.4878806610556581</c:v>
                </c:pt>
                <c:pt idx="2">
                  <c:v>1.5347486942352482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6DF-4C17-AD25-2F94E48C1A7A}"/>
            </c:ext>
          </c:extLst>
        </c:ser>
        <c:ser>
          <c:idx val="1"/>
          <c:order val="1"/>
          <c:tx>
            <c:v>Eólica</c:v>
          </c:tx>
          <c:spPr>
            <a:solidFill>
              <a:srgbClr val="ED7D31"/>
            </a:solidFill>
            <a:ln cmpd="sng">
              <a:solidFill>
                <a:srgbClr val="000000"/>
              </a:solidFill>
            </a:ln>
          </c:spPr>
          <c:invertIfNegative val="1"/>
          <c:cat>
            <c:numRef>
              <c:f>Electricidad!$E$1:$G$1</c:f>
              <c:numCache>
                <c:formatCode>General</c:formatCode>
                <c:ptCount val="3"/>
              </c:numCache>
            </c:numRef>
          </c:cat>
          <c:val>
            <c:numRef>
              <c:f>Electricidad!$E$336:$G$336</c:f>
              <c:numCache>
                <c:formatCode>#,##0.00</c:formatCode>
                <c:ptCount val="3"/>
                <c:pt idx="0">
                  <c:v>0.28873956767668257</c:v>
                </c:pt>
                <c:pt idx="1">
                  <c:v>0.30770207700830282</c:v>
                </c:pt>
                <c:pt idx="2">
                  <c:v>0.27739930589995715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6DF-4C17-AD25-2F94E48C1A7A}"/>
            </c:ext>
          </c:extLst>
        </c:ser>
        <c:ser>
          <c:idx val="2"/>
          <c:order val="2"/>
          <c:tx>
            <c:v>Hidráulica-Embalse</c:v>
          </c:tx>
          <c:spPr>
            <a:solidFill>
              <a:srgbClr val="A5A5A5"/>
            </a:solidFill>
            <a:ln cmpd="sng">
              <a:solidFill>
                <a:srgbClr val="000000"/>
              </a:solidFill>
            </a:ln>
          </c:spPr>
          <c:invertIfNegative val="1"/>
          <c:cat>
            <c:numRef>
              <c:f>Electricidad!$E$1:$G$1</c:f>
              <c:numCache>
                <c:formatCode>General</c:formatCode>
                <c:ptCount val="3"/>
              </c:numCache>
            </c:numRef>
          </c:cat>
          <c:val>
            <c:numRef>
              <c:f>Electricidad!$E$338:$G$338</c:f>
              <c:numCache>
                <c:formatCode>#,##0.00</c:formatCode>
                <c:ptCount val="3"/>
                <c:pt idx="0">
                  <c:v>27.737653219489321</c:v>
                </c:pt>
                <c:pt idx="1">
                  <c:v>32.205948855043715</c:v>
                </c:pt>
                <c:pt idx="2">
                  <c:v>29.053183047679433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DF-4C17-AD25-2F94E48C1A7A}"/>
            </c:ext>
          </c:extLst>
        </c:ser>
        <c:ser>
          <c:idx val="3"/>
          <c:order val="3"/>
          <c:tx>
            <c:v>Hidráulica-Pasada</c:v>
          </c:tx>
          <c:spPr>
            <a:solidFill>
              <a:srgbClr val="FFC000"/>
            </a:solidFill>
            <a:ln cmpd="sng">
              <a:solidFill>
                <a:srgbClr val="000000"/>
              </a:solidFill>
            </a:ln>
          </c:spPr>
          <c:invertIfNegative val="1"/>
          <c:cat>
            <c:numRef>
              <c:f>Electricidad!$E$1:$G$1</c:f>
              <c:numCache>
                <c:formatCode>General</c:formatCode>
                <c:ptCount val="3"/>
              </c:numCache>
            </c:numRef>
          </c:cat>
          <c:val>
            <c:numRef>
              <c:f>Electricidad!$E$339:$G$339</c:f>
              <c:numCache>
                <c:formatCode>#,##0.00</c:formatCode>
                <c:ptCount val="3"/>
                <c:pt idx="0">
                  <c:v>46.65654773989948</c:v>
                </c:pt>
                <c:pt idx="1">
                  <c:v>56.444470017771359</c:v>
                </c:pt>
                <c:pt idx="2">
                  <c:v>58.49159018031159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6DF-4C17-AD25-2F94E48C1A7A}"/>
            </c:ext>
          </c:extLst>
        </c:ser>
        <c:ser>
          <c:idx val="4"/>
          <c:order val="4"/>
          <c:tx>
            <c:v>Solar</c:v>
          </c:tx>
          <c:spPr>
            <a:solidFill>
              <a:srgbClr val="5B9BD5"/>
            </a:solidFill>
            <a:ln cmpd="sng">
              <a:solidFill>
                <a:srgbClr val="000000"/>
              </a:solidFill>
            </a:ln>
          </c:spPr>
          <c:invertIfNegative val="1"/>
          <c:cat>
            <c:numRef>
              <c:f>Electricidad!$E$1:$G$1</c:f>
              <c:numCache>
                <c:formatCode>General</c:formatCode>
                <c:ptCount val="3"/>
              </c:numCache>
            </c:numRef>
          </c:cat>
          <c:val>
            <c:numRef>
              <c:f>Electricidad!$E$340:$G$340</c:f>
              <c:numCache>
                <c:formatCode>#,##0.00</c:formatCode>
                <c:ptCount val="3"/>
                <c:pt idx="0">
                  <c:v>0.1370053864322506</c:v>
                </c:pt>
                <c:pt idx="1">
                  <c:v>0.13535438275866063</c:v>
                </c:pt>
                <c:pt idx="2">
                  <c:v>0.13586756721305043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6DF-4C17-AD25-2F94E48C1A7A}"/>
            </c:ext>
          </c:extLst>
        </c:ser>
        <c:ser>
          <c:idx val="5"/>
          <c:order val="5"/>
          <c:tx>
            <c:v>Térmica-MCI</c:v>
          </c:tx>
          <c:spPr>
            <a:solidFill>
              <a:srgbClr val="70AD47"/>
            </a:solidFill>
            <a:ln cmpd="sng">
              <a:solidFill>
                <a:srgbClr val="000000"/>
              </a:solidFill>
            </a:ln>
          </c:spPr>
          <c:invertIfNegative val="1"/>
          <c:cat>
            <c:numRef>
              <c:f>Electricidad!$E$1:$G$1</c:f>
              <c:numCache>
                <c:formatCode>General</c:formatCode>
                <c:ptCount val="3"/>
              </c:numCache>
            </c:numRef>
          </c:cat>
          <c:val>
            <c:numRef>
              <c:f>Electricidad!$E$342:$G$342</c:f>
              <c:numCache>
                <c:formatCode>#,##0.00</c:formatCode>
                <c:ptCount val="3"/>
                <c:pt idx="0">
                  <c:v>17.783066305866768</c:v>
                </c:pt>
                <c:pt idx="1">
                  <c:v>16.615776498811602</c:v>
                </c:pt>
                <c:pt idx="2">
                  <c:v>15.909587840203059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6DF-4C17-AD25-2F94E48C1A7A}"/>
            </c:ext>
          </c:extLst>
        </c:ser>
        <c:ser>
          <c:idx val="6"/>
          <c:order val="6"/>
          <c:tx>
            <c:v>Térmica-Turbogas</c:v>
          </c:tx>
          <c:spPr>
            <a:solidFill>
              <a:srgbClr val="4472C4"/>
            </a:solidFill>
            <a:ln cmpd="sng">
              <a:solidFill>
                <a:srgbClr val="000000"/>
              </a:solidFill>
            </a:ln>
          </c:spPr>
          <c:invertIfNegative val="1"/>
          <c:cat>
            <c:numRef>
              <c:f>Electricidad!$E$1:$G$1</c:f>
              <c:numCache>
                <c:formatCode>General</c:formatCode>
                <c:ptCount val="3"/>
              </c:numCache>
            </c:numRef>
          </c:cat>
          <c:val>
            <c:numRef>
              <c:f>Electricidad!$E$343:$G$343</c:f>
              <c:numCache>
                <c:formatCode>#,##0.00</c:formatCode>
                <c:ptCount val="3"/>
                <c:pt idx="0">
                  <c:v>4.8152341705814878</c:v>
                </c:pt>
                <c:pt idx="1">
                  <c:v>4.2659653424419597</c:v>
                </c:pt>
                <c:pt idx="2">
                  <c:v>3.5320968502988155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16DF-4C17-AD25-2F94E48C1A7A}"/>
            </c:ext>
          </c:extLst>
        </c:ser>
        <c:ser>
          <c:idx val="7"/>
          <c:order val="7"/>
          <c:tx>
            <c:v>Térmica-Turbovapor</c:v>
          </c:tx>
          <c:spPr>
            <a:solidFill>
              <a:srgbClr val="ED7D31"/>
            </a:solidFill>
            <a:ln cmpd="sng">
              <a:solidFill>
                <a:srgbClr val="000000"/>
              </a:solidFill>
            </a:ln>
          </c:spPr>
          <c:invertIfNegative val="1"/>
          <c:cat>
            <c:numRef>
              <c:f>Electricidad!$E$1:$G$1</c:f>
              <c:numCache>
                <c:formatCode>General</c:formatCode>
                <c:ptCount val="3"/>
              </c:numCache>
            </c:numRef>
          </c:cat>
          <c:val>
            <c:numRef>
              <c:f>Electricidad!$E$344:$G$344</c:f>
              <c:numCache>
                <c:formatCode>#,##0.00</c:formatCode>
                <c:ptCount val="3"/>
                <c:pt idx="0">
                  <c:v>6.2526232609331931</c:v>
                </c:pt>
                <c:pt idx="1">
                  <c:v>4.5381651195082959</c:v>
                </c:pt>
                <c:pt idx="2">
                  <c:v>3.3294614546828289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16DF-4C17-AD25-2F94E48C1A7A}"/>
            </c:ext>
          </c:extLst>
        </c:ser>
        <c:ser>
          <c:idx val="8"/>
          <c:order val="8"/>
          <c:invertIfNegative val="1"/>
          <c:cat>
            <c:numRef>
              <c:f>Electricidad!$E$1:$G$1</c:f>
              <c:numCache>
                <c:formatCode>General</c:formatCode>
                <c:ptCount val="3"/>
              </c:numCache>
            </c:numRef>
          </c:cat>
          <c:val>
            <c:numRef>
              <c:f>Electricidad!$E$345:$G$345</c:f>
              <c:numCache>
                <c:formatCode>#,##0.00</c:formatCode>
                <c:ptCount val="3"/>
                <c:pt idx="0">
                  <c:v>0.16380518034114624</c:v>
                </c:pt>
                <c:pt idx="1">
                  <c:v>0.1480830490411065</c:v>
                </c:pt>
                <c:pt idx="2">
                  <c:v>0.15826465809811166</c:v>
                </c:pt>
              </c:numCache>
            </c:numRef>
          </c:val>
          <c:extLst>
            <c:ext xmlns:c16="http://schemas.microsoft.com/office/drawing/2014/chart" uri="{C3380CC4-5D6E-409C-BE32-E72D297353CC}">
              <c16:uniqueId val="{00000008-16DF-4C17-AD25-2F94E48C1A7A}"/>
            </c:ext>
          </c:extLst>
        </c:ser>
        <c:dLbls>
          <c:showLegendKey val="0"/>
          <c:showVal val="0"/>
          <c:showCatName val="0"/>
          <c:showSerName val="0"/>
          <c:showPercent val="0"/>
          <c:showBubbleSize val="0"/>
        </c:dLbls>
        <c:gapWidth val="150"/>
        <c:overlap val="100"/>
        <c:axId val="2079969027"/>
        <c:axId val="677922461"/>
      </c:barChart>
      <c:catAx>
        <c:axId val="207996902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77922461"/>
        <c:crosses val="autoZero"/>
        <c:auto val="1"/>
        <c:lblAlgn val="ctr"/>
        <c:lblOffset val="100"/>
        <c:noMultiLvlLbl val="1"/>
      </c:catAx>
      <c:valAx>
        <c:axId val="6779224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07996902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Energía Importada y Exportada</a:t>
            </a:r>
          </a:p>
        </c:rich>
      </c:tx>
      <c:overlay val="0"/>
    </c:title>
    <c:autoTitleDeleted val="0"/>
    <c:plotArea>
      <c:layout/>
      <c:barChart>
        <c:barDir val="col"/>
        <c:grouping val="clustered"/>
        <c:varyColors val="1"/>
        <c:ser>
          <c:idx val="0"/>
          <c:order val="0"/>
          <c:tx>
            <c:v>Energía importada [PJ]</c:v>
          </c:tx>
          <c:spPr>
            <a:solidFill>
              <a:srgbClr val="4472C4"/>
            </a:solidFill>
            <a:ln cmpd="sng">
              <a:solidFill>
                <a:srgbClr val="000000"/>
              </a:solidFill>
            </a:ln>
          </c:spPr>
          <c:invertIfNegative val="1"/>
          <c:cat>
            <c:numRef>
              <c:f>Electricidad!$E$1:$H$1</c:f>
              <c:numCache>
                <c:formatCode>General</c:formatCode>
                <c:ptCount val="4"/>
              </c:numCache>
            </c:numRef>
          </c:cat>
          <c:val>
            <c:numRef>
              <c:f>Electricidad!$E$488:$H$488</c:f>
              <c:numCache>
                <c:formatCode>#,##0.00000</c:formatCode>
                <c:ptCount val="4"/>
                <c:pt idx="0">
                  <c:v>0.3816124638432985</c:v>
                </c:pt>
                <c:pt idx="1">
                  <c:v>2.0974834205773833E-2</c:v>
                </c:pt>
                <c:pt idx="2">
                  <c:v>0.90227764501990038</c:v>
                </c:pt>
                <c:pt idx="3">
                  <c:v>1.3088584363740172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E0-4133-BE87-B7CF3E0D143B}"/>
            </c:ext>
          </c:extLst>
        </c:ser>
        <c:ser>
          <c:idx val="1"/>
          <c:order val="1"/>
          <c:invertIfNegative val="1"/>
          <c:cat>
            <c:numRef>
              <c:f>Electricidad!$E$1:$H$1</c:f>
              <c:numCache>
                <c:formatCode>General</c:formatCode>
                <c:ptCount val="4"/>
              </c:numCache>
            </c:numRef>
          </c:cat>
          <c:val>
            <c:numRef>
              <c:f>Electricidad!$D$489:$H$489</c:f>
              <c:numCache>
                <c:formatCode>#,##0.00000</c:formatCode>
                <c:ptCount val="5"/>
                <c:pt idx="0" formatCode="General">
                  <c:v>0</c:v>
                </c:pt>
                <c:pt idx="1">
                  <c:v>0.91979864717806825</c:v>
                </c:pt>
                <c:pt idx="2">
                  <c:v>6.5717789285822841</c:v>
                </c:pt>
                <c:pt idx="3">
                  <c:v>4.8232404770645925</c:v>
                </c:pt>
                <c:pt idx="4">
                  <c:v>1.8856843657413787</c:v>
                </c:pt>
              </c:numCache>
            </c:numRef>
          </c:val>
          <c:extLst>
            <c:ext xmlns:c16="http://schemas.microsoft.com/office/drawing/2014/chart" uri="{C3380CC4-5D6E-409C-BE32-E72D297353CC}">
              <c16:uniqueId val="{00000001-30E0-4133-BE87-B7CF3E0D143B}"/>
            </c:ext>
          </c:extLst>
        </c:ser>
        <c:dLbls>
          <c:showLegendKey val="0"/>
          <c:showVal val="0"/>
          <c:showCatName val="0"/>
          <c:showSerName val="0"/>
          <c:showPercent val="0"/>
          <c:showBubbleSize val="0"/>
        </c:dLbls>
        <c:gapWidth val="150"/>
        <c:axId val="367675300"/>
        <c:axId val="1935952525"/>
      </c:barChart>
      <c:catAx>
        <c:axId val="36767530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35952525"/>
        <c:crosses val="autoZero"/>
        <c:auto val="1"/>
        <c:lblAlgn val="ctr"/>
        <c:lblOffset val="100"/>
        <c:noMultiLvlLbl val="1"/>
      </c:catAx>
      <c:valAx>
        <c:axId val="193595252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00" sourceLinked="1"/>
        <c:majorTickMark val="none"/>
        <c:minorTickMark val="none"/>
        <c:tickLblPos val="nextTo"/>
        <c:spPr>
          <a:ln/>
        </c:spPr>
        <c:txPr>
          <a:bodyPr/>
          <a:lstStyle/>
          <a:p>
            <a:pPr lvl="0">
              <a:defRPr sz="900" b="0" i="0">
                <a:solidFill>
                  <a:srgbClr val="000000"/>
                </a:solidFill>
                <a:latin typeface="+mn-lt"/>
              </a:defRPr>
            </a:pPr>
            <a:endParaRPr lang="en-US"/>
          </a:p>
        </c:txPr>
        <c:crossAx val="36767530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Consumos de electricidad por sectores</a:t>
            </a:r>
          </a:p>
        </c:rich>
      </c:tx>
      <c:overlay val="0"/>
    </c:title>
    <c:autoTitleDeleted val="0"/>
    <c:plotArea>
      <c:layout/>
      <c:barChart>
        <c:barDir val="col"/>
        <c:grouping val="stacked"/>
        <c:varyColors val="1"/>
        <c:ser>
          <c:idx val="0"/>
          <c:order val="0"/>
          <c:tx>
            <c:v>Consumo residencial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Electricidad!$E$493:$H$493</c:f>
              <c:numCache>
                <c:formatCode>#,##0.00000</c:formatCode>
                <c:ptCount val="4"/>
                <c:pt idx="0">
                  <c:v>26.624217749157602</c:v>
                </c:pt>
                <c:pt idx="1">
                  <c:v>27.545137433144401</c:v>
                </c:pt>
                <c:pt idx="2">
                  <c:v>29.009550701123501</c:v>
                </c:pt>
                <c:pt idx="3">
                  <c:v>28.635027878821099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723-426E-A9DA-1CA3607FF139}"/>
            </c:ext>
          </c:extLst>
        </c:ser>
        <c:ser>
          <c:idx val="1"/>
          <c:order val="1"/>
          <c:tx>
            <c:v>Consumo comercial y servicios públicos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Electricidad!$E$494:$H$494</c:f>
              <c:numCache>
                <c:formatCode>#,##0.00000</c:formatCode>
                <c:ptCount val="4"/>
                <c:pt idx="0">
                  <c:v>24.9629622536429</c:v>
                </c:pt>
                <c:pt idx="1">
                  <c:v>26.060401221319498</c:v>
                </c:pt>
                <c:pt idx="2">
                  <c:v>23.917782284427101</c:v>
                </c:pt>
                <c:pt idx="3">
                  <c:v>25.150513992563301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723-426E-A9DA-1CA3607FF139}"/>
            </c:ext>
          </c:extLst>
        </c:ser>
        <c:ser>
          <c:idx val="2"/>
          <c:order val="2"/>
          <c:tx>
            <c:v>Consumo Industrial</c:v>
          </c:tx>
          <c:spPr>
            <a:solidFill>
              <a:srgbClr val="FFC000"/>
            </a:solidFill>
            <a:ln cmpd="sng">
              <a:solidFill>
                <a:srgbClr val="000000"/>
              </a:solidFill>
            </a:ln>
          </c:spPr>
          <c:invertIfNegative val="1"/>
          <c:cat>
            <c:numRef>
              <c:f>Electricidad!$E$1:$H$1</c:f>
              <c:numCache>
                <c:formatCode>General</c:formatCode>
                <c:ptCount val="4"/>
              </c:numCache>
            </c:numRef>
          </c:cat>
          <c:val>
            <c:numRef>
              <c:f>Electricidad!$E$495:$H$495</c:f>
              <c:numCache>
                <c:formatCode>#,##0.00000</c:formatCode>
                <c:ptCount val="4"/>
                <c:pt idx="0">
                  <c:v>35.971610607177787</c:v>
                </c:pt>
                <c:pt idx="1">
                  <c:v>37.38028094346533</c:v>
                </c:pt>
                <c:pt idx="2">
                  <c:v>36.49129731409343</c:v>
                </c:pt>
                <c:pt idx="3">
                  <c:v>40.945505949568179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723-426E-A9DA-1CA3607FF139}"/>
            </c:ext>
          </c:extLst>
        </c:ser>
        <c:ser>
          <c:idx val="3"/>
          <c:order val="3"/>
          <c:tx>
            <c:v>Consumo construcción y otros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Electricidad!$E$496:$H$496</c:f>
              <c:numCache>
                <c:formatCode>#,##0.00000</c:formatCode>
                <c:ptCount val="4"/>
                <c:pt idx="0">
                  <c:v>2.0131327518173499</c:v>
                </c:pt>
                <c:pt idx="1">
                  <c:v>1.85229116766581</c:v>
                </c:pt>
                <c:pt idx="2">
                  <c:v>1.9887452192023201</c:v>
                </c:pt>
                <c:pt idx="3">
                  <c:v>2.2581693890446202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723-426E-A9DA-1CA3607FF139}"/>
            </c:ext>
          </c:extLst>
        </c:ser>
        <c:ser>
          <c:idx val="4"/>
          <c:order val="4"/>
          <c:invertIfNegative val="1"/>
          <c:cat>
            <c:numRef>
              <c:f>Electricidad!$E$1:$H$1</c:f>
              <c:numCache>
                <c:formatCode>General</c:formatCode>
                <c:ptCount val="4"/>
              </c:numCache>
            </c:numRef>
          </c:cat>
          <c:val>
            <c:numRef>
              <c:f>Electricidad!$E$500:$H$500</c:f>
              <c:numCache>
                <c:formatCode>#,##0.00000</c:formatCode>
                <c:ptCount val="4"/>
                <c:pt idx="0">
                  <c:v>3.8903921076366615E-2</c:v>
                </c:pt>
                <c:pt idx="1">
                  <c:v>3.9484576614819841E-2</c:v>
                </c:pt>
                <c:pt idx="2">
                  <c:v>3.8903921076366615E-2</c:v>
                </c:pt>
                <c:pt idx="3">
                  <c:v>3.9484576614819841E-2</c:v>
                </c:pt>
              </c:numCache>
            </c:numRef>
          </c:val>
          <c:extLst>
            <c:ext xmlns:c16="http://schemas.microsoft.com/office/drawing/2014/chart" uri="{C3380CC4-5D6E-409C-BE32-E72D297353CC}">
              <c16:uniqueId val="{00000004-A723-426E-A9DA-1CA3607FF139}"/>
            </c:ext>
          </c:extLst>
        </c:ser>
        <c:dLbls>
          <c:showLegendKey val="0"/>
          <c:showVal val="0"/>
          <c:showCatName val="0"/>
          <c:showSerName val="0"/>
          <c:showPercent val="0"/>
          <c:showBubbleSize val="0"/>
        </c:dLbls>
        <c:gapWidth val="150"/>
        <c:overlap val="100"/>
        <c:axId val="2053141414"/>
        <c:axId val="1087584174"/>
      </c:barChart>
      <c:catAx>
        <c:axId val="205314141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87584174"/>
        <c:crosses val="autoZero"/>
        <c:auto val="1"/>
        <c:lblAlgn val="ctr"/>
        <c:lblOffset val="100"/>
        <c:noMultiLvlLbl val="1"/>
      </c:catAx>
      <c:valAx>
        <c:axId val="1087584174"/>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[PJ]</a:t>
                </a:r>
              </a:p>
            </c:rich>
          </c:tx>
          <c:overlay val="0"/>
        </c:title>
        <c:numFmt formatCode="#,##0.00000" sourceLinked="1"/>
        <c:majorTickMark val="none"/>
        <c:minorTickMark val="none"/>
        <c:tickLblPos val="nextTo"/>
        <c:spPr>
          <a:ln/>
        </c:spPr>
        <c:txPr>
          <a:bodyPr/>
          <a:lstStyle/>
          <a:p>
            <a:pPr lvl="0">
              <a:defRPr sz="900" b="0" i="0">
                <a:solidFill>
                  <a:srgbClr val="000000"/>
                </a:solidFill>
                <a:latin typeface="+mn-lt"/>
              </a:defRPr>
            </a:pPr>
            <a:endParaRPr lang="en-US"/>
          </a:p>
        </c:txPr>
        <c:crossAx val="2053141414"/>
        <c:crosses val="autoZero"/>
        <c:crossBetween val="between"/>
      </c:valAx>
    </c:plotArea>
    <c:plotVisOnly val="1"/>
    <c:dispBlanksAs val="zero"/>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(SNI)</a:t>
            </a:r>
          </a:p>
        </c:rich>
      </c:tx>
      <c:overlay val="0"/>
    </c:title>
    <c:autoTitleDeleted val="0"/>
    <c:plotArea>
      <c:layout/>
      <c:barChart>
        <c:barDir val="col"/>
        <c:grouping val="clustered"/>
        <c:varyColors val="1"/>
        <c:ser>
          <c:idx val="0"/>
          <c:order val="0"/>
          <c:tx>
            <c:v>Biomasa-Turbovapor-Bagazo de Caña</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Electricidad!$E$350:$H$350</c:f>
              <c:numCache>
                <c:formatCode>General</c:formatCode>
                <c:ptCount val="4"/>
                <c:pt idx="0">
                  <c:v>0.31830000000000003</c:v>
                </c:pt>
                <c:pt idx="1">
                  <c:v>0.34420000000000001</c:v>
                </c:pt>
                <c:pt idx="2">
                  <c:v>0.35499999999999998</c:v>
                </c:pt>
                <c:pt idx="3">
                  <c:v>0.31019999999999998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E48-4C73-9249-DE5CF09469E5}"/>
            </c:ext>
          </c:extLst>
        </c:ser>
        <c:ser>
          <c:idx val="1"/>
          <c:order val="1"/>
          <c:tx>
            <c:v>Eólica</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Electricidad!$E$353:$H$353</c:f>
              <c:numCache>
                <c:formatCode>General</c:formatCode>
                <c:ptCount val="4"/>
                <c:pt idx="0">
                  <c:v>0.53639999999999999</c:v>
                </c:pt>
                <c:pt idx="1">
                  <c:v>0.58209999999999995</c:v>
                </c:pt>
                <c:pt idx="2">
                  <c:v>0.52139999999999997</c:v>
                </c:pt>
                <c:pt idx="3">
                  <c:v>0.43709999999999999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E48-4C73-9249-DE5CF09469E5}"/>
            </c:ext>
          </c:extLst>
        </c:ser>
        <c:ser>
          <c:idx val="2"/>
          <c:order val="2"/>
          <c:tx>
            <c:v>Hidraúlica</c:v>
          </c:tx>
          <c:spPr>
            <a:solidFill>
              <a:srgbClr val="FFC000"/>
            </a:solidFill>
            <a:ln cmpd="sng">
              <a:solidFill>
                <a:srgbClr val="000000"/>
              </a:solidFill>
            </a:ln>
          </c:spPr>
          <c:invertIfNegative val="1"/>
          <c:cat>
            <c:numRef>
              <c:f>Electricidad!$E$1:$H$1</c:f>
              <c:numCache>
                <c:formatCode>General</c:formatCode>
                <c:ptCount val="4"/>
              </c:numCache>
            </c:numRef>
          </c:cat>
          <c:val>
            <c:numRef>
              <c:f>Electricidad!$E$354:$H$354</c:f>
              <c:numCache>
                <c:formatCode>General</c:formatCode>
                <c:ptCount val="4"/>
                <c:pt idx="0">
                  <c:v>0.49030000000000001</c:v>
                </c:pt>
                <c:pt idx="1">
                  <c:v>0.58309999999999995</c:v>
                </c:pt>
                <c:pt idx="2">
                  <c:v>0.57330000000000003</c:v>
                </c:pt>
                <c:pt idx="3">
                  <c:v>0.60170000000000001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E48-4C73-9249-DE5CF09469E5}"/>
            </c:ext>
          </c:extLst>
        </c:ser>
        <c:ser>
          <c:idx val="3"/>
          <c:order val="3"/>
          <c:tx>
            <c:v>Solar</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Electricidad!$E$361:$H$361</c:f>
              <c:numCache>
                <c:formatCode>General</c:formatCode>
                <c:ptCount val="4"/>
                <c:pt idx="0">
                  <c:v>0.17069999999999999</c:v>
                </c:pt>
                <c:pt idx="1">
                  <c:v>0.16259999999999999</c:v>
                </c:pt>
                <c:pt idx="2">
                  <c:v>0.16600000000000001</c:v>
                </c:pt>
                <c:pt idx="3">
                  <c:v>0.16420000000000001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E48-4C73-9249-DE5CF09469E5}"/>
            </c:ext>
          </c:extLst>
        </c:ser>
        <c:ser>
          <c:idx val="4"/>
          <c:order val="4"/>
          <c:tx>
            <c:v>Térmica</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Electricidad!$E$362:$H$362</c:f>
              <c:numCache>
                <c:formatCode>General</c:formatCode>
                <c:ptCount val="4"/>
                <c:pt idx="0">
                  <c:v>0.23860000000000001</c:v>
                </c:pt>
                <c:pt idx="1">
                  <c:v>0.17399999999999999</c:v>
                </c:pt>
                <c:pt idx="2">
                  <c:v>0.1409</c:v>
                </c:pt>
                <c:pt idx="3">
                  <c:v>0.12280000000000001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E48-4C73-9249-DE5CF09469E5}"/>
            </c:ext>
          </c:extLst>
        </c:ser>
        <c:ser>
          <c:idx val="5"/>
          <c:order val="5"/>
          <c:invertIfNegative val="1"/>
          <c:cat>
            <c:numRef>
              <c:f>Electricidad!$E$1:$H$1</c:f>
              <c:numCache>
                <c:formatCode>General</c:formatCode>
                <c:ptCount val="4"/>
              </c:numCache>
            </c:numRef>
          </c:cat>
          <c:val>
            <c:numRef>
              <c:f>Electricidad!$E$373:$H$373</c:f>
              <c:numCache>
                <c:formatCode>General</c:formatCode>
                <c:ptCount val="4"/>
                <c:pt idx="0">
                  <c:v>0.75309999999999999</c:v>
                </c:pt>
                <c:pt idx="1">
                  <c:v>0.68079999999999996</c:v>
                </c:pt>
                <c:pt idx="2">
                  <c:v>0.72760000000000002</c:v>
                </c:pt>
                <c:pt idx="3">
                  <c:v>0.60809999999999997</c:v>
                </c:pt>
              </c:numCache>
            </c:numRef>
          </c:val>
          <c:extLst>
            <c:ext xmlns:c16="http://schemas.microsoft.com/office/drawing/2014/chart" uri="{C3380CC4-5D6E-409C-BE32-E72D297353CC}">
              <c16:uniqueId val="{00000005-4E48-4C73-9249-DE5CF09469E5}"/>
            </c:ext>
          </c:extLst>
        </c:ser>
        <c:dLbls>
          <c:showLegendKey val="0"/>
          <c:showVal val="0"/>
          <c:showCatName val="0"/>
          <c:showSerName val="0"/>
          <c:showPercent val="0"/>
          <c:showBubbleSize val="0"/>
        </c:dLbls>
        <c:gapWidth val="150"/>
        <c:axId val="1151351659"/>
        <c:axId val="178213016"/>
      </c:barChart>
      <c:catAx>
        <c:axId val="115135165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8213016"/>
        <c:crosses val="autoZero"/>
        <c:auto val="1"/>
        <c:lblAlgn val="ctr"/>
        <c:lblOffset val="100"/>
        <c:noMultiLvlLbl val="1"/>
      </c:catAx>
      <c:valAx>
        <c:axId val="1782130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5135165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para centrales hidráulicas (SNI)</a:t>
            </a:r>
          </a:p>
        </c:rich>
      </c:tx>
      <c:overlay val="0"/>
    </c:title>
    <c:autoTitleDeleted val="0"/>
    <c:plotArea>
      <c:layout/>
      <c:barChart>
        <c:barDir val="col"/>
        <c:grouping val="stacked"/>
        <c:varyColors val="1"/>
        <c:ser>
          <c:idx val="0"/>
          <c:order val="0"/>
          <c:tx>
            <c:v>Embalse-Pacífico-Pequeñas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Electricidad!$E$377:$H$377</c:f>
              <c:numCache>
                <c:formatCode>General</c:formatCode>
                <c:ptCount val="4"/>
                <c:pt idx="0">
                  <c:v>0.2969</c:v>
                </c:pt>
                <c:pt idx="1">
                  <c:v>0.42830000000000001</c:v>
                </c:pt>
                <c:pt idx="2">
                  <c:v>0.40610000000000002</c:v>
                </c:pt>
                <c:pt idx="3">
                  <c:v>0.4279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B3-41F5-89ED-4B49C0441CA8}"/>
            </c:ext>
          </c:extLst>
        </c:ser>
        <c:ser>
          <c:idx val="1"/>
          <c:order val="1"/>
          <c:tx>
            <c:v>Embalse-Pacífico-Medianas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Electricidad!$E$378:$H$378</c:f>
              <c:numCache>
                <c:formatCode>General</c:formatCode>
                <c:ptCount val="4"/>
                <c:pt idx="0">
                  <c:v>0.50060000000000004</c:v>
                </c:pt>
                <c:pt idx="1">
                  <c:v>0.66539999999999999</c:v>
                </c:pt>
                <c:pt idx="2">
                  <c:v>0.4955</c:v>
                </c:pt>
                <c:pt idx="3">
                  <c:v>0.60140000000000005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FB3-41F5-89ED-4B49C0441CA8}"/>
            </c:ext>
          </c:extLst>
        </c:ser>
        <c:ser>
          <c:idx val="2"/>
          <c:order val="2"/>
          <c:tx>
            <c:v>Embalse-Amazonas-Medianas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Electricidad!$E$381:$H$381</c:f>
              <c:numCache>
                <c:formatCode>General</c:formatCode>
                <c:ptCount val="4"/>
                <c:pt idx="0">
                  <c:v>0.54039999999999999</c:v>
                </c:pt>
                <c:pt idx="1">
                  <c:v>0.59960000000000002</c:v>
                </c:pt>
                <c:pt idx="2">
                  <c:v>0.55279999999999996</c:v>
                </c:pt>
                <c:pt idx="3">
                  <c:v>0.59619999999999995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FB3-41F5-89ED-4B49C0441CA8}"/>
            </c:ext>
          </c:extLst>
        </c:ser>
        <c:ser>
          <c:idx val="3"/>
          <c:order val="3"/>
          <c:tx>
            <c:v>Embalse-Amazonas-Grandes</c:v>
          </c:tx>
          <c:spPr>
            <a:solidFill>
              <a:srgbClr val="FFC000"/>
            </a:solidFill>
            <a:ln cmpd="sng">
              <a:solidFill>
                <a:srgbClr val="000000"/>
              </a:solidFill>
            </a:ln>
          </c:spPr>
          <c:invertIfNegative val="1"/>
          <c:cat>
            <c:numRef>
              <c:f>Electricidad!$E$1:$H$1</c:f>
              <c:numCache>
                <c:formatCode>General</c:formatCode>
                <c:ptCount val="4"/>
              </c:numCache>
            </c:numRef>
          </c:cat>
          <c:val>
            <c:numRef>
              <c:f>Electricidad!$E$382:$H$382</c:f>
              <c:numCache>
                <c:formatCode>General</c:formatCode>
                <c:ptCount val="4"/>
                <c:pt idx="0">
                  <c:v>0.54779999999999995</c:v>
                </c:pt>
                <c:pt idx="1">
                  <c:v>0.62660000000000005</c:v>
                </c:pt>
                <c:pt idx="2">
                  <c:v>0.58079999999999998</c:v>
                </c:pt>
                <c:pt idx="3">
                  <c:v>0.61299999999999999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FB3-41F5-89ED-4B49C0441CA8}"/>
            </c:ext>
          </c:extLst>
        </c:ser>
        <c:ser>
          <c:idx val="4"/>
          <c:order val="4"/>
          <c:tx>
            <c:v>Pasada-Pacífico-Pequeñas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Electricidad!$E$384:$H$384</c:f>
              <c:numCache>
                <c:formatCode>General</c:formatCode>
                <c:ptCount val="4"/>
                <c:pt idx="0">
                  <c:v>0.59599999999999997</c:v>
                </c:pt>
                <c:pt idx="1">
                  <c:v>0.59919999999999995</c:v>
                </c:pt>
                <c:pt idx="2">
                  <c:v>0.56320000000000003</c:v>
                </c:pt>
                <c:pt idx="3">
                  <c:v>0.69530000000000003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FB3-41F5-89ED-4B49C0441CA8}"/>
            </c:ext>
          </c:extLst>
        </c:ser>
        <c:ser>
          <c:idx val="5"/>
          <c:order val="5"/>
          <c:tx>
            <c:v>Pasada-Pacífico-Medianas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Electricidad!$E$385:$H$385</c:f>
              <c:numCache>
                <c:formatCode>General</c:formatCode>
                <c:ptCount val="4"/>
                <c:pt idx="0">
                  <c:v>0.14019999999999999</c:v>
                </c:pt>
                <c:pt idx="1">
                  <c:v>0.48430000000000001</c:v>
                </c:pt>
                <c:pt idx="2">
                  <c:v>0.48749999999999999</c:v>
                </c:pt>
                <c:pt idx="3">
                  <c:v>0.55510000000000004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FFB3-41F5-89ED-4B49C0441CA8}"/>
            </c:ext>
          </c:extLst>
        </c:ser>
        <c:ser>
          <c:idx val="6"/>
          <c:order val="6"/>
          <c:tx>
            <c:v>Pasada-Amazonas-Pequeñas</c:v>
          </c:tx>
          <c:spPr>
            <a:solidFill>
              <a:srgbClr val="FFC000"/>
            </a:solidFill>
            <a:ln cmpd="sng">
              <a:solidFill>
                <a:srgbClr val="000000"/>
              </a:solidFill>
            </a:ln>
          </c:spPr>
          <c:invertIfNegative val="1"/>
          <c:cat>
            <c:numRef>
              <c:f>Electricidad!$E$1:$H$1</c:f>
              <c:numCache>
                <c:formatCode>General</c:formatCode>
                <c:ptCount val="4"/>
              </c:numCache>
            </c:numRef>
          </c:cat>
          <c:val>
            <c:numRef>
              <c:f>Electricidad!$E$387:$H$387</c:f>
              <c:numCache>
                <c:formatCode>General</c:formatCode>
                <c:ptCount val="4"/>
                <c:pt idx="0">
                  <c:v>0.60229999999999995</c:v>
                </c:pt>
                <c:pt idx="1">
                  <c:v>0.72389999999999999</c:v>
                </c:pt>
                <c:pt idx="2">
                  <c:v>0.68720000000000003</c:v>
                </c:pt>
                <c:pt idx="3">
                  <c:v>0.72909999999999997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FFB3-41F5-89ED-4B49C0441CA8}"/>
            </c:ext>
          </c:extLst>
        </c:ser>
        <c:ser>
          <c:idx val="7"/>
          <c:order val="7"/>
          <c:tx>
            <c:v>Pasada-Amazonas-Medianas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Electricidad!$E$388:$H$388</c:f>
              <c:numCache>
                <c:formatCode>General</c:formatCode>
                <c:ptCount val="4"/>
                <c:pt idx="0">
                  <c:v>0.36149999999999999</c:v>
                </c:pt>
                <c:pt idx="1">
                  <c:v>0.56310000000000004</c:v>
                </c:pt>
                <c:pt idx="2">
                  <c:v>0.625</c:v>
                </c:pt>
                <c:pt idx="3">
                  <c:v>0.66879999999999995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FFB3-41F5-89ED-4B49C0441CA8}"/>
            </c:ext>
          </c:extLst>
        </c:ser>
        <c:ser>
          <c:idx val="8"/>
          <c:order val="8"/>
          <c:invertIfNegative val="1"/>
          <c:cat>
            <c:numRef>
              <c:f>Electricidad!$E$1:$H$1</c:f>
              <c:numCache>
                <c:formatCode>General</c:formatCode>
                <c:ptCount val="4"/>
              </c:numCache>
            </c:numRef>
          </c:cat>
          <c:val>
            <c:numRef>
              <c:f>Electricidad!$E$389:$H$389</c:f>
              <c:numCache>
                <c:formatCode>General</c:formatCode>
                <c:ptCount val="4"/>
                <c:pt idx="0">
                  <c:v>0.50390000000000001</c:v>
                </c:pt>
                <c:pt idx="1">
                  <c:v>0.53180000000000005</c:v>
                </c:pt>
                <c:pt idx="2">
                  <c:v>0.55910000000000004</c:v>
                </c:pt>
                <c:pt idx="3">
                  <c:v>0.55649999999999999</c:v>
                </c:pt>
              </c:numCache>
            </c:numRef>
          </c:val>
          <c:extLst>
            <c:ext xmlns:c16="http://schemas.microsoft.com/office/drawing/2014/chart" uri="{C3380CC4-5D6E-409C-BE32-E72D297353CC}">
              <c16:uniqueId val="{00000008-FFB3-41F5-89ED-4B49C0441CA8}"/>
            </c:ext>
          </c:extLst>
        </c:ser>
        <c:dLbls>
          <c:showLegendKey val="0"/>
          <c:showVal val="0"/>
          <c:showCatName val="0"/>
          <c:showSerName val="0"/>
          <c:showPercent val="0"/>
          <c:showBubbleSize val="0"/>
        </c:dLbls>
        <c:gapWidth val="150"/>
        <c:overlap val="100"/>
        <c:axId val="899580307"/>
        <c:axId val="1844327659"/>
      </c:barChart>
      <c:catAx>
        <c:axId val="89958030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44327659"/>
        <c:crosses val="autoZero"/>
        <c:auto val="1"/>
        <c:lblAlgn val="ctr"/>
        <c:lblOffset val="100"/>
        <c:noMultiLvlLbl val="1"/>
      </c:catAx>
      <c:valAx>
        <c:axId val="18443276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89958030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para centrales térmicas (SNI)</a:t>
            </a:r>
          </a:p>
        </c:rich>
      </c:tx>
      <c:overlay val="0"/>
    </c:title>
    <c:autoTitleDeleted val="0"/>
    <c:plotArea>
      <c:layout/>
      <c:barChart>
        <c:barDir val="col"/>
        <c:grouping val="stacked"/>
        <c:varyColors val="1"/>
        <c:ser>
          <c:idx val="0"/>
          <c:order val="0"/>
          <c:tx>
            <c:v>MCI-Diesel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Electricidad!$E$364:$H$364</c:f>
              <c:numCache>
                <c:formatCode>General</c:formatCode>
                <c:ptCount val="4"/>
                <c:pt idx="0">
                  <c:v>8.5599999999999996E-2</c:v>
                </c:pt>
                <c:pt idx="1">
                  <c:v>1.0800000000000001E-2</c:v>
                </c:pt>
                <c:pt idx="2">
                  <c:v>3.6700000000000003E-2</c:v>
                </c:pt>
                <c:pt idx="3">
                  <c:v>1.7500000000000002E-2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28A-4784-9A7D-C3412D1BABA5}"/>
            </c:ext>
          </c:extLst>
        </c:ser>
        <c:ser>
          <c:idx val="1"/>
          <c:order val="1"/>
          <c:tx>
            <c:v>MCI-Fuel Oil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Electricidad!$E$365:$H$365</c:f>
              <c:numCache>
                <c:formatCode>General</c:formatCode>
                <c:ptCount val="4"/>
                <c:pt idx="0">
                  <c:v>0.27239999999999998</c:v>
                </c:pt>
                <c:pt idx="1">
                  <c:v>0.18429999999999999</c:v>
                </c:pt>
                <c:pt idx="2">
                  <c:v>0.15049999999999999</c:v>
                </c:pt>
                <c:pt idx="3">
                  <c:v>0.11890000000000001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28A-4784-9A7D-C3412D1BABA5}"/>
            </c:ext>
          </c:extLst>
        </c:ser>
        <c:ser>
          <c:idx val="2"/>
          <c:order val="2"/>
          <c:tx>
            <c:v>MCI-Otro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Electricidad!$E$366:$H$366</c:f>
              <c:numCache>
                <c:formatCode>General</c:formatCode>
                <c:ptCount val="4"/>
                <c:pt idx="0">
                  <c:v>2.35E-2</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28A-4784-9A7D-C3412D1BABA5}"/>
            </c:ext>
          </c:extLst>
        </c:ser>
        <c:ser>
          <c:idx val="3"/>
          <c:order val="3"/>
          <c:tx>
            <c:v>MCI-Residuo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Electricidad!$E$367:$H$367</c:f>
              <c:numCache>
                <c:formatCode>General</c:formatCode>
                <c:ptCount val="4"/>
                <c:pt idx="0">
                  <c:v>0.32779999999999998</c:v>
                </c:pt>
                <c:pt idx="1">
                  <c:v>0.22109999999999999</c:v>
                </c:pt>
                <c:pt idx="2">
                  <c:v>0.21510000000000001</c:v>
                </c:pt>
                <c:pt idx="3">
                  <c:v>0.26600000000000001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28A-4784-9A7D-C3412D1BABA5}"/>
            </c:ext>
          </c:extLst>
        </c:ser>
        <c:ser>
          <c:idx val="4"/>
          <c:order val="4"/>
          <c:tx>
            <c:v>Turbogas-Diesel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Electricidad!$E$369:$H$369</c:f>
              <c:numCache>
                <c:formatCode>General</c:formatCode>
                <c:ptCount val="4"/>
                <c:pt idx="0">
                  <c:v>2.64E-2</c:v>
                </c:pt>
                <c:pt idx="1">
                  <c:v>1.5100000000000001E-2</c:v>
                </c:pt>
                <c:pt idx="2">
                  <c:v>5.1000000000000004E-3</c:v>
                </c:pt>
                <c:pt idx="3">
                  <c:v>3.3999999999999998E-3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28A-4784-9A7D-C3412D1BABA5}"/>
            </c:ext>
          </c:extLst>
        </c:ser>
        <c:ser>
          <c:idx val="5"/>
          <c:order val="5"/>
          <c:tx>
            <c:v>Turbogas-Gas Natural</c:v>
          </c:tx>
          <c:spPr>
            <a:solidFill>
              <a:srgbClr val="5B9BD5"/>
            </a:solidFill>
            <a:ln cmpd="sng">
              <a:solidFill>
                <a:srgbClr val="000000"/>
              </a:solidFill>
            </a:ln>
          </c:spPr>
          <c:invertIfNegative val="1"/>
          <c:cat>
            <c:numRef>
              <c:f>Electricidad!$E$1:$H$1</c:f>
              <c:numCache>
                <c:formatCode>General</c:formatCode>
                <c:ptCount val="4"/>
              </c:numCache>
            </c:numRef>
          </c:cat>
          <c:val>
            <c:numRef>
              <c:f>Electricidad!$E$370:$H$370</c:f>
              <c:numCache>
                <c:formatCode>General</c:formatCode>
                <c:ptCount val="4"/>
                <c:pt idx="0">
                  <c:v>0.39250000000000002</c:v>
                </c:pt>
                <c:pt idx="1">
                  <c:v>0.35770000000000002</c:v>
                </c:pt>
                <c:pt idx="2">
                  <c:v>0.29880000000000001</c:v>
                </c:pt>
                <c:pt idx="3">
                  <c:v>0.2525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28A-4784-9A7D-C3412D1BABA5}"/>
            </c:ext>
          </c:extLst>
        </c:ser>
        <c:ser>
          <c:idx val="6"/>
          <c:order val="6"/>
          <c:invertIfNegative val="1"/>
          <c:cat>
            <c:numRef>
              <c:f>Electricidad!$E$1:$H$1</c:f>
              <c:numCache>
                <c:formatCode>General</c:formatCode>
                <c:ptCount val="4"/>
              </c:numCache>
            </c:numRef>
          </c:cat>
          <c:val>
            <c:numRef>
              <c:f>Electricidad!$E$372:$H$372</c:f>
              <c:numCache>
                <c:formatCode>General</c:formatCode>
                <c:ptCount val="4"/>
                <c:pt idx="0">
                  <c:v>0.46</c:v>
                </c:pt>
                <c:pt idx="1">
                  <c:v>0.33229999999999998</c:v>
                </c:pt>
                <c:pt idx="2">
                  <c:v>0.24779999999999999</c:v>
                </c:pt>
                <c:pt idx="3">
                  <c:v>0.22700000000000001</c:v>
                </c:pt>
              </c:numCache>
            </c:numRef>
          </c:val>
          <c:extLst>
            <c:ext xmlns:c16="http://schemas.microsoft.com/office/drawing/2014/chart" uri="{C3380CC4-5D6E-409C-BE32-E72D297353CC}">
              <c16:uniqueId val="{00000006-128A-4784-9A7D-C3412D1BABA5}"/>
            </c:ext>
          </c:extLst>
        </c:ser>
        <c:dLbls>
          <c:showLegendKey val="0"/>
          <c:showVal val="0"/>
          <c:showCatName val="0"/>
          <c:showSerName val="0"/>
          <c:showPercent val="0"/>
          <c:showBubbleSize val="0"/>
        </c:dLbls>
        <c:gapWidth val="150"/>
        <c:overlap val="100"/>
        <c:axId val="1692315683"/>
        <c:axId val="2049735013"/>
      </c:barChart>
      <c:catAx>
        <c:axId val="169231568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49735013"/>
        <c:crosses val="autoZero"/>
        <c:auto val="1"/>
        <c:lblAlgn val="ctr"/>
        <c:lblOffset val="100"/>
        <c:noMultiLvlLbl val="1"/>
      </c:catAx>
      <c:valAx>
        <c:axId val="20497350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69231568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(Sistemas Aislados)</a:t>
            </a:r>
          </a:p>
        </c:rich>
      </c:tx>
      <c:overlay val="0"/>
    </c:title>
    <c:autoTitleDeleted val="0"/>
    <c:plotArea>
      <c:layout/>
      <c:barChart>
        <c:barDir val="col"/>
        <c:grouping val="stacked"/>
        <c:varyColors val="1"/>
        <c:ser>
          <c:idx val="0"/>
          <c:order val="0"/>
          <c:tx>
            <c:v>Eólica-Galápagos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Electricidad!$E$393:$H$393</c:f>
              <c:numCache>
                <c:formatCode>#,##0.00</c:formatCode>
                <c:ptCount val="4"/>
                <c:pt idx="0">
                  <c:v>0.16930000000000001</c:v>
                </c:pt>
                <c:pt idx="1">
                  <c:v>0.14319999999999999</c:v>
                </c:pt>
                <c:pt idx="2">
                  <c:v>0.1411</c:v>
                </c:pt>
                <c:pt idx="3">
                  <c:v>5.04E-2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08D-471E-9A2D-72329811883E}"/>
            </c:ext>
          </c:extLst>
        </c:ser>
        <c:ser>
          <c:idx val="1"/>
          <c:order val="1"/>
          <c:tx>
            <c:v>Hidraúlica</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Electricidad!$E$395:$H$395</c:f>
              <c:numCache>
                <c:formatCode>#,##0.00</c:formatCode>
                <c:ptCount val="4"/>
                <c:pt idx="0">
                  <c:v>0.32529999999999998</c:v>
                </c:pt>
                <c:pt idx="1">
                  <c:v>0.4249</c:v>
                </c:pt>
                <c:pt idx="2">
                  <c:v>0.40439999999999998</c:v>
                </c:pt>
                <c:pt idx="3">
                  <c:v>0.37809999999999999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08D-471E-9A2D-72329811883E}"/>
            </c:ext>
          </c:extLst>
        </c:ser>
        <c:ser>
          <c:idx val="2"/>
          <c:order val="2"/>
          <c:tx>
            <c:v>Solar</c:v>
          </c:tx>
          <c:spPr>
            <a:solidFill>
              <a:srgbClr val="5B9BD5"/>
            </a:solidFill>
            <a:ln cmpd="sng">
              <a:solidFill>
                <a:srgbClr val="000000"/>
              </a:solidFill>
            </a:ln>
          </c:spPr>
          <c:invertIfNegative val="1"/>
          <c:cat>
            <c:numRef>
              <c:f>Electricidad!$E$1:$H$1</c:f>
              <c:numCache>
                <c:formatCode>General</c:formatCode>
                <c:ptCount val="4"/>
              </c:numCache>
            </c:numRef>
          </c:cat>
          <c:val>
            <c:numRef>
              <c:f>Electricidad!$E$403:$H$403</c:f>
              <c:numCache>
                <c:formatCode>#,##0.00</c:formatCode>
                <c:ptCount val="4"/>
                <c:pt idx="0">
                  <c:v>0.1255</c:v>
                </c:pt>
                <c:pt idx="1">
                  <c:v>0.17019999999999999</c:v>
                </c:pt>
                <c:pt idx="2">
                  <c:v>0.14960000000000001</c:v>
                </c:pt>
                <c:pt idx="3">
                  <c:v>0.1288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08D-471E-9A2D-72329811883E}"/>
            </c:ext>
          </c:extLst>
        </c:ser>
        <c:ser>
          <c:idx val="3"/>
          <c:order val="3"/>
          <c:invertIfNegative val="1"/>
          <c:cat>
            <c:numRef>
              <c:f>Electricidad!$E$1:$H$1</c:f>
              <c:numCache>
                <c:formatCode>General</c:formatCode>
                <c:ptCount val="4"/>
              </c:numCache>
            </c:numRef>
          </c:cat>
          <c:val>
            <c:numRef>
              <c:f>Electricidad!$E$406:$H$406</c:f>
              <c:numCache>
                <c:formatCode>#,##0.00</c:formatCode>
                <c:ptCount val="4"/>
                <c:pt idx="0">
                  <c:v>0.3569</c:v>
                </c:pt>
                <c:pt idx="1">
                  <c:v>0.36280000000000001</c:v>
                </c:pt>
                <c:pt idx="2">
                  <c:v>0.34639999999999999</c:v>
                </c:pt>
                <c:pt idx="3">
                  <c:v>0.3533</c:v>
                </c:pt>
              </c:numCache>
            </c:numRef>
          </c:val>
          <c:extLst>
            <c:ext xmlns:c16="http://schemas.microsoft.com/office/drawing/2014/chart" uri="{C3380CC4-5D6E-409C-BE32-E72D297353CC}">
              <c16:uniqueId val="{00000003-908D-471E-9A2D-72329811883E}"/>
            </c:ext>
          </c:extLst>
        </c:ser>
        <c:dLbls>
          <c:showLegendKey val="0"/>
          <c:showVal val="0"/>
          <c:showCatName val="0"/>
          <c:showSerName val="0"/>
          <c:showPercent val="0"/>
          <c:showBubbleSize val="0"/>
        </c:dLbls>
        <c:gapWidth val="150"/>
        <c:overlap val="100"/>
        <c:axId val="922265735"/>
        <c:axId val="237381407"/>
      </c:barChart>
      <c:catAx>
        <c:axId val="9222657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37381407"/>
        <c:crosses val="autoZero"/>
        <c:auto val="1"/>
        <c:lblAlgn val="ctr"/>
        <c:lblOffset val="100"/>
        <c:noMultiLvlLbl val="1"/>
      </c:catAx>
      <c:valAx>
        <c:axId val="2373814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92226573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para centrales hidraúlicas (Sistemas Aislados)</a:t>
            </a:r>
          </a:p>
        </c:rich>
      </c:tx>
      <c:overlay val="0"/>
    </c:title>
    <c:autoTitleDeleted val="0"/>
    <c:plotArea>
      <c:layout/>
      <c:barChart>
        <c:barDir val="col"/>
        <c:grouping val="stacked"/>
        <c:varyColors val="1"/>
        <c:ser>
          <c:idx val="0"/>
          <c:order val="0"/>
          <c:tx>
            <c:v>Pasada-Amazonas-Electrificación Rural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Electricidad!$E$398:$H$398</c:f>
              <c:numCache>
                <c:formatCode>#,##0.00</c:formatCode>
                <c:ptCount val="4"/>
                <c:pt idx="0">
                  <c:v>0.49480000000000002</c:v>
                </c:pt>
                <c:pt idx="1">
                  <c:v>0.58289999999999997</c:v>
                </c:pt>
                <c:pt idx="2">
                  <c:v>0.505</c:v>
                </c:pt>
                <c:pt idx="3">
                  <c:v>0.37169999999999997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032-4A71-B52C-0C852A2AD1A1}"/>
            </c:ext>
          </c:extLst>
        </c:ser>
        <c:ser>
          <c:idx val="1"/>
          <c:order val="1"/>
          <c:tx>
            <c:v>Pasada-Pacífico-Electrificación Rural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Electricidad!$E$399:$H$399</c:f>
              <c:numCache>
                <c:formatCode>#,##0.00</c:formatCode>
                <c:ptCount val="4"/>
                <c:pt idx="0">
                  <c:v>0.42459999999999998</c:v>
                </c:pt>
                <c:pt idx="1">
                  <c:v>0.47670000000000001</c:v>
                </c:pt>
                <c:pt idx="2">
                  <c:v>0.6381</c:v>
                </c:pt>
                <c:pt idx="3">
                  <c:v>0.63149999999999995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032-4A71-B52C-0C852A2AD1A1}"/>
            </c:ext>
          </c:extLst>
        </c:ser>
        <c:ser>
          <c:idx val="2"/>
          <c:order val="2"/>
          <c:invertIfNegative val="1"/>
          <c:cat>
            <c:numRef>
              <c:f>Electricidad!$E$1:$H$1</c:f>
              <c:numCache>
                <c:formatCode>General</c:formatCode>
                <c:ptCount val="4"/>
              </c:numCache>
            </c:numRef>
          </c:cat>
          <c:val>
            <c:numRef>
              <c:f>Electricidad!$E$401:$H$401</c:f>
              <c:numCache>
                <c:formatCode>#,##0.000</c:formatCode>
                <c:ptCount val="4"/>
                <c:pt idx="0">
                  <c:v>8.2900000000000001E-2</c:v>
                </c:pt>
                <c:pt idx="1">
                  <c:v>0.2581</c:v>
                </c:pt>
                <c:pt idx="2">
                  <c:v>7.1000000000000004E-3</c:v>
                </c:pt>
                <c:pt idx="3">
                  <c:v>1.44E-2</c:v>
                </c:pt>
              </c:numCache>
            </c:numRef>
          </c:val>
          <c:extLst>
            <c:ext xmlns:c16="http://schemas.microsoft.com/office/drawing/2014/chart" uri="{C3380CC4-5D6E-409C-BE32-E72D297353CC}">
              <c16:uniqueId val="{00000002-4032-4A71-B52C-0C852A2AD1A1}"/>
            </c:ext>
          </c:extLst>
        </c:ser>
        <c:dLbls>
          <c:showLegendKey val="0"/>
          <c:showVal val="0"/>
          <c:showCatName val="0"/>
          <c:showSerName val="0"/>
          <c:showPercent val="0"/>
          <c:showBubbleSize val="0"/>
        </c:dLbls>
        <c:gapWidth val="150"/>
        <c:overlap val="100"/>
        <c:axId val="2109350721"/>
        <c:axId val="2010267202"/>
      </c:barChart>
      <c:catAx>
        <c:axId val="21093507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10267202"/>
        <c:crosses val="autoZero"/>
        <c:auto val="1"/>
        <c:lblAlgn val="ctr"/>
        <c:lblOffset val="100"/>
        <c:noMultiLvlLbl val="1"/>
      </c:catAx>
      <c:valAx>
        <c:axId val="20102672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210935072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para centrales solares (Sistemas Aislados)</a:t>
            </a:r>
          </a:p>
        </c:rich>
      </c:tx>
      <c:overlay val="0"/>
    </c:title>
    <c:autoTitleDeleted val="0"/>
    <c:plotArea>
      <c:layout/>
      <c:barChart>
        <c:barDir val="col"/>
        <c:grouping val="stacked"/>
        <c:varyColors val="1"/>
        <c:ser>
          <c:idx val="0"/>
          <c:order val="0"/>
          <c:tx>
            <c:v>Solar-Galápagos</c:v>
          </c:tx>
          <c:spPr>
            <a:solidFill>
              <a:srgbClr val="4472C4"/>
            </a:solidFill>
            <a:ln cmpd="sng">
              <a:solidFill>
                <a:srgbClr val="000000"/>
              </a:solidFill>
            </a:ln>
          </c:spPr>
          <c:invertIfNegative val="1"/>
          <c:cat>
            <c:numRef>
              <c:f>Electricidad!$E$1:$H$1</c:f>
              <c:numCache>
                <c:formatCode>General</c:formatCode>
                <c:ptCount val="4"/>
              </c:numCache>
            </c:numRef>
          </c:cat>
          <c:val>
            <c:numRef>
              <c:f>Electricidad!$E$404:$H$404</c:f>
              <c:numCache>
                <c:formatCode>#,##0.000</c:formatCode>
                <c:ptCount val="4"/>
                <c:pt idx="0">
                  <c:v>3.49E-2</c:v>
                </c:pt>
                <c:pt idx="1">
                  <c:v>3.3500000000000002E-2</c:v>
                </c:pt>
                <c:pt idx="2">
                  <c:v>3.4200000000000001E-2</c:v>
                </c:pt>
                <c:pt idx="3">
                  <c:v>3.39E-2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CBC-4F5C-8CD3-A0129C72D695}"/>
            </c:ext>
          </c:extLst>
        </c:ser>
        <c:ser>
          <c:idx val="1"/>
          <c:order val="1"/>
          <c:invertIfNegative val="1"/>
          <c:cat>
            <c:numRef>
              <c:f>Electricidad!$E$1:$H$1</c:f>
              <c:numCache>
                <c:formatCode>General</c:formatCode>
                <c:ptCount val="4"/>
              </c:numCache>
            </c:numRef>
          </c:cat>
          <c:val>
            <c:numRef>
              <c:f>Electricidad!$E$405:$H$405</c:f>
              <c:numCache>
                <c:formatCode>#,##0.000</c:formatCode>
                <c:ptCount val="4"/>
                <c:pt idx="0">
                  <c:v>0.53620000000000001</c:v>
                </c:pt>
                <c:pt idx="1">
                  <c:v>0.79</c:v>
                </c:pt>
                <c:pt idx="2">
                  <c:v>0.67300000000000004</c:v>
                </c:pt>
                <c:pt idx="3">
                  <c:v>0.56330000000000002</c:v>
                </c:pt>
              </c:numCache>
            </c:numRef>
          </c:val>
          <c:extLst>
            <c:ext xmlns:c16="http://schemas.microsoft.com/office/drawing/2014/chart" uri="{C3380CC4-5D6E-409C-BE32-E72D297353CC}">
              <c16:uniqueId val="{00000001-DCBC-4F5C-8CD3-A0129C72D695}"/>
            </c:ext>
          </c:extLst>
        </c:ser>
        <c:dLbls>
          <c:showLegendKey val="0"/>
          <c:showVal val="0"/>
          <c:showCatName val="0"/>
          <c:showSerName val="0"/>
          <c:showPercent val="0"/>
          <c:showBubbleSize val="0"/>
        </c:dLbls>
        <c:gapWidth val="150"/>
        <c:overlap val="100"/>
        <c:axId val="1966284730"/>
        <c:axId val="2039881152"/>
      </c:barChart>
      <c:catAx>
        <c:axId val="196628473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39881152"/>
        <c:crosses val="autoZero"/>
        <c:auto val="1"/>
        <c:lblAlgn val="ctr"/>
        <c:lblOffset val="100"/>
        <c:noMultiLvlLbl val="1"/>
      </c:catAx>
      <c:valAx>
        <c:axId val="20398811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96628473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 de capacidad calculado para centrales térmicas (Sistemas Aislados)</a:t>
            </a:r>
          </a:p>
        </c:rich>
      </c:tx>
      <c:overlay val="0"/>
    </c:title>
    <c:autoTitleDeleted val="0"/>
    <c:plotArea>
      <c:layout/>
      <c:barChart>
        <c:barDir val="col"/>
        <c:grouping val="stacked"/>
        <c:varyColors val="1"/>
        <c:ser>
          <c:idx val="0"/>
          <c:order val="0"/>
          <c:tx>
            <c:v>MCI-Diesel-Electrificación Rural</c:v>
          </c:tx>
          <c:spPr>
            <a:solidFill>
              <a:srgbClr val="4472C4"/>
            </a:solidFill>
            <a:ln cmpd="sng">
              <a:solidFill>
                <a:srgbClr val="000000"/>
              </a:solidFill>
            </a:ln>
          </c:spPr>
          <c:invertIfNegative val="1"/>
          <c:cat>
            <c:numRef>
              <c:f>Electricidad!$E$1:$H$1</c:f>
              <c:numCache>
                <c:formatCode>General</c:formatCode>
                <c:ptCount val="4"/>
              </c:numCache>
            </c:numRef>
          </c:cat>
          <c:val>
            <c:numRef>
              <c:f>Electricidad!$E$409:$H$409</c:f>
              <c:numCache>
                <c:formatCode>#,##0.00</c:formatCode>
                <c:ptCount val="4"/>
                <c:pt idx="0">
                  <c:v>0.44030000000000002</c:v>
                </c:pt>
                <c:pt idx="1">
                  <c:v>0.40460000000000002</c:v>
                </c:pt>
                <c:pt idx="2">
                  <c:v>0.4269</c:v>
                </c:pt>
                <c:pt idx="3">
                  <c:v>0.1363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2FE-4888-B2D9-0EFA04B3F43C}"/>
            </c:ext>
          </c:extLst>
        </c:ser>
        <c:ser>
          <c:idx val="1"/>
          <c:order val="1"/>
          <c:tx>
            <c:v>MCI-Diesel-Galápagos</c:v>
          </c:tx>
          <c:spPr>
            <a:solidFill>
              <a:srgbClr val="4472C4"/>
            </a:solidFill>
            <a:ln cmpd="sng">
              <a:solidFill>
                <a:srgbClr val="000000"/>
              </a:solidFill>
            </a:ln>
          </c:spPr>
          <c:invertIfNegative val="1"/>
          <c:cat>
            <c:numRef>
              <c:f>Electricidad!$E$1:$H$1</c:f>
              <c:numCache>
                <c:formatCode>General</c:formatCode>
                <c:ptCount val="4"/>
              </c:numCache>
            </c:numRef>
          </c:cat>
          <c:val>
            <c:numRef>
              <c:f>Electricidad!$E$411:$H$411</c:f>
              <c:numCache>
                <c:formatCode>#,##0.00</c:formatCode>
                <c:ptCount val="4"/>
                <c:pt idx="0">
                  <c:v>0.20250000000000001</c:v>
                </c:pt>
                <c:pt idx="1">
                  <c:v>0.23860000000000001</c:v>
                </c:pt>
                <c:pt idx="2">
                  <c:v>0.20830000000000001</c:v>
                </c:pt>
                <c:pt idx="3">
                  <c:v>0.23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2FE-4888-B2D9-0EFA04B3F43C}"/>
            </c:ext>
          </c:extLst>
        </c:ser>
        <c:ser>
          <c:idx val="2"/>
          <c:order val="2"/>
          <c:tx>
            <c:v>MCI-Crudo-Petrolero</c:v>
          </c:tx>
          <c:spPr>
            <a:solidFill>
              <a:srgbClr val="ED7D31"/>
            </a:solidFill>
            <a:ln cmpd="sng">
              <a:solidFill>
                <a:srgbClr val="000000"/>
              </a:solidFill>
            </a:ln>
          </c:spPr>
          <c:invertIfNegative val="1"/>
          <c:cat>
            <c:numRef>
              <c:f>Electricidad!$E$1:$H$1</c:f>
              <c:numCache>
                <c:formatCode>General</c:formatCode>
                <c:ptCount val="4"/>
              </c:numCache>
            </c:numRef>
          </c:cat>
          <c:val>
            <c:numRef>
              <c:f>Electricidad!$E$413:$H$413</c:f>
              <c:numCache>
                <c:formatCode>#,##0.0000</c:formatCode>
                <c:ptCount val="4"/>
                <c:pt idx="0">
                  <c:v>0.54430000000000001</c:v>
                </c:pt>
                <c:pt idx="1">
                  <c:v>0.5363</c:v>
                </c:pt>
                <c:pt idx="2">
                  <c:v>0.51929999999999998</c:v>
                </c:pt>
                <c:pt idx="3">
                  <c:v>0.48199999999999998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2FE-4888-B2D9-0EFA04B3F43C}"/>
            </c:ext>
          </c:extLst>
        </c:ser>
        <c:ser>
          <c:idx val="3"/>
          <c:order val="3"/>
          <c:tx>
            <c:v>MCI-Diesel-Petrolero</c:v>
          </c:tx>
          <c:spPr>
            <a:solidFill>
              <a:srgbClr val="A5A5A5"/>
            </a:solidFill>
            <a:ln cmpd="sng">
              <a:solidFill>
                <a:srgbClr val="000000"/>
              </a:solidFill>
            </a:ln>
          </c:spPr>
          <c:invertIfNegative val="1"/>
          <c:cat>
            <c:numRef>
              <c:f>Electricidad!$E$1:$H$1</c:f>
              <c:numCache>
                <c:formatCode>General</c:formatCode>
                <c:ptCount val="4"/>
              </c:numCache>
            </c:numRef>
          </c:cat>
          <c:val>
            <c:numRef>
              <c:f>Electricidad!$E$414:$H$414</c:f>
              <c:numCache>
                <c:formatCode>#,##0.0000</c:formatCode>
                <c:ptCount val="4"/>
                <c:pt idx="0">
                  <c:v>0.21249999999999999</c:v>
                </c:pt>
                <c:pt idx="1">
                  <c:v>0.2606</c:v>
                </c:pt>
                <c:pt idx="2" formatCode="#,##0.00000">
                  <c:v>0.24740000000000001</c:v>
                </c:pt>
                <c:pt idx="3">
                  <c:v>0.2621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2FE-4888-B2D9-0EFA04B3F43C}"/>
            </c:ext>
          </c:extLst>
        </c:ser>
        <c:ser>
          <c:idx val="4"/>
          <c:order val="4"/>
          <c:tx>
            <c:v>MCI-Fuel Oil-Petrolero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Electricidad!$E$415:$H$415</c:f>
              <c:numCache>
                <c:formatCode>#,##0.0000</c:formatCode>
                <c:ptCount val="4"/>
                <c:pt idx="0">
                  <c:v>0.59689999999999999</c:v>
                </c:pt>
                <c:pt idx="1">
                  <c:v>0.55130000000000001</c:v>
                </c:pt>
                <c:pt idx="2">
                  <c:v>0.57899999999999996</c:v>
                </c:pt>
                <c:pt idx="3">
                  <c:v>0.59189999999999998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2FE-4888-B2D9-0EFA04B3F43C}"/>
            </c:ext>
          </c:extLst>
        </c:ser>
        <c:ser>
          <c:idx val="5"/>
          <c:order val="5"/>
          <c:tx>
            <c:v>MCI-Gas Natural-Petrolero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Electricidad!$E$416:$H$416</c:f>
              <c:numCache>
                <c:formatCode>#,##0.0000</c:formatCode>
                <c:ptCount val="4"/>
                <c:pt idx="0">
                  <c:v>0.37669999999999998</c:v>
                </c:pt>
                <c:pt idx="1">
                  <c:v>0.34789999999999999</c:v>
                </c:pt>
                <c:pt idx="2">
                  <c:v>0.33389999999999997</c:v>
                </c:pt>
                <c:pt idx="3">
                  <c:v>0.37369999999999998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C2FE-4888-B2D9-0EFA04B3F43C}"/>
            </c:ext>
          </c:extLst>
        </c:ser>
        <c:ser>
          <c:idx val="6"/>
          <c:order val="6"/>
          <c:tx>
            <c:v>Turbogas-Diesel-Petrolero</c:v>
          </c:tx>
          <c:spPr>
            <a:solidFill>
              <a:srgbClr val="70AD47"/>
            </a:solidFill>
            <a:ln cmpd="sng">
              <a:solidFill>
                <a:srgbClr val="000000"/>
              </a:solidFill>
            </a:ln>
          </c:spPr>
          <c:invertIfNegative val="1"/>
          <c:cat>
            <c:numRef>
              <c:f>Electricidad!$E$1:$H$1</c:f>
              <c:numCache>
                <c:formatCode>General</c:formatCode>
                <c:ptCount val="4"/>
              </c:numCache>
            </c:numRef>
          </c:cat>
          <c:val>
            <c:numRef>
              <c:f>Electricidad!$E$419:$H$419</c:f>
              <c:numCache>
                <c:formatCode>#,##0.0000</c:formatCode>
                <c:ptCount val="4"/>
                <c:pt idx="0">
                  <c:v>0.37390000000000001</c:v>
                </c:pt>
                <c:pt idx="1">
                  <c:v>0.36699999999999999</c:v>
                </c:pt>
                <c:pt idx="2">
                  <c:v>0.32700000000000001</c:v>
                </c:pt>
                <c:pt idx="3">
                  <c:v>0.33350000000000002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C2FE-4888-B2D9-0EFA04B3F43C}"/>
            </c:ext>
          </c:extLst>
        </c:ser>
        <c:ser>
          <c:idx val="7"/>
          <c:order val="7"/>
          <c:tx>
            <c:v>Turbogas-Gas Natural-Petrolero</c:v>
          </c:tx>
          <c:spPr>
            <a:solidFill>
              <a:srgbClr val="ED7D31"/>
            </a:solidFill>
            <a:ln cmpd="sng">
              <a:solidFill>
                <a:srgbClr val="000000"/>
              </a:solidFill>
            </a:ln>
          </c:spPr>
          <c:invertIfNegative val="1"/>
          <c:cat>
            <c:numRef>
              <c:f>Electricidad!$E$1:$H$1</c:f>
              <c:numCache>
                <c:formatCode>General</c:formatCode>
                <c:ptCount val="4"/>
              </c:numCache>
            </c:numRef>
          </c:cat>
          <c:val>
            <c:numRef>
              <c:f>Electricidad!$E$420:$H$420</c:f>
              <c:numCache>
                <c:formatCode>#,##0.0000</c:formatCode>
                <c:ptCount val="4"/>
                <c:pt idx="0">
                  <c:v>0.38979999999999998</c:v>
                </c:pt>
                <c:pt idx="1">
                  <c:v>0.35499999999999998</c:v>
                </c:pt>
                <c:pt idx="2">
                  <c:v>0.33960000000000001</c:v>
                </c:pt>
                <c:pt idx="3">
                  <c:v>0.30680000000000002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C2FE-4888-B2D9-0EFA04B3F43C}"/>
            </c:ext>
          </c:extLst>
        </c:ser>
        <c:ser>
          <c:idx val="8"/>
          <c:order val="8"/>
          <c:tx>
            <c:v>Turbogas-Crudo-Petrolero</c:v>
          </c:tx>
          <c:spPr>
            <a:solidFill>
              <a:srgbClr val="A5A5A5"/>
            </a:solidFill>
            <a:ln cmpd="sng">
              <a:solidFill>
                <a:srgbClr val="000000"/>
              </a:solidFill>
            </a:ln>
          </c:spPr>
          <c:invertIfNegative val="1"/>
          <c:cat>
            <c:numRef>
              <c:f>Electricidad!$E$1:$H$1</c:f>
              <c:numCache>
                <c:formatCode>General</c:formatCode>
                <c:ptCount val="4"/>
              </c:numCache>
            </c:numRef>
          </c:cat>
          <c:val>
            <c:numRef>
              <c:f>Electricidad!$E$421:$H$421</c:f>
              <c:numCache>
                <c:formatCode>#,##0.0000</c:formatCode>
                <c:ptCount val="4"/>
                <c:pt idx="0">
                  <c:v>0.30830000000000002</c:v>
                </c:pt>
                <c:pt idx="1">
                  <c:v>0.18010000000000001</c:v>
                </c:pt>
                <c:pt idx="2">
                  <c:v>0.16</c:v>
                </c:pt>
                <c:pt idx="3">
                  <c:v>4.6600000000000003E-2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C2FE-4888-B2D9-0EFA04B3F43C}"/>
            </c:ext>
          </c:extLst>
        </c:ser>
        <c:ser>
          <c:idx val="9"/>
          <c:order val="9"/>
          <c:tx>
            <c:v>Turbovapor-Diesel-Electrificación Rural</c:v>
          </c:tx>
          <c:spPr>
            <a:solidFill>
              <a:srgbClr val="FFC000"/>
            </a:solidFill>
            <a:ln cmpd="sng">
              <a:solidFill>
                <a:srgbClr val="000000"/>
              </a:solidFill>
            </a:ln>
          </c:spPr>
          <c:invertIfNegative val="1"/>
          <c:cat>
            <c:numRef>
              <c:f>Electricidad!$E$1:$H$1</c:f>
              <c:numCache>
                <c:formatCode>General</c:formatCode>
                <c:ptCount val="4"/>
              </c:numCache>
            </c:numRef>
          </c:cat>
          <c:val>
            <c:numRef>
              <c:f>Electricidad!$E$424:$H$424</c:f>
              <c:numCache>
                <c:formatCode>#,##0.000000</c:formatCode>
                <c:ptCount val="4"/>
                <c:pt idx="0">
                  <c:v>8.0000000000000004E-4</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C2FE-4888-B2D9-0EFA04B3F43C}"/>
            </c:ext>
          </c:extLst>
        </c:ser>
        <c:ser>
          <c:idx val="10"/>
          <c:order val="10"/>
          <c:tx>
            <c:v>Turbovapor-Diesel-Cementera</c:v>
          </c:tx>
          <c:spPr>
            <a:solidFill>
              <a:srgbClr val="5B9BD5"/>
            </a:solidFill>
            <a:ln cmpd="sng">
              <a:solidFill>
                <a:srgbClr val="000000"/>
              </a:solidFill>
            </a:ln>
          </c:spPr>
          <c:invertIfNegative val="1"/>
          <c:cat>
            <c:numRef>
              <c:f>Electricidad!$E$1:$H$1</c:f>
              <c:numCache>
                <c:formatCode>General</c:formatCode>
                <c:ptCount val="4"/>
              </c:numCache>
            </c:numRef>
          </c:cat>
          <c:val>
            <c:numRef>
              <c:f>Electricidad!$E$426:$H$426</c:f>
              <c:numCache>
                <c:formatCode>#,##0.00000</c:formatCode>
                <c:ptCount val="4"/>
                <c:pt idx="0">
                  <c:v>1E-3</c:v>
                </c:pt>
                <c:pt idx="1">
                  <c:v>4.0000000000000002E-4</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C2FE-4888-B2D9-0EFA04B3F43C}"/>
            </c:ext>
          </c:extLst>
        </c:ser>
        <c:ser>
          <c:idx val="11"/>
          <c:order val="11"/>
          <c:invertIfNegative val="1"/>
          <c:cat>
            <c:numRef>
              <c:f>Electricidad!$E$1:$H$1</c:f>
              <c:numCache>
                <c:formatCode>General</c:formatCode>
                <c:ptCount val="4"/>
              </c:numCache>
            </c:numRef>
          </c:cat>
          <c:val>
            <c:numRef>
              <c:f>Electricidad!$E$428:$H$428</c:f>
              <c:numCache>
                <c:formatCode>#,##0.00</c:formatCode>
                <c:ptCount val="4"/>
                <c:pt idx="0">
                  <c:v>0.29389999999999999</c:v>
                </c:pt>
                <c:pt idx="1">
                  <c:v>0.27100000000000002</c:v>
                </c:pt>
                <c:pt idx="2">
                  <c:v>5.0700000000000002E-2</c:v>
                </c:pt>
                <c:pt idx="3">
                  <c:v>0.28039999999999998</c:v>
                </c:pt>
              </c:numCache>
            </c:numRef>
          </c:val>
          <c:extLst>
            <c:ext xmlns:c16="http://schemas.microsoft.com/office/drawing/2014/chart" uri="{C3380CC4-5D6E-409C-BE32-E72D297353CC}">
              <c16:uniqueId val="{0000000B-C2FE-4888-B2D9-0EFA04B3F43C}"/>
            </c:ext>
          </c:extLst>
        </c:ser>
        <c:dLbls>
          <c:showLegendKey val="0"/>
          <c:showVal val="0"/>
          <c:showCatName val="0"/>
          <c:showSerName val="0"/>
          <c:showPercent val="0"/>
          <c:showBubbleSize val="0"/>
        </c:dLbls>
        <c:gapWidth val="150"/>
        <c:overlap val="100"/>
        <c:axId val="550168432"/>
        <c:axId val="625537919"/>
      </c:barChart>
      <c:catAx>
        <c:axId val="5501684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25537919"/>
        <c:crosses val="autoZero"/>
        <c:auto val="1"/>
        <c:lblAlgn val="ctr"/>
        <c:lblOffset val="100"/>
        <c:noMultiLvlLbl val="1"/>
      </c:catAx>
      <c:valAx>
        <c:axId val="62553791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55016843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(SNI)</a:t>
            </a:r>
          </a:p>
        </c:rich>
      </c:tx>
      <c:overlay val="0"/>
    </c:title>
    <c:autoTitleDeleted val="0"/>
    <c:plotArea>
      <c:layout/>
      <c:barChart>
        <c:barDir val="col"/>
        <c:grouping val="clustered"/>
        <c:varyColors val="1"/>
        <c:ser>
          <c:idx val="0"/>
          <c:order val="0"/>
          <c:tx>
            <c:v>Biomasa-Turbovapor-Bagazo de Caña</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Electricidad!$E$530:$H$530</c:f>
              <c:numCache>
                <c:formatCode>#,##0.0000</c:formatCode>
                <c:ptCount val="4"/>
                <c:pt idx="0">
                  <c:v>1.3623000000000001</c:v>
                </c:pt>
                <c:pt idx="1">
                  <c:v>1.4731000000000001</c:v>
                </c:pt>
                <c:pt idx="2">
                  <c:v>1.5194000000000001</c:v>
                </c:pt>
                <c:pt idx="3">
                  <c:v>1.3275999999999999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4-43C4-89FA-A0868021FA56}"/>
            </c:ext>
          </c:extLst>
        </c:ser>
        <c:ser>
          <c:idx val="1"/>
          <c:order val="1"/>
          <c:tx>
            <c:v>Eólica</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Electricidad!$E$533:$H$533</c:f>
              <c:numCache>
                <c:formatCode>#,##0.0000</c:formatCode>
                <c:ptCount val="4"/>
                <c:pt idx="0">
                  <c:v>0.26250000000000001</c:v>
                </c:pt>
                <c:pt idx="1">
                  <c:v>0.28489999999999999</c:v>
                </c:pt>
                <c:pt idx="2">
                  <c:v>0.25519999999999998</c:v>
                </c:pt>
                <c:pt idx="3">
                  <c:v>0.21390000000000001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4-43C4-89FA-A0868021FA56}"/>
            </c:ext>
          </c:extLst>
        </c:ser>
        <c:ser>
          <c:idx val="2"/>
          <c:order val="2"/>
          <c:tx>
            <c:v>Hidraúlica</c:v>
          </c:tx>
          <c:spPr>
            <a:solidFill>
              <a:srgbClr val="FFC000"/>
            </a:solidFill>
            <a:ln cmpd="sng">
              <a:solidFill>
                <a:srgbClr val="000000"/>
              </a:solidFill>
            </a:ln>
          </c:spPr>
          <c:invertIfNegative val="1"/>
          <c:cat>
            <c:numRef>
              <c:f>Electricidad!$E$1:$H$1</c:f>
              <c:numCache>
                <c:formatCode>General</c:formatCode>
                <c:ptCount val="4"/>
              </c:numCache>
            </c:numRef>
          </c:cat>
          <c:val>
            <c:numRef>
              <c:f>Electricidad!$E$534:$H$534</c:f>
              <c:numCache>
                <c:formatCode>#,##0.0000</c:formatCode>
                <c:ptCount val="4"/>
                <c:pt idx="0">
                  <c:v>73.588099999999997</c:v>
                </c:pt>
                <c:pt idx="1">
                  <c:v>87.6892</c:v>
                </c:pt>
                <c:pt idx="2">
                  <c:v>86.595299999999995</c:v>
                </c:pt>
                <c:pt idx="3">
                  <c:v>91.029600000000002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084-43C4-89FA-A0868021FA56}"/>
            </c:ext>
          </c:extLst>
        </c:ser>
        <c:ser>
          <c:idx val="3"/>
          <c:order val="3"/>
          <c:tx>
            <c:v>Solar</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Electricidad!$E$541:$H$541</c:f>
              <c:numCache>
                <c:formatCode>#,##0.00</c:formatCode>
                <c:ptCount val="4"/>
                <c:pt idx="0">
                  <c:v>0.12379999999999999</c:v>
                </c:pt>
                <c:pt idx="1">
                  <c:v>0.11799999999999999</c:v>
                </c:pt>
                <c:pt idx="2">
                  <c:v>0.12039999999999999</c:v>
                </c:pt>
                <c:pt idx="3">
                  <c:v>0.1191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084-43C4-89FA-A0868021FA56}"/>
            </c:ext>
          </c:extLst>
        </c:ser>
        <c:ser>
          <c:idx val="4"/>
          <c:order val="4"/>
          <c:tx>
            <c:v>Térmica</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Electricidad!$E$542:$H$542</c:f>
              <c:numCache>
                <c:formatCode>#,##0.00</c:formatCode>
                <c:ptCount val="4"/>
                <c:pt idx="0">
                  <c:v>14.88</c:v>
                </c:pt>
                <c:pt idx="1">
                  <c:v>10.605600000000001</c:v>
                </c:pt>
                <c:pt idx="2">
                  <c:v>8.5881000000000007</c:v>
                </c:pt>
                <c:pt idx="3">
                  <c:v>7.5156000000000001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8084-43C4-89FA-A0868021FA56}"/>
            </c:ext>
          </c:extLst>
        </c:ser>
        <c:ser>
          <c:idx val="5"/>
          <c:order val="5"/>
          <c:invertIfNegative val="1"/>
          <c:cat>
            <c:numRef>
              <c:f>Electricidad!$E$1:$H$1</c:f>
              <c:numCache>
                <c:formatCode>General</c:formatCode>
                <c:ptCount val="4"/>
              </c:numCache>
            </c:numRef>
          </c:cat>
          <c:val>
            <c:numRef>
              <c:f>Electricidad!$E$553:$H$553</c:f>
              <c:numCache>
                <c:formatCode>#,##0.00</c:formatCode>
                <c:ptCount val="4"/>
                <c:pt idx="0">
                  <c:v>0.16220000000000001</c:v>
                </c:pt>
                <c:pt idx="1">
                  <c:v>0.14660000000000001</c:v>
                </c:pt>
                <c:pt idx="2">
                  <c:v>0.15670000000000001</c:v>
                </c:pt>
                <c:pt idx="3">
                  <c:v>0.15010000000000001</c:v>
                </c:pt>
              </c:numCache>
            </c:numRef>
          </c:val>
          <c:extLst>
            <c:ext xmlns:c16="http://schemas.microsoft.com/office/drawing/2014/chart" uri="{C3380CC4-5D6E-409C-BE32-E72D297353CC}">
              <c16:uniqueId val="{00000005-8084-43C4-89FA-A0868021FA56}"/>
            </c:ext>
          </c:extLst>
        </c:ser>
        <c:dLbls>
          <c:showLegendKey val="0"/>
          <c:showVal val="0"/>
          <c:showCatName val="0"/>
          <c:showSerName val="0"/>
          <c:showPercent val="0"/>
          <c:showBubbleSize val="0"/>
        </c:dLbls>
        <c:gapWidth val="150"/>
        <c:axId val="1325638085"/>
        <c:axId val="712407074"/>
      </c:barChart>
      <c:catAx>
        <c:axId val="13256380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12407074"/>
        <c:crosses val="autoZero"/>
        <c:auto val="1"/>
        <c:lblAlgn val="ctr"/>
        <c:lblOffset val="100"/>
        <c:noMultiLvlLbl val="1"/>
      </c:catAx>
      <c:valAx>
        <c:axId val="7124070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0" sourceLinked="1"/>
        <c:majorTickMark val="none"/>
        <c:minorTickMark val="none"/>
        <c:tickLblPos val="nextTo"/>
        <c:spPr>
          <a:ln/>
        </c:spPr>
        <c:txPr>
          <a:bodyPr/>
          <a:lstStyle/>
          <a:p>
            <a:pPr lvl="0">
              <a:defRPr sz="900" b="0" i="0">
                <a:solidFill>
                  <a:srgbClr val="000000"/>
                </a:solidFill>
                <a:latin typeface="+mn-lt"/>
              </a:defRPr>
            </a:pPr>
            <a:endParaRPr lang="en-US"/>
          </a:p>
        </c:txPr>
        <c:crossAx val="132563808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de Centrales Hidraúlicas (SNI)</a:t>
            </a:r>
          </a:p>
        </c:rich>
      </c:tx>
      <c:overlay val="0"/>
    </c:title>
    <c:autoTitleDeleted val="0"/>
    <c:plotArea>
      <c:layout/>
      <c:barChart>
        <c:barDir val="col"/>
        <c:grouping val="stacked"/>
        <c:varyColors val="1"/>
        <c:ser>
          <c:idx val="0"/>
          <c:order val="0"/>
          <c:tx>
            <c:v>Embalse-Pacífico-Pequeñas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Electricidad!$E$557:$H$557</c:f>
              <c:numCache>
                <c:formatCode>#,##0.00</c:formatCode>
                <c:ptCount val="4"/>
                <c:pt idx="0">
                  <c:v>0.37159999999999999</c:v>
                </c:pt>
                <c:pt idx="1">
                  <c:v>0.53610000000000002</c:v>
                </c:pt>
                <c:pt idx="2">
                  <c:v>0.50829999999999997</c:v>
                </c:pt>
                <c:pt idx="3">
                  <c:v>0.53559999999999997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70-4BCA-96E3-08E944126CA4}"/>
            </c:ext>
          </c:extLst>
        </c:ser>
        <c:ser>
          <c:idx val="1"/>
          <c:order val="1"/>
          <c:tx>
            <c:v>Embalse-Pacífico-Medianas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Electricidad!$E$558:$H$558</c:f>
              <c:numCache>
                <c:formatCode>#,##0.00</c:formatCode>
                <c:ptCount val="4"/>
                <c:pt idx="0">
                  <c:v>3.1625000000000001</c:v>
                </c:pt>
                <c:pt idx="1">
                  <c:v>4.2037000000000004</c:v>
                </c:pt>
                <c:pt idx="2">
                  <c:v>3.1303000000000001</c:v>
                </c:pt>
                <c:pt idx="3">
                  <c:v>3.7993000000000001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270-4BCA-96E3-08E944126CA4}"/>
            </c:ext>
          </c:extLst>
        </c:ser>
        <c:ser>
          <c:idx val="2"/>
          <c:order val="2"/>
          <c:tx>
            <c:v>Embalse-Amazonas-Medianas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Electricidad!$E$561:$H$561</c:f>
              <c:numCache>
                <c:formatCode>#,##0.00</c:formatCode>
                <c:ptCount val="4"/>
                <c:pt idx="0">
                  <c:v>6.4592999999999998</c:v>
                </c:pt>
                <c:pt idx="1">
                  <c:v>7.1669</c:v>
                </c:pt>
                <c:pt idx="2">
                  <c:v>6.6074999999999999</c:v>
                </c:pt>
                <c:pt idx="3">
                  <c:v>7.1262999999999996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70-4BCA-96E3-08E944126CA4}"/>
            </c:ext>
          </c:extLst>
        </c:ser>
        <c:ser>
          <c:idx val="3"/>
          <c:order val="3"/>
          <c:tx>
            <c:v>Embalse-Amazonas-Grandes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Electricidad!$E$562:$H$562</c:f>
              <c:numCache>
                <c:formatCode>#,##0.00</c:formatCode>
                <c:ptCount val="4"/>
                <c:pt idx="0">
                  <c:v>17.466100000000001</c:v>
                </c:pt>
                <c:pt idx="1">
                  <c:v>19.9786</c:v>
                </c:pt>
                <c:pt idx="2">
                  <c:v>18.5183</c:v>
                </c:pt>
                <c:pt idx="3">
                  <c:v>19.544899999999998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270-4BCA-96E3-08E944126CA4}"/>
            </c:ext>
          </c:extLst>
        </c:ser>
        <c:ser>
          <c:idx val="4"/>
          <c:order val="4"/>
          <c:tx>
            <c:v>Pasada-Pacífico-Pequeñas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Electricidad!$E$564:$H$564</c:f>
              <c:numCache>
                <c:formatCode>#,##0.00</c:formatCode>
                <c:ptCount val="4"/>
                <c:pt idx="0">
                  <c:v>0.96150000000000002</c:v>
                </c:pt>
                <c:pt idx="1">
                  <c:v>0.9667</c:v>
                </c:pt>
                <c:pt idx="2">
                  <c:v>1.0781000000000001</c:v>
                </c:pt>
                <c:pt idx="3">
                  <c:v>1.331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270-4BCA-96E3-08E944126CA4}"/>
            </c:ext>
          </c:extLst>
        </c:ser>
        <c:ser>
          <c:idx val="5"/>
          <c:order val="5"/>
          <c:tx>
            <c:v>Pasada-Pacífico-Medianas</c:v>
          </c:tx>
          <c:spPr>
            <a:solidFill>
              <a:srgbClr val="FFC000"/>
            </a:solidFill>
            <a:ln cmpd="sng">
              <a:solidFill>
                <a:srgbClr val="000000"/>
              </a:solidFill>
            </a:ln>
          </c:spPr>
          <c:invertIfNegative val="1"/>
          <c:cat>
            <c:numRef>
              <c:f>Electricidad!$E$1:$H$1</c:f>
              <c:numCache>
                <c:formatCode>General</c:formatCode>
                <c:ptCount val="4"/>
              </c:numCache>
            </c:numRef>
          </c:cat>
          <c:val>
            <c:numRef>
              <c:f>Electricidad!$E$565:$H$565</c:f>
              <c:numCache>
                <c:formatCode>#,##0.00</c:formatCode>
                <c:ptCount val="4"/>
                <c:pt idx="0">
                  <c:v>1.3862000000000001</c:v>
                </c:pt>
                <c:pt idx="1">
                  <c:v>4.7884000000000002</c:v>
                </c:pt>
                <c:pt idx="2">
                  <c:v>4.8201000000000001</c:v>
                </c:pt>
                <c:pt idx="3">
                  <c:v>5.4885000000000002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4270-4BCA-96E3-08E944126CA4}"/>
            </c:ext>
          </c:extLst>
        </c:ser>
        <c:ser>
          <c:idx val="6"/>
          <c:order val="6"/>
          <c:tx>
            <c:v>Pasada-Amazonas-Pequeñas</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Electricidad!$E$567:$H$567</c:f>
              <c:numCache>
                <c:formatCode>#,##0.00</c:formatCode>
                <c:ptCount val="4"/>
                <c:pt idx="0">
                  <c:v>9.6891999999999996</c:v>
                </c:pt>
                <c:pt idx="1">
                  <c:v>11.860099999999999</c:v>
                </c:pt>
                <c:pt idx="2">
                  <c:v>10.1968</c:v>
                </c:pt>
                <c:pt idx="3">
                  <c:v>10.9937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4270-4BCA-96E3-08E944126CA4}"/>
            </c:ext>
          </c:extLst>
        </c:ser>
        <c:ser>
          <c:idx val="7"/>
          <c:order val="7"/>
          <c:tx>
            <c:v>Pasada-Amazonas-Medianas</c:v>
          </c:tx>
          <c:spPr>
            <a:solidFill>
              <a:srgbClr val="FFC000"/>
            </a:solidFill>
            <a:ln cmpd="sng">
              <a:solidFill>
                <a:srgbClr val="000000"/>
              </a:solidFill>
            </a:ln>
          </c:spPr>
          <c:invertIfNegative val="1"/>
          <c:cat>
            <c:numRef>
              <c:f>Electricidad!$E$1:$H$1</c:f>
              <c:numCache>
                <c:formatCode>General</c:formatCode>
                <c:ptCount val="4"/>
              </c:numCache>
            </c:numRef>
          </c:cat>
          <c:val>
            <c:numRef>
              <c:f>Electricidad!$E$568:$H$568</c:f>
              <c:numCache>
                <c:formatCode>#,##0.00</c:formatCode>
                <c:ptCount val="4"/>
                <c:pt idx="0">
                  <c:v>4.3959999999999999</c:v>
                </c:pt>
                <c:pt idx="1">
                  <c:v>6.8475000000000001</c:v>
                </c:pt>
                <c:pt idx="2">
                  <c:v>8.7922999999999991</c:v>
                </c:pt>
                <c:pt idx="3">
                  <c:v>9.4085000000000001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4270-4BCA-96E3-08E944126CA4}"/>
            </c:ext>
          </c:extLst>
        </c:ser>
        <c:ser>
          <c:idx val="8"/>
          <c:order val="8"/>
          <c:invertIfNegative val="1"/>
          <c:cat>
            <c:numRef>
              <c:f>Electricidad!$E$1:$H$1</c:f>
              <c:numCache>
                <c:formatCode>General</c:formatCode>
                <c:ptCount val="4"/>
              </c:numCache>
            </c:numRef>
          </c:cat>
          <c:val>
            <c:numRef>
              <c:f>Electricidad!$E$569:$H$569</c:f>
              <c:numCache>
                <c:formatCode>#,##0.00</c:formatCode>
                <c:ptCount val="4"/>
                <c:pt idx="0">
                  <c:v>29.6967</c:v>
                </c:pt>
                <c:pt idx="1">
                  <c:v>31.340900000000001</c:v>
                </c:pt>
                <c:pt idx="2">
                  <c:v>32.949800000000003</c:v>
                </c:pt>
                <c:pt idx="3">
                  <c:v>32.796599999999998</c:v>
                </c:pt>
              </c:numCache>
            </c:numRef>
          </c:val>
          <c:extLst>
            <c:ext xmlns:c16="http://schemas.microsoft.com/office/drawing/2014/chart" uri="{C3380CC4-5D6E-409C-BE32-E72D297353CC}">
              <c16:uniqueId val="{00000008-4270-4BCA-96E3-08E944126CA4}"/>
            </c:ext>
          </c:extLst>
        </c:ser>
        <c:dLbls>
          <c:showLegendKey val="0"/>
          <c:showVal val="0"/>
          <c:showCatName val="0"/>
          <c:showSerName val="0"/>
          <c:showPercent val="0"/>
          <c:showBubbleSize val="0"/>
        </c:dLbls>
        <c:gapWidth val="150"/>
        <c:overlap val="100"/>
        <c:axId val="1804291210"/>
        <c:axId val="27371996"/>
      </c:barChart>
      <c:catAx>
        <c:axId val="180429121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7371996"/>
        <c:crosses val="autoZero"/>
        <c:auto val="1"/>
        <c:lblAlgn val="ctr"/>
        <c:lblOffset val="100"/>
        <c:noMultiLvlLbl val="1"/>
      </c:catAx>
      <c:valAx>
        <c:axId val="273719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80429121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de Centrales Térmicas (SNI)</a:t>
            </a:r>
          </a:p>
        </c:rich>
      </c:tx>
      <c:overlay val="0"/>
    </c:title>
    <c:autoTitleDeleted val="0"/>
    <c:plotArea>
      <c:layout/>
      <c:barChart>
        <c:barDir val="col"/>
        <c:grouping val="stacked"/>
        <c:varyColors val="1"/>
        <c:ser>
          <c:idx val="0"/>
          <c:order val="0"/>
          <c:tx>
            <c:v>MCI-Diesel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Electricidad!$E$544:$H$544</c:f>
              <c:numCache>
                <c:formatCode>#,##0.00</c:formatCode>
                <c:ptCount val="4"/>
                <c:pt idx="0">
                  <c:v>0.78700000000000003</c:v>
                </c:pt>
                <c:pt idx="1">
                  <c:v>8.4000000000000005E-2</c:v>
                </c:pt>
                <c:pt idx="2" formatCode="#,##0.0000">
                  <c:v>0.28560000000000002</c:v>
                </c:pt>
                <c:pt idx="3" formatCode="#,##0.0000">
                  <c:v>0.13619999999999999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5F-4528-A7DD-FD4CC3D0F097}"/>
            </c:ext>
          </c:extLst>
        </c:ser>
        <c:ser>
          <c:idx val="1"/>
          <c:order val="1"/>
          <c:tx>
            <c:v>MCI-Fuel oil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Electricidad!$E$545:$H$545</c:f>
              <c:numCache>
                <c:formatCode>#,##0.00</c:formatCode>
                <c:ptCount val="4"/>
                <c:pt idx="0">
                  <c:v>3.5324</c:v>
                </c:pt>
                <c:pt idx="1">
                  <c:v>2.39</c:v>
                </c:pt>
                <c:pt idx="2" formatCode="#,##0.0000">
                  <c:v>1.9516</c:v>
                </c:pt>
                <c:pt idx="3" formatCode="#,##0.0000">
                  <c:v>1.5744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C5F-4528-A7DD-FD4CC3D0F097}"/>
            </c:ext>
          </c:extLst>
        </c:ser>
        <c:ser>
          <c:idx val="2"/>
          <c:order val="2"/>
          <c:tx>
            <c:v>MCI-Otro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Electricidad!$E$546:$H$546</c:f>
              <c:numCache>
                <c:formatCode>#,##0.00000</c:formatCode>
                <c:ptCount val="4"/>
                <c:pt idx="0">
                  <c:v>1.6000000000000001E-3</c:v>
                </c:pt>
                <c:pt idx="1">
                  <c:v>0</c:v>
                </c:pt>
                <c:pt idx="2" formatCode="#,##0.0000">
                  <c:v>0</c:v>
                </c:pt>
                <c:pt idx="3" formatCode="#,##0.000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C5F-4528-A7DD-FD4CC3D0F097}"/>
            </c:ext>
          </c:extLst>
        </c:ser>
        <c:ser>
          <c:idx val="3"/>
          <c:order val="3"/>
          <c:tx>
            <c:v>MCI-Residuo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Electricidad!$E$547:$H$547</c:f>
              <c:numCache>
                <c:formatCode>#,##0.00</c:formatCode>
                <c:ptCount val="4"/>
                <c:pt idx="0">
                  <c:v>0.84199999999999997</c:v>
                </c:pt>
                <c:pt idx="1">
                  <c:v>0.56789999999999996</c:v>
                </c:pt>
                <c:pt idx="2" formatCode="#,##0.0000">
                  <c:v>0.55249999999999999</c:v>
                </c:pt>
                <c:pt idx="3" formatCode="#,##0.0000">
                  <c:v>0.68320000000000003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C5F-4528-A7DD-FD4CC3D0F097}"/>
            </c:ext>
          </c:extLst>
        </c:ser>
        <c:ser>
          <c:idx val="4"/>
          <c:order val="4"/>
          <c:tx>
            <c:v>Turbogas-Diesel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Electricidad!$E$549:$H$549</c:f>
              <c:numCache>
                <c:formatCode>#,##0.00</c:formatCode>
                <c:ptCount val="4"/>
                <c:pt idx="0">
                  <c:v>0.4269</c:v>
                </c:pt>
                <c:pt idx="1">
                  <c:v>0.2442</c:v>
                </c:pt>
                <c:pt idx="2" formatCode="#,##0.0000">
                  <c:v>8.2500000000000004E-2</c:v>
                </c:pt>
                <c:pt idx="3" formatCode="#,##0.0000">
                  <c:v>5.4899999999999997E-2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C5F-4528-A7DD-FD4CC3D0F097}"/>
            </c:ext>
          </c:extLst>
        </c:ser>
        <c:ser>
          <c:idx val="5"/>
          <c:order val="5"/>
          <c:tx>
            <c:v>Turbogas-Gas Natural</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Electricidad!$E$550:$H$550</c:f>
              <c:numCache>
                <c:formatCode>#,##0.00</c:formatCode>
                <c:ptCount val="4"/>
                <c:pt idx="0">
                  <c:v>3.2056</c:v>
                </c:pt>
                <c:pt idx="1">
                  <c:v>2.9214000000000002</c:v>
                </c:pt>
                <c:pt idx="2">
                  <c:v>2.4403000000000001</c:v>
                </c:pt>
                <c:pt idx="3">
                  <c:v>2.0621999999999998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EC5F-4528-A7DD-FD4CC3D0F097}"/>
            </c:ext>
          </c:extLst>
        </c:ser>
        <c:ser>
          <c:idx val="6"/>
          <c:order val="6"/>
          <c:invertIfNegative val="1"/>
          <c:cat>
            <c:numRef>
              <c:f>Electricidad!$E$1:$H$1</c:f>
              <c:numCache>
                <c:formatCode>General</c:formatCode>
                <c:ptCount val="4"/>
              </c:numCache>
            </c:numRef>
          </c:cat>
          <c:val>
            <c:numRef>
              <c:f>Electricidad!$E$552:$H$552</c:f>
              <c:numCache>
                <c:formatCode>#,##0.00</c:formatCode>
                <c:ptCount val="4"/>
                <c:pt idx="0">
                  <c:v>6.085</c:v>
                </c:pt>
                <c:pt idx="1">
                  <c:v>4.3956999999999997</c:v>
                </c:pt>
                <c:pt idx="2">
                  <c:v>3.2778999999999998</c:v>
                </c:pt>
                <c:pt idx="3">
                  <c:v>3.0028000000000001</c:v>
                </c:pt>
              </c:numCache>
            </c:numRef>
          </c:val>
          <c:extLst>
            <c:ext xmlns:c16="http://schemas.microsoft.com/office/drawing/2014/chart" uri="{C3380CC4-5D6E-409C-BE32-E72D297353CC}">
              <c16:uniqueId val="{00000006-EC5F-4528-A7DD-FD4CC3D0F097}"/>
            </c:ext>
          </c:extLst>
        </c:ser>
        <c:dLbls>
          <c:showLegendKey val="0"/>
          <c:showVal val="0"/>
          <c:showCatName val="0"/>
          <c:showSerName val="0"/>
          <c:showPercent val="0"/>
          <c:showBubbleSize val="0"/>
        </c:dLbls>
        <c:gapWidth val="150"/>
        <c:overlap val="100"/>
        <c:axId val="1587188511"/>
        <c:axId val="1898413420"/>
      </c:barChart>
      <c:catAx>
        <c:axId val="158718851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98413420"/>
        <c:crosses val="autoZero"/>
        <c:auto val="1"/>
        <c:lblAlgn val="ctr"/>
        <c:lblOffset val="100"/>
        <c:noMultiLvlLbl val="1"/>
      </c:catAx>
      <c:valAx>
        <c:axId val="18984134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58718851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(Sistemas Aislados)</a:t>
            </a:r>
          </a:p>
        </c:rich>
      </c:tx>
      <c:overlay val="0"/>
    </c:title>
    <c:autoTitleDeleted val="0"/>
    <c:plotArea>
      <c:layout/>
      <c:barChart>
        <c:barDir val="col"/>
        <c:grouping val="clustered"/>
        <c:varyColors val="1"/>
        <c:ser>
          <c:idx val="0"/>
          <c:order val="0"/>
          <c:tx>
            <c:v>Eólica-Galápagos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Electricidad!$E$574:$H$574</c:f>
              <c:numCache>
                <c:formatCode>#,##0.00</c:formatCode>
                <c:ptCount val="4"/>
                <c:pt idx="0">
                  <c:v>2.3300000000000001E-2</c:v>
                </c:pt>
                <c:pt idx="1">
                  <c:v>1.9699999999999999E-2</c:v>
                </c:pt>
                <c:pt idx="2">
                  <c:v>1.95E-2</c:v>
                </c:pt>
                <c:pt idx="3">
                  <c:v>7.0000000000000001E-3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7A9-4374-96D7-DEDC3F51CDB6}"/>
            </c:ext>
          </c:extLst>
        </c:ser>
        <c:ser>
          <c:idx val="1"/>
          <c:order val="1"/>
          <c:tx>
            <c:v>Hidraúlica</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Electricidad!$E$576:$H$576</c:f>
              <c:numCache>
                <c:formatCode>#,##0.00</c:formatCode>
                <c:ptCount val="4"/>
                <c:pt idx="0">
                  <c:v>5.8500000000000003E-2</c:v>
                </c:pt>
                <c:pt idx="1">
                  <c:v>7.6399999999999996E-2</c:v>
                </c:pt>
                <c:pt idx="2">
                  <c:v>7.2700000000000001E-2</c:v>
                </c:pt>
                <c:pt idx="3">
                  <c:v>6.8000000000000005E-2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7A9-4374-96D7-DEDC3F51CDB6}"/>
            </c:ext>
          </c:extLst>
        </c:ser>
        <c:ser>
          <c:idx val="2"/>
          <c:order val="2"/>
          <c:tx>
            <c:v>Solar</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Electricidad!$E$584:$H$584</c:f>
              <c:numCache>
                <c:formatCode>#,##0.00</c:formatCode>
                <c:ptCount val="4"/>
                <c:pt idx="0">
                  <c:v>1.18E-2</c:v>
                </c:pt>
                <c:pt idx="1">
                  <c:v>1.6E-2</c:v>
                </c:pt>
                <c:pt idx="2">
                  <c:v>1.41E-2</c:v>
                </c:pt>
                <c:pt idx="3">
                  <c:v>1.2200000000000001E-2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A9-4374-96D7-DEDC3F51CDB6}"/>
            </c:ext>
          </c:extLst>
        </c:ser>
        <c:ser>
          <c:idx val="3"/>
          <c:order val="3"/>
          <c:invertIfNegative val="1"/>
          <c:cat>
            <c:numRef>
              <c:f>Electricidad!$E$1:$H$1</c:f>
              <c:numCache>
                <c:formatCode>General</c:formatCode>
                <c:ptCount val="4"/>
              </c:numCache>
            </c:numRef>
          </c:cat>
          <c:val>
            <c:numRef>
              <c:f>Electricidad!$E$587:$H$587</c:f>
              <c:numCache>
                <c:formatCode>#,##0.00</c:formatCode>
                <c:ptCount val="4"/>
                <c:pt idx="0">
                  <c:v>13.681900000000001</c:v>
                </c:pt>
                <c:pt idx="1">
                  <c:v>14.561299999999999</c:v>
                </c:pt>
                <c:pt idx="2">
                  <c:v>13.953900000000001</c:v>
                </c:pt>
                <c:pt idx="3">
                  <c:v>14.2791</c:v>
                </c:pt>
              </c:numCache>
            </c:numRef>
          </c:val>
          <c:extLst>
            <c:ext xmlns:c16="http://schemas.microsoft.com/office/drawing/2014/chart" uri="{C3380CC4-5D6E-409C-BE32-E72D297353CC}">
              <c16:uniqueId val="{00000003-B7A9-4374-96D7-DEDC3F51CDB6}"/>
            </c:ext>
          </c:extLst>
        </c:ser>
        <c:dLbls>
          <c:showLegendKey val="0"/>
          <c:showVal val="0"/>
          <c:showCatName val="0"/>
          <c:showSerName val="0"/>
          <c:showPercent val="0"/>
          <c:showBubbleSize val="0"/>
        </c:dLbls>
        <c:gapWidth val="150"/>
        <c:axId val="1446845702"/>
        <c:axId val="1042204468"/>
      </c:barChart>
      <c:catAx>
        <c:axId val="144684570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42204468"/>
        <c:crosses val="autoZero"/>
        <c:auto val="1"/>
        <c:lblAlgn val="ctr"/>
        <c:lblOffset val="100"/>
        <c:noMultiLvlLbl val="1"/>
      </c:catAx>
      <c:valAx>
        <c:axId val="10422044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44684570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de Centrales Hidraúlicas (Sistemas Aislados)</a:t>
            </a:r>
          </a:p>
        </c:rich>
      </c:tx>
      <c:overlay val="0"/>
    </c:title>
    <c:autoTitleDeleted val="0"/>
    <c:plotArea>
      <c:layout/>
      <c:barChart>
        <c:barDir val="col"/>
        <c:grouping val="stacked"/>
        <c:varyColors val="1"/>
        <c:ser>
          <c:idx val="0"/>
          <c:order val="0"/>
          <c:tx>
            <c:v>Pasada-Amazonas-Electrificación Rural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Electricidad!$E$579:$H$579</c:f>
              <c:numCache>
                <c:formatCode>#,##0.00</c:formatCode>
                <c:ptCount val="4"/>
                <c:pt idx="0">
                  <c:v>1.7000000000000001E-2</c:v>
                </c:pt>
                <c:pt idx="1">
                  <c:v>2.01E-2</c:v>
                </c:pt>
                <c:pt idx="2">
                  <c:v>1.7399999999999999E-2</c:v>
                </c:pt>
                <c:pt idx="3">
                  <c:v>1.2800000000000001E-2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6B-44CD-AE40-02725F25E0F0}"/>
            </c:ext>
          </c:extLst>
        </c:ser>
        <c:ser>
          <c:idx val="1"/>
          <c:order val="1"/>
          <c:tx>
            <c:v>Pasada-Pacífico-Electrificación Rural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Electricidad!$E$580:$H$580</c:f>
              <c:numCache>
                <c:formatCode>#,##0.00</c:formatCode>
                <c:ptCount val="4"/>
                <c:pt idx="0">
                  <c:v>3.6499999999999998E-2</c:v>
                </c:pt>
                <c:pt idx="1">
                  <c:v>4.1000000000000002E-2</c:v>
                </c:pt>
                <c:pt idx="2">
                  <c:v>5.4899999999999997E-2</c:v>
                </c:pt>
                <c:pt idx="3">
                  <c:v>5.4300000000000001E-2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A6B-44CD-AE40-02725F25E0F0}"/>
            </c:ext>
          </c:extLst>
        </c:ser>
        <c:ser>
          <c:idx val="2"/>
          <c:order val="2"/>
          <c:invertIfNegative val="1"/>
          <c:cat>
            <c:numRef>
              <c:f>Electricidad!$E$1:$H$1</c:f>
              <c:numCache>
                <c:formatCode>General</c:formatCode>
                <c:ptCount val="4"/>
              </c:numCache>
            </c:numRef>
          </c:cat>
          <c:val>
            <c:numRef>
              <c:f>Electricidad!$E$582:$H$582</c:f>
              <c:numCache>
                <c:formatCode>#,##0.000</c:formatCode>
                <c:ptCount val="4"/>
                <c:pt idx="0">
                  <c:v>4.8999999999999998E-3</c:v>
                </c:pt>
                <c:pt idx="1">
                  <c:v>1.5299999999999999E-2</c:v>
                </c:pt>
                <c:pt idx="2">
                  <c:v>4.0000000000000002E-4</c:v>
                </c:pt>
                <c:pt idx="3">
                  <c:v>8.9999999999999998E-4</c:v>
                </c:pt>
              </c:numCache>
            </c:numRef>
          </c:val>
          <c:extLst>
            <c:ext xmlns:c16="http://schemas.microsoft.com/office/drawing/2014/chart" uri="{C3380CC4-5D6E-409C-BE32-E72D297353CC}">
              <c16:uniqueId val="{00000002-6A6B-44CD-AE40-02725F25E0F0}"/>
            </c:ext>
          </c:extLst>
        </c:ser>
        <c:dLbls>
          <c:showLegendKey val="0"/>
          <c:showVal val="0"/>
          <c:showCatName val="0"/>
          <c:showSerName val="0"/>
          <c:showPercent val="0"/>
          <c:showBubbleSize val="0"/>
        </c:dLbls>
        <c:gapWidth val="150"/>
        <c:overlap val="100"/>
        <c:axId val="1500276121"/>
        <c:axId val="2089652986"/>
      </c:barChart>
      <c:catAx>
        <c:axId val="15002761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89652986"/>
        <c:crosses val="autoZero"/>
        <c:auto val="1"/>
        <c:lblAlgn val="ctr"/>
        <c:lblOffset val="100"/>
        <c:noMultiLvlLbl val="1"/>
      </c:catAx>
      <c:valAx>
        <c:axId val="20896529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50027612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de Centrales Solares (Sistemas Aislados)</a:t>
            </a:r>
          </a:p>
        </c:rich>
      </c:tx>
      <c:overlay val="0"/>
    </c:title>
    <c:autoTitleDeleted val="0"/>
    <c:plotArea>
      <c:layout/>
      <c:barChart>
        <c:barDir val="col"/>
        <c:grouping val="stacked"/>
        <c:varyColors val="1"/>
        <c:ser>
          <c:idx val="0"/>
          <c:order val="0"/>
          <c:tx>
            <c:v>Solar-Galápagos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Electricidad!$E$585:$H$585</c:f>
              <c:numCache>
                <c:formatCode>#,##0.000</c:formatCode>
                <c:ptCount val="4"/>
                <c:pt idx="0">
                  <c:v>2.7000000000000001E-3</c:v>
                </c:pt>
                <c:pt idx="1">
                  <c:v>2.5999999999999999E-3</c:v>
                </c:pt>
                <c:pt idx="2">
                  <c:v>2.5999999999999999E-3</c:v>
                </c:pt>
                <c:pt idx="3">
                  <c:v>2.5999999999999999E-3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7C-4AA1-8AF3-9868F7A616B5}"/>
            </c:ext>
          </c:extLst>
        </c:ser>
        <c:ser>
          <c:idx val="1"/>
          <c:order val="1"/>
          <c:invertIfNegative val="1"/>
          <c:cat>
            <c:numRef>
              <c:f>Electricidad!$E$1:$H$1</c:f>
              <c:numCache>
                <c:formatCode>General</c:formatCode>
                <c:ptCount val="4"/>
              </c:numCache>
            </c:numRef>
          </c:cat>
          <c:val>
            <c:numRef>
              <c:f>Electricidad!$E$586:$H$586</c:f>
              <c:numCache>
                <c:formatCode>#,##0.000</c:formatCode>
                <c:ptCount val="4"/>
                <c:pt idx="0">
                  <c:v>9.1000000000000004E-3</c:v>
                </c:pt>
                <c:pt idx="1">
                  <c:v>1.34E-2</c:v>
                </c:pt>
                <c:pt idx="2">
                  <c:v>1.14E-2</c:v>
                </c:pt>
                <c:pt idx="3">
                  <c:v>9.5999999999999992E-3</c:v>
                </c:pt>
              </c:numCache>
            </c:numRef>
          </c:val>
          <c:extLst>
            <c:ext xmlns:c16="http://schemas.microsoft.com/office/drawing/2014/chart" uri="{C3380CC4-5D6E-409C-BE32-E72D297353CC}">
              <c16:uniqueId val="{00000001-FF7C-4AA1-8AF3-9868F7A616B5}"/>
            </c:ext>
          </c:extLst>
        </c:ser>
        <c:dLbls>
          <c:showLegendKey val="0"/>
          <c:showVal val="0"/>
          <c:showCatName val="0"/>
          <c:showSerName val="0"/>
          <c:showPercent val="0"/>
          <c:showBubbleSize val="0"/>
        </c:dLbls>
        <c:gapWidth val="150"/>
        <c:overlap val="100"/>
        <c:axId val="1663555763"/>
        <c:axId val="1964235280"/>
      </c:barChart>
      <c:catAx>
        <c:axId val="166355576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64235280"/>
        <c:crosses val="autoZero"/>
        <c:auto val="1"/>
        <c:lblAlgn val="ctr"/>
        <c:lblOffset val="100"/>
        <c:noMultiLvlLbl val="1"/>
      </c:catAx>
      <c:valAx>
        <c:axId val="19642352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166355576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Technology Annual Activity Lower Limit de Centrales Térmicas (Sistemas Aislados)</a:t>
            </a:r>
          </a:p>
        </c:rich>
      </c:tx>
      <c:overlay val="0"/>
    </c:title>
    <c:autoTitleDeleted val="0"/>
    <c:plotArea>
      <c:layout/>
      <c:barChart>
        <c:barDir val="col"/>
        <c:grouping val="stacked"/>
        <c:varyColors val="1"/>
        <c:ser>
          <c:idx val="0"/>
          <c:order val="0"/>
          <c:tx>
            <c:v>MCI-Diesel-Electrificación Rural</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Electricidad!$E$590:$H$590</c:f>
              <c:numCache>
                <c:formatCode>#,##0.00</c:formatCode>
                <c:ptCount val="4"/>
                <c:pt idx="0">
                  <c:v>0.42830000000000001</c:v>
                </c:pt>
                <c:pt idx="1">
                  <c:v>0.38700000000000001</c:v>
                </c:pt>
                <c:pt idx="2">
                  <c:v>0.42609999999999998</c:v>
                </c:pt>
                <c:pt idx="3">
                  <c:v>5.3600000000000002E-2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33-41BE-98F4-4590B9145877}"/>
            </c:ext>
          </c:extLst>
        </c:ser>
        <c:ser>
          <c:idx val="1"/>
          <c:order val="1"/>
          <c:tx>
            <c:v>MCI-Diesel-Galápagos</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Electricidad!$E$592:$H$592</c:f>
              <c:numCache>
                <c:formatCode>#,##0.00</c:formatCode>
                <c:ptCount val="4"/>
                <c:pt idx="0">
                  <c:v>0.16569999999999999</c:v>
                </c:pt>
                <c:pt idx="1">
                  <c:v>0.1709</c:v>
                </c:pt>
                <c:pt idx="2">
                  <c:v>0.15</c:v>
                </c:pt>
                <c:pt idx="3">
                  <c:v>0.16569999999999999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33-41BE-98F4-4590B9145877}"/>
            </c:ext>
          </c:extLst>
        </c:ser>
        <c:ser>
          <c:idx val="2"/>
          <c:order val="2"/>
          <c:tx>
            <c:v>MCI-Crudo-Petrolero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Electricidad!$E$594:$H$594</c:f>
              <c:numCache>
                <c:formatCode>#,##0.0000</c:formatCode>
                <c:ptCount val="4"/>
                <c:pt idx="0">
                  <c:v>6.1117999999999997</c:v>
                </c:pt>
                <c:pt idx="1">
                  <c:v>6.0220000000000002</c:v>
                </c:pt>
                <c:pt idx="2">
                  <c:v>5.8303000000000003</c:v>
                </c:pt>
                <c:pt idx="3">
                  <c:v>6.18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33-41BE-98F4-4590B9145877}"/>
            </c:ext>
          </c:extLst>
        </c:ser>
        <c:ser>
          <c:idx val="3"/>
          <c:order val="3"/>
          <c:tx>
            <c:v>MCI-Diesel-Petrolero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Electricidad!$E$595:$H$595</c:f>
              <c:numCache>
                <c:formatCode>#,##0.0000</c:formatCode>
                <c:ptCount val="4"/>
                <c:pt idx="0">
                  <c:v>3.3464</c:v>
                </c:pt>
                <c:pt idx="1">
                  <c:v>4.5650000000000004</c:v>
                </c:pt>
                <c:pt idx="2" formatCode="#,##0.00000">
                  <c:v>4.3478000000000003</c:v>
                </c:pt>
                <c:pt idx="3">
                  <c:v>4.2096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5C33-41BE-98F4-4590B9145877}"/>
            </c:ext>
          </c:extLst>
        </c:ser>
        <c:ser>
          <c:idx val="4"/>
          <c:order val="4"/>
          <c:tx>
            <c:v>MCI-Fuel Oil-Petrolero</c:v>
          </c:tx>
          <c:spPr>
            <a:solidFill>
              <a:srgbClr val="70AD47"/>
            </a:solidFill>
            <a:ln cmpd="sng">
              <a:solidFill>
                <a:srgbClr val="000000"/>
              </a:solidFill>
            </a:ln>
          </c:spPr>
          <c:invertIfNegative val="1"/>
          <c:cat>
            <c:numRef>
              <c:f>Electricidad!$E$1:$H$1</c:f>
              <c:numCache>
                <c:formatCode>General</c:formatCode>
                <c:ptCount val="4"/>
              </c:numCache>
            </c:numRef>
          </c:cat>
          <c:val>
            <c:numRef>
              <c:f>Electricidad!$E$596:$H$596</c:f>
              <c:numCache>
                <c:formatCode>#,##0.0000</c:formatCode>
                <c:ptCount val="4"/>
                <c:pt idx="0">
                  <c:v>0.25490000000000002</c:v>
                </c:pt>
                <c:pt idx="1">
                  <c:v>0.23549999999999999</c:v>
                </c:pt>
                <c:pt idx="2">
                  <c:v>0.24729999999999999</c:v>
                </c:pt>
                <c:pt idx="3">
                  <c:v>0.25280000000000002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5C33-41BE-98F4-4590B9145877}"/>
            </c:ext>
          </c:extLst>
        </c:ser>
        <c:ser>
          <c:idx val="5"/>
          <c:order val="5"/>
          <c:tx>
            <c:v>MCI-Gas Natural-Petrolero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Electricidad!$E$597:$H$597</c:f>
              <c:numCache>
                <c:formatCode>#,##0.0000</c:formatCode>
                <c:ptCount val="4"/>
                <c:pt idx="0">
                  <c:v>2.1347999999999998</c:v>
                </c:pt>
                <c:pt idx="1">
                  <c:v>2.0259999999999998</c:v>
                </c:pt>
                <c:pt idx="2">
                  <c:v>1.9598</c:v>
                </c:pt>
                <c:pt idx="3">
                  <c:v>2.1863999999999999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5C33-41BE-98F4-4590B9145877}"/>
            </c:ext>
          </c:extLst>
        </c:ser>
        <c:ser>
          <c:idx val="6"/>
          <c:order val="6"/>
          <c:tx>
            <c:v>Turbogas-Diesel-Petrolero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Electricidad!$E$600:$H$600</c:f>
              <c:numCache>
                <c:formatCode>#,##0.0000</c:formatCode>
                <c:ptCount val="4"/>
                <c:pt idx="0">
                  <c:v>0.55889999999999995</c:v>
                </c:pt>
                <c:pt idx="1">
                  <c:v>0.54859999999999998</c:v>
                </c:pt>
                <c:pt idx="2">
                  <c:v>0.48880000000000001</c:v>
                </c:pt>
                <c:pt idx="3">
                  <c:v>0.4985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5C33-41BE-98F4-4590B9145877}"/>
            </c:ext>
          </c:extLst>
        </c:ser>
        <c:ser>
          <c:idx val="7"/>
          <c:order val="7"/>
          <c:tx>
            <c:v>Turbogas-Gas Natural-Petrolero</c:v>
          </c:tx>
          <c:spPr>
            <a:solidFill>
              <a:srgbClr val="5B9BD5"/>
            </a:solidFill>
            <a:ln cmpd="sng">
              <a:solidFill>
                <a:srgbClr val="000000"/>
              </a:solidFill>
            </a:ln>
          </c:spPr>
          <c:invertIfNegative val="1"/>
          <c:cat>
            <c:numRef>
              <c:f>Electricidad!$E$1:$H$1</c:f>
              <c:numCache>
                <c:formatCode>General</c:formatCode>
                <c:ptCount val="4"/>
              </c:numCache>
            </c:numRef>
          </c:cat>
          <c:val>
            <c:numRef>
              <c:f>Electricidad!$E$601:$H$601</c:f>
              <c:numCache>
                <c:formatCode>#,##0.0000</c:formatCode>
                <c:ptCount val="4"/>
                <c:pt idx="0">
                  <c:v>0.53010000000000002</c:v>
                </c:pt>
                <c:pt idx="1">
                  <c:v>0.48280000000000001</c:v>
                </c:pt>
                <c:pt idx="2">
                  <c:v>0.46179999999999999</c:v>
                </c:pt>
                <c:pt idx="3">
                  <c:v>0.62470000000000003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5C33-41BE-98F4-4590B9145877}"/>
            </c:ext>
          </c:extLst>
        </c:ser>
        <c:ser>
          <c:idx val="8"/>
          <c:order val="8"/>
          <c:tx>
            <c:v>Turbogas-Crudo-Petrolero</c:v>
          </c:tx>
          <c:spPr>
            <a:solidFill>
              <a:srgbClr val="FFC000"/>
            </a:solidFill>
            <a:ln cmpd="sng">
              <a:solidFill>
                <a:srgbClr val="000000"/>
              </a:solidFill>
            </a:ln>
          </c:spPr>
          <c:invertIfNegative val="1"/>
          <c:cat>
            <c:numRef>
              <c:f>Electricidad!$E$1:$H$1</c:f>
              <c:numCache>
                <c:formatCode>General</c:formatCode>
                <c:ptCount val="4"/>
              </c:numCache>
            </c:numRef>
          </c:cat>
          <c:val>
            <c:numRef>
              <c:f>Electricidad!$E$602:$H$602</c:f>
              <c:numCache>
                <c:formatCode>#,##0.0000</c:formatCode>
                <c:ptCount val="4"/>
                <c:pt idx="0">
                  <c:v>4.58E-2</c:v>
                </c:pt>
                <c:pt idx="1">
                  <c:v>2.6700000000000002E-2</c:v>
                </c:pt>
                <c:pt idx="2">
                  <c:v>2.3699999999999999E-2</c:v>
                </c:pt>
                <c:pt idx="3">
                  <c:v>6.8999999999999999E-3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5C33-41BE-98F4-4590B9145877}"/>
            </c:ext>
          </c:extLst>
        </c:ser>
        <c:ser>
          <c:idx val="9"/>
          <c:order val="9"/>
          <c:tx>
            <c:v>Turbovapor-Diesel-Cementera</c:v>
          </c:tx>
          <c:spPr>
            <a:solidFill>
              <a:srgbClr val="70AD47"/>
            </a:solidFill>
            <a:ln cmpd="sng">
              <a:solidFill>
                <a:srgbClr val="000000"/>
              </a:solidFill>
            </a:ln>
          </c:spPr>
          <c:invertIfNegative val="1"/>
          <c:cat>
            <c:numRef>
              <c:f>Electricidad!$E$1:$H$1</c:f>
              <c:numCache>
                <c:formatCode>General</c:formatCode>
                <c:ptCount val="4"/>
              </c:numCache>
            </c:numRef>
          </c:cat>
          <c:val>
            <c:numRef>
              <c:f>Electricidad!$E$607:$H$607</c:f>
              <c:numCache>
                <c:formatCode>#,##0.00000</c:formatCode>
                <c:ptCount val="4"/>
                <c:pt idx="0">
                  <c:v>1E-4</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5C33-41BE-98F4-4590B9145877}"/>
            </c:ext>
          </c:extLst>
        </c:ser>
        <c:ser>
          <c:idx val="10"/>
          <c:order val="10"/>
          <c:invertIfNegative val="1"/>
          <c:cat>
            <c:numRef>
              <c:f>Electricidad!$E$1:$H$1</c:f>
              <c:numCache>
                <c:formatCode>General</c:formatCode>
                <c:ptCount val="4"/>
              </c:numCache>
            </c:numRef>
          </c:cat>
          <c:val>
            <c:numRef>
              <c:f>Electricidad!$E$609:$H$609</c:f>
              <c:numCache>
                <c:formatCode>#,##0.00</c:formatCode>
                <c:ptCount val="4"/>
                <c:pt idx="0">
                  <c:v>0.1046</c:v>
                </c:pt>
                <c:pt idx="1">
                  <c:v>9.6500000000000002E-2</c:v>
                </c:pt>
                <c:pt idx="2">
                  <c:v>1.7999999999999999E-2</c:v>
                </c:pt>
                <c:pt idx="3">
                  <c:v>9.98E-2</c:v>
                </c:pt>
              </c:numCache>
            </c:numRef>
          </c:val>
          <c:extLst>
            <c:ext xmlns:c16="http://schemas.microsoft.com/office/drawing/2014/chart" uri="{C3380CC4-5D6E-409C-BE32-E72D297353CC}">
              <c16:uniqueId val="{0000000A-5C33-41BE-98F4-4590B9145877}"/>
            </c:ext>
          </c:extLst>
        </c:ser>
        <c:dLbls>
          <c:showLegendKey val="0"/>
          <c:showVal val="0"/>
          <c:showCatName val="0"/>
          <c:showSerName val="0"/>
          <c:showPercent val="0"/>
          <c:showBubbleSize val="0"/>
        </c:dLbls>
        <c:gapWidth val="150"/>
        <c:overlap val="100"/>
        <c:axId val="1445389895"/>
        <c:axId val="1260729640"/>
      </c:barChart>
      <c:catAx>
        <c:axId val="144538989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60729640"/>
        <c:crosses val="autoZero"/>
        <c:auto val="1"/>
        <c:lblAlgn val="ctr"/>
        <c:lblOffset val="100"/>
        <c:noMultiLvlLbl val="1"/>
      </c:catAx>
      <c:valAx>
        <c:axId val="12607296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44538989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Demanda de Gasolina [PJ]</a:t>
            </a:r>
          </a:p>
        </c:rich>
      </c:tx>
      <c:overlay val="0"/>
    </c:title>
    <c:autoTitleDeleted val="0"/>
    <c:plotArea>
      <c:layout/>
      <c:barChart>
        <c:barDir val="col"/>
        <c:grouping val="stacked"/>
        <c:varyColors val="1"/>
        <c:ser>
          <c:idx val="0"/>
          <c:order val="0"/>
          <c:tx>
            <c:v>Demanda comercial y servicios públicos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Demanda_energia!$E$7:$H$7</c:f>
              <c:numCache>
                <c:formatCode>0.00</c:formatCode>
                <c:ptCount val="4"/>
                <c:pt idx="0">
                  <c:v>9.912853628146473E-2</c:v>
                </c:pt>
                <c:pt idx="1">
                  <c:v>0.12304462305171955</c:v>
                </c:pt>
                <c:pt idx="2">
                  <c:v>3.4599036083717095E-2</c:v>
                </c:pt>
                <c:pt idx="3">
                  <c:v>0.23700357618085477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94-4AC2-A4C5-ACA91FF9732F}"/>
            </c:ext>
          </c:extLst>
        </c:ser>
        <c:ser>
          <c:idx val="1"/>
          <c:order val="1"/>
          <c:tx>
            <c:v>Demanda Industrial</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Demanda_energia!$E$8:$H$8</c:f>
              <c:numCache>
                <c:formatCode>0.00</c:formatCode>
                <c:ptCount val="4"/>
                <c:pt idx="0">
                  <c:v>0.6137980152738497</c:v>
                </c:pt>
                <c:pt idx="1">
                  <c:v>0.85415239140291177</c:v>
                </c:pt>
                <c:pt idx="2">
                  <c:v>0.74826209640797103</c:v>
                </c:pt>
                <c:pt idx="3">
                  <c:v>1.0382512099048955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94-4AC2-A4C5-ACA91FF9732F}"/>
            </c:ext>
          </c:extLst>
        </c:ser>
        <c:ser>
          <c:idx val="2"/>
          <c:order val="2"/>
          <c:tx>
            <c:v>Demanda construcción y otros</c:v>
          </c:tx>
          <c:spPr>
            <a:solidFill>
              <a:srgbClr val="A5A5A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Demanda_energia!$E$9:$H$9</c:f>
              <c:numCache>
                <c:formatCode>0.00</c:formatCode>
                <c:ptCount val="4"/>
                <c:pt idx="0">
                  <c:v>34.952288680728131</c:v>
                </c:pt>
                <c:pt idx="1">
                  <c:v>32.606013465490761</c:v>
                </c:pt>
                <c:pt idx="2">
                  <c:v>25.107180831039649</c:v>
                </c:pt>
                <c:pt idx="3">
                  <c:v>20.302984914974349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94-4AC2-A4C5-ACA91FF9732F}"/>
            </c:ext>
          </c:extLst>
        </c:ser>
        <c:ser>
          <c:idx val="3"/>
          <c:order val="3"/>
          <c:tx>
            <c:v>Demanda Agro, pesca y minería</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Demanda_energia!$E$10:$H$10</c:f>
              <c:numCache>
                <c:formatCode>0.00</c:formatCode>
                <c:ptCount val="4"/>
                <c:pt idx="0">
                  <c:v>4.7630758302215384</c:v>
                </c:pt>
                <c:pt idx="1">
                  <c:v>5.2140192621427994</c:v>
                </c:pt>
                <c:pt idx="2">
                  <c:v>4.8432446410198446</c:v>
                </c:pt>
                <c:pt idx="3">
                  <c:v>5.4102095818988687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5C94-4AC2-A4C5-ACA91FF9732F}"/>
            </c:ext>
          </c:extLst>
        </c:ser>
        <c:ser>
          <c:idx val="4"/>
          <c:order val="4"/>
          <c:tx>
            <c:v>Demanda transporte-Terrestre carga</c:v>
          </c:tx>
          <c:spPr>
            <a:solidFill>
              <a:srgbClr val="70AD47"/>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Demanda_energia!$E$12:$H$12</c:f>
              <c:numCache>
                <c:formatCode>0.00</c:formatCode>
                <c:ptCount val="4"/>
                <c:pt idx="0">
                  <c:v>62.130723270034387</c:v>
                </c:pt>
                <c:pt idx="1">
                  <c:v>63.134676696020023</c:v>
                </c:pt>
                <c:pt idx="2">
                  <c:v>49.270364404372174</c:v>
                </c:pt>
                <c:pt idx="3">
                  <c:v>64.15430782154391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5C94-4AC2-A4C5-ACA91FF9732F}"/>
            </c:ext>
          </c:extLst>
        </c:ser>
        <c:ser>
          <c:idx val="5"/>
          <c:order val="5"/>
          <c:tx>
            <c:v>Demanda transporte-Terrestre pasajeros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Demanda_energia!$E$13:$H$13</c:f>
              <c:numCache>
                <c:formatCode>0.00</c:formatCode>
                <c:ptCount val="4"/>
                <c:pt idx="0">
                  <c:v>58.736210992236785</c:v>
                </c:pt>
                <c:pt idx="1">
                  <c:v>59.685002142069365</c:v>
                </c:pt>
                <c:pt idx="2">
                  <c:v>46.916967507021226</c:v>
                </c:pt>
                <c:pt idx="3">
                  <c:v>61.090188545126189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5C94-4AC2-A4C5-ACA91FF9732F}"/>
            </c:ext>
          </c:extLst>
        </c:ser>
        <c:ser>
          <c:idx val="6"/>
          <c:order val="6"/>
          <c:tx>
            <c:v>Demanda transporte-Marítimo</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Demanda_energia!$E$14:$H$14</c:f>
              <c:numCache>
                <c:formatCode>0.00</c:formatCode>
                <c:ptCount val="4"/>
                <c:pt idx="0">
                  <c:v>3.077474353802135E-2</c:v>
                </c:pt>
                <c:pt idx="1">
                  <c:v>3.4839332307193978E-3</c:v>
                </c:pt>
                <c:pt idx="2">
                  <c:v>9.8711441537049603E-3</c:v>
                </c:pt>
                <c:pt idx="3">
                  <c:v>1.9742288307409921E-2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5C94-4AC2-A4C5-ACA91FF9732F}"/>
            </c:ext>
          </c:extLst>
        </c:ser>
        <c:ser>
          <c:idx val="7"/>
          <c:order val="7"/>
          <c:tx>
            <c:v>Demanda transporte-Áereo</c:v>
          </c:tx>
          <c:spPr>
            <a:solidFill>
              <a:srgbClr val="A5A5A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Demanda_energia!$E$15:$H$15</c:f>
              <c:numCache>
                <c:formatCode>0.00</c:formatCode>
                <c:ptCount val="4"/>
                <c:pt idx="0">
                  <c:v>4.7630758302215384</c:v>
                </c:pt>
                <c:pt idx="1">
                  <c:v>5.2140192621427994</c:v>
                </c:pt>
                <c:pt idx="2">
                  <c:v>4.8432446410198446</c:v>
                </c:pt>
                <c:pt idx="3">
                  <c:v>5.4102095818988687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5C94-4AC2-A4C5-ACA91FF9732F}"/>
            </c:ext>
          </c:extLst>
        </c:ser>
        <c:dLbls>
          <c:showLegendKey val="0"/>
          <c:showVal val="0"/>
          <c:showCatName val="0"/>
          <c:showSerName val="0"/>
          <c:showPercent val="0"/>
          <c:showBubbleSize val="0"/>
        </c:dLbls>
        <c:gapWidth val="150"/>
        <c:overlap val="100"/>
        <c:axId val="1618444640"/>
        <c:axId val="1374205198"/>
      </c:barChart>
      <c:catAx>
        <c:axId val="161844464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74205198"/>
        <c:crosses val="autoZero"/>
        <c:auto val="1"/>
        <c:lblAlgn val="ctr"/>
        <c:lblOffset val="100"/>
        <c:noMultiLvlLbl val="1"/>
      </c:catAx>
      <c:valAx>
        <c:axId val="137420519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1844464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Demanda de Diesel [PJ]</a:t>
            </a:r>
          </a:p>
        </c:rich>
      </c:tx>
      <c:overlay val="0"/>
    </c:title>
    <c:autoTitleDeleted val="0"/>
    <c:plotArea>
      <c:layout/>
      <c:barChart>
        <c:barDir val="col"/>
        <c:grouping val="stacked"/>
        <c:varyColors val="1"/>
        <c:ser>
          <c:idx val="0"/>
          <c:order val="0"/>
          <c:tx>
            <c:v>Demanda comercial y servicios públicos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Demanda_energia!$E$20:$H$20</c:f>
              <c:numCache>
                <c:formatCode>0.00</c:formatCode>
                <c:ptCount val="4"/>
                <c:pt idx="0">
                  <c:v>5.7368390353734968</c:v>
                </c:pt>
                <c:pt idx="1">
                  <c:v>4.7138772871007184</c:v>
                </c:pt>
                <c:pt idx="2">
                  <c:v>4.599894053279586</c:v>
                </c:pt>
                <c:pt idx="3">
                  <c:v>4.3899411636953181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00A-4D99-8A2E-8F19CB05F755}"/>
            </c:ext>
          </c:extLst>
        </c:ser>
        <c:ser>
          <c:idx val="1"/>
          <c:order val="1"/>
          <c:tx>
            <c:v>Demanda Industrial</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Demanda_energia!$E$21:$H$21</c:f>
              <c:numCache>
                <c:formatCode>0.00</c:formatCode>
                <c:ptCount val="4"/>
                <c:pt idx="0">
                  <c:v>25.584823431726967</c:v>
                </c:pt>
                <c:pt idx="1">
                  <c:v>22.02394056774067</c:v>
                </c:pt>
                <c:pt idx="2">
                  <c:v>21.491393792287134</c:v>
                </c:pt>
                <c:pt idx="3">
                  <c:v>20.510462487417858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00A-4D99-8A2E-8F19CB05F755}"/>
            </c:ext>
          </c:extLst>
        </c:ser>
        <c:ser>
          <c:idx val="2"/>
          <c:order val="2"/>
          <c:tx>
            <c:v>Demanda construcción y otros</c:v>
          </c:tx>
          <c:spPr>
            <a:solidFill>
              <a:srgbClr val="A5A5A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Demanda_energia!$E$22:$H$22</c:f>
              <c:numCache>
                <c:formatCode>0.00</c:formatCode>
                <c:ptCount val="4"/>
                <c:pt idx="0">
                  <c:v>2.5489150909015965</c:v>
                </c:pt>
                <c:pt idx="1">
                  <c:v>2.9144162332636521</c:v>
                </c:pt>
                <c:pt idx="2">
                  <c:v>0.67387279405921663</c:v>
                </c:pt>
                <c:pt idx="3">
                  <c:v>3.1559712018167967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00A-4D99-8A2E-8F19CB05F755}"/>
            </c:ext>
          </c:extLst>
        </c:ser>
        <c:ser>
          <c:idx val="3"/>
          <c:order val="3"/>
          <c:tx>
            <c:v>Demanda transporte-Terrestre carga</c:v>
          </c:tx>
          <c:spPr>
            <a:solidFill>
              <a:srgbClr val="70AD47"/>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Demanda_energia!$E$25:$H$25</c:f>
              <c:numCache>
                <c:formatCode>0.00</c:formatCode>
                <c:ptCount val="4"/>
                <c:pt idx="0">
                  <c:v>119.77472119444064</c:v>
                </c:pt>
                <c:pt idx="1">
                  <c:v>121.70946544856682</c:v>
                </c:pt>
                <c:pt idx="2">
                  <c:v>103.25100653667698</c:v>
                </c:pt>
                <c:pt idx="3">
                  <c:v>116.77853861602196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00A-4D99-8A2E-8F19CB05F755}"/>
            </c:ext>
          </c:extLst>
        </c:ser>
        <c:ser>
          <c:idx val="4"/>
          <c:order val="4"/>
          <c:tx>
            <c:v>Demanda transporte-Terrestre pasajeros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Demanda_energia!$E$26:$H$26</c:f>
              <c:numCache>
                <c:formatCode>0.00</c:formatCode>
                <c:ptCount val="4"/>
                <c:pt idx="0">
                  <c:v>8.5942826246463007</c:v>
                </c:pt>
                <c:pt idx="1">
                  <c:v>8.7330592983366238</c:v>
                </c:pt>
                <c:pt idx="2">
                  <c:v>7.4085840151248004</c:v>
                </c:pt>
                <c:pt idx="3">
                  <c:v>8.3794400754186054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00A-4D99-8A2E-8F19CB05F755}"/>
            </c:ext>
          </c:extLst>
        </c:ser>
        <c:ser>
          <c:idx val="5"/>
          <c:order val="5"/>
          <c:tx>
            <c:v>Demanda transporte-Marítimo</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Demanda_energia!$E$27:$H$27</c:f>
              <c:numCache>
                <c:formatCode>0.00</c:formatCode>
                <c:ptCount val="4"/>
                <c:pt idx="0">
                  <c:v>11.479559995220416</c:v>
                </c:pt>
                <c:pt idx="1">
                  <c:v>11.546335382142539</c:v>
                </c:pt>
                <c:pt idx="2">
                  <c:v>9.8560471097051785</c:v>
                </c:pt>
                <c:pt idx="3">
                  <c:v>11.926664759829405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00A-4D99-8A2E-8F19CB05F755}"/>
            </c:ext>
          </c:extLst>
        </c:ser>
        <c:dLbls>
          <c:showLegendKey val="0"/>
          <c:showVal val="0"/>
          <c:showCatName val="0"/>
          <c:showSerName val="0"/>
          <c:showPercent val="0"/>
          <c:showBubbleSize val="0"/>
        </c:dLbls>
        <c:gapWidth val="150"/>
        <c:overlap val="100"/>
        <c:axId val="492103298"/>
        <c:axId val="2043963266"/>
      </c:barChart>
      <c:catAx>
        <c:axId val="49210329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43963266"/>
        <c:crosses val="autoZero"/>
        <c:auto val="1"/>
        <c:lblAlgn val="ctr"/>
        <c:lblOffset val="100"/>
        <c:noMultiLvlLbl val="1"/>
      </c:catAx>
      <c:valAx>
        <c:axId val="204396326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49210329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Demanda de GLP [PJ]</a:t>
            </a:r>
          </a:p>
        </c:rich>
      </c:tx>
      <c:overlay val="0"/>
    </c:title>
    <c:autoTitleDeleted val="0"/>
    <c:plotArea>
      <c:layout/>
      <c:barChart>
        <c:barDir val="col"/>
        <c:grouping val="stacked"/>
        <c:varyColors val="1"/>
        <c:ser>
          <c:idx val="0"/>
          <c:order val="0"/>
          <c:tx>
            <c:v>Demanda comercial y servicios públicos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Demanda_energia!$E$33:$H$33</c:f>
              <c:numCache>
                <c:formatCode>0.00</c:formatCode>
                <c:ptCount val="4"/>
                <c:pt idx="0">
                  <c:v>2.3911177966398309</c:v>
                </c:pt>
                <c:pt idx="1">
                  <c:v>2.3977571514238343</c:v>
                </c:pt>
                <c:pt idx="2">
                  <c:v>2.2406900605344502</c:v>
                </c:pt>
                <c:pt idx="3">
                  <c:v>2.3810967562588741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470-4C74-A835-BB38AD249CD4}"/>
            </c:ext>
          </c:extLst>
        </c:ser>
        <c:ser>
          <c:idx val="1"/>
          <c:order val="1"/>
          <c:tx>
            <c:v>Demanda Industrial</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Demanda_energia!$E$34:$H$34</c:f>
              <c:numCache>
                <c:formatCode>0.00</c:formatCode>
                <c:ptCount val="4"/>
                <c:pt idx="0">
                  <c:v>3.9680445141083061</c:v>
                </c:pt>
                <c:pt idx="1">
                  <c:v>4.1453383632536083</c:v>
                </c:pt>
                <c:pt idx="2">
                  <c:v>3.6902606348657843</c:v>
                </c:pt>
                <c:pt idx="3">
                  <c:v>4.1259797721260085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470-4C74-A835-BB38AD249CD4}"/>
            </c:ext>
          </c:extLst>
        </c:ser>
        <c:ser>
          <c:idx val="2"/>
          <c:order val="2"/>
          <c:tx>
            <c:v>Demanda construcción y otros</c:v>
          </c:tx>
          <c:spPr>
            <a:solidFill>
              <a:srgbClr val="A5A5A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Demanda_energia!$E$35:$H$35</c:f>
              <c:numCache>
                <c:formatCode>0.00</c:formatCode>
                <c:ptCount val="4"/>
                <c:pt idx="0">
                  <c:v>5.7711699514977761</c:v>
                </c:pt>
                <c:pt idx="1">
                  <c:v>7.8918634455827643</c:v>
                </c:pt>
                <c:pt idx="2">
                  <c:v>8.4675547275755445</c:v>
                </c:pt>
                <c:pt idx="3">
                  <c:v>8.6230478354968447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470-4C74-A835-BB38AD249CD4}"/>
            </c:ext>
          </c:extLst>
        </c:ser>
        <c:ser>
          <c:idx val="3"/>
          <c:order val="3"/>
          <c:tx>
            <c:v>Demanda Agro, pesca y minería</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Demanda_energia!$E$36:$H$36</c:f>
              <c:numCache>
                <c:formatCode>0.00</c:formatCode>
                <c:ptCount val="4"/>
                <c:pt idx="0">
                  <c:v>1.0525426407975187</c:v>
                </c:pt>
                <c:pt idx="1">
                  <c:v>1.138470114511545</c:v>
                </c:pt>
                <c:pt idx="2">
                  <c:v>0.93313629908978357</c:v>
                </c:pt>
                <c:pt idx="3">
                  <c:v>1.0966180601025668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470-4C74-A835-BB38AD249CD4}"/>
            </c:ext>
          </c:extLst>
        </c:ser>
        <c:ser>
          <c:idx val="4"/>
          <c:order val="4"/>
          <c:tx>
            <c:v>Demanda transporte-Terrestre pasajeros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Demanda_energia!$E$39:$H$39</c:f>
              <c:numCache>
                <c:formatCode>0.00</c:formatCode>
                <c:ptCount val="4"/>
                <c:pt idx="0">
                  <c:v>0.25392066696559878</c:v>
                </c:pt>
                <c:pt idx="1">
                  <c:v>0.28806321262664891</c:v>
                </c:pt>
                <c:pt idx="2">
                  <c:v>0.31471530184165231</c:v>
                </c:pt>
                <c:pt idx="3">
                  <c:v>0.55202922040748859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470-4C74-A835-BB38AD249CD4}"/>
            </c:ext>
          </c:extLst>
        </c:ser>
        <c:ser>
          <c:idx val="5"/>
          <c:order val="5"/>
          <c:tx>
            <c:v>Demanda residencial</c:v>
          </c:tx>
          <c:spPr>
            <a:solidFill>
              <a:srgbClr val="5B9BD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Demanda_energia!$E$32:$H$32</c:f>
              <c:numCache>
                <c:formatCode>0.00</c:formatCode>
                <c:ptCount val="4"/>
                <c:pt idx="0">
                  <c:v>37.18817750384455</c:v>
                </c:pt>
                <c:pt idx="1">
                  <c:v>38.367604452895222</c:v>
                </c:pt>
                <c:pt idx="2">
                  <c:v>39.136214531015874</c:v>
                </c:pt>
                <c:pt idx="3">
                  <c:v>39.917656399749696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470-4C74-A835-BB38AD249CD4}"/>
            </c:ext>
          </c:extLst>
        </c:ser>
        <c:dLbls>
          <c:showLegendKey val="0"/>
          <c:showVal val="0"/>
          <c:showCatName val="0"/>
          <c:showSerName val="0"/>
          <c:showPercent val="0"/>
          <c:showBubbleSize val="0"/>
        </c:dLbls>
        <c:gapWidth val="150"/>
        <c:overlap val="100"/>
        <c:axId val="1647907400"/>
        <c:axId val="52209038"/>
      </c:barChart>
      <c:catAx>
        <c:axId val="164790740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2209038"/>
        <c:crosses val="autoZero"/>
        <c:auto val="1"/>
        <c:lblAlgn val="ctr"/>
        <c:lblOffset val="100"/>
        <c:noMultiLvlLbl val="1"/>
      </c:catAx>
      <c:valAx>
        <c:axId val="522090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4790740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Demanda de Kerosene/Jet Fuel [PJ]</a:t>
            </a:r>
          </a:p>
        </c:rich>
      </c:tx>
      <c:overlay val="0"/>
    </c:title>
    <c:autoTitleDeleted val="0"/>
    <c:plotArea>
      <c:layout/>
      <c:barChart>
        <c:barDir val="col"/>
        <c:grouping val="stacked"/>
        <c:varyColors val="1"/>
        <c:ser>
          <c:idx val="0"/>
          <c:order val="0"/>
          <c:tx>
            <c:v>Demanda construcción y otros</c:v>
          </c:tx>
          <c:spPr>
            <a:solidFill>
              <a:srgbClr val="A5A5A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Demanda_energia!$E$48:$H$48</c:f>
              <c:numCache>
                <c:formatCode>0.00</c:formatCode>
                <c:ptCount val="4"/>
                <c:pt idx="0">
                  <c:v>1.3684500923317247</c:v>
                </c:pt>
                <c:pt idx="1">
                  <c:v>1.0504392799815812</c:v>
                </c:pt>
                <c:pt idx="2">
                  <c:v>1.5998269764069828</c:v>
                </c:pt>
                <c:pt idx="3">
                  <c:v>1.8325867497126211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46-4B5A-9B1E-21F17346291D}"/>
            </c:ext>
          </c:extLst>
        </c:ser>
        <c:ser>
          <c:idx val="1"/>
          <c:order val="1"/>
          <c:tx>
            <c:v>Demanda transporte-Áereo</c:v>
          </c:tx>
          <c:spPr>
            <a:solidFill>
              <a:srgbClr val="A5A5A5"/>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Demanda_energia!$E$54:$H$54</c:f>
              <c:numCache>
                <c:formatCode>0.00</c:formatCode>
                <c:ptCount val="4"/>
                <c:pt idx="0">
                  <c:v>3.8285522927913922</c:v>
                </c:pt>
                <c:pt idx="1">
                  <c:v>3.849281695514172</c:v>
                </c:pt>
                <c:pt idx="2">
                  <c:v>1.7414440253750914</c:v>
                </c:pt>
                <c:pt idx="3">
                  <c:v>2.3650680736738634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46-4B5A-9B1E-21F17346291D}"/>
            </c:ext>
          </c:extLst>
        </c:ser>
        <c:dLbls>
          <c:showLegendKey val="0"/>
          <c:showVal val="0"/>
          <c:showCatName val="0"/>
          <c:showSerName val="0"/>
          <c:showPercent val="0"/>
          <c:showBubbleSize val="0"/>
        </c:dLbls>
        <c:gapWidth val="150"/>
        <c:overlap val="100"/>
        <c:axId val="401689911"/>
        <c:axId val="1868031852"/>
      </c:barChart>
      <c:catAx>
        <c:axId val="40168991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68031852"/>
        <c:crosses val="autoZero"/>
        <c:auto val="1"/>
        <c:lblAlgn val="ctr"/>
        <c:lblOffset val="100"/>
        <c:noMultiLvlLbl val="1"/>
      </c:catAx>
      <c:valAx>
        <c:axId val="18680318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40168991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Demanda de Fuel Oil [PJ]</a:t>
            </a:r>
          </a:p>
        </c:rich>
      </c:tx>
      <c:overlay val="0"/>
    </c:title>
    <c:autoTitleDeleted val="0"/>
    <c:plotArea>
      <c:layout/>
      <c:barChart>
        <c:barDir val="col"/>
        <c:grouping val="stacked"/>
        <c:varyColors val="1"/>
        <c:ser>
          <c:idx val="0"/>
          <c:order val="0"/>
          <c:tx>
            <c:v>Demanda comercial y servicios públicos</c:v>
          </c:tx>
          <c:spPr>
            <a:solidFill>
              <a:srgbClr val="4472C4"/>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Demanda_energia!$E$59:$H$59</c:f>
              <c:numCache>
                <c:formatCode>0.00</c:formatCode>
                <c:ptCount val="4"/>
                <c:pt idx="0">
                  <c:v>0.27453468820698873</c:v>
                </c:pt>
                <c:pt idx="1">
                  <c:v>0.28255511883412587</c:v>
                </c:pt>
                <c:pt idx="2">
                  <c:v>0.26980482787102172</c:v>
                </c:pt>
                <c:pt idx="3">
                  <c:v>0.31491248201071131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6E3-4C45-B538-770B544BA555}"/>
            </c:ext>
          </c:extLst>
        </c:ser>
        <c:ser>
          <c:idx val="1"/>
          <c:order val="1"/>
          <c:tx>
            <c:v>Demanda Industrial</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Demanda_energia!$E$60:$H$60</c:f>
              <c:numCache>
                <c:formatCode>0.00</c:formatCode>
                <c:ptCount val="4"/>
                <c:pt idx="0">
                  <c:v>9.4607379223717381</c:v>
                </c:pt>
                <c:pt idx="1">
                  <c:v>9.737129958675478</c:v>
                </c:pt>
                <c:pt idx="2">
                  <c:v>9.297742280369194</c:v>
                </c:pt>
                <c:pt idx="3">
                  <c:v>10.852196815581776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6E3-4C45-B538-770B544BA555}"/>
            </c:ext>
          </c:extLst>
        </c:ser>
        <c:ser>
          <c:idx val="2"/>
          <c:order val="2"/>
          <c:tx>
            <c:v>Demanda transporte-Marítimo</c:v>
          </c:tx>
          <c:spPr>
            <a:solidFill>
              <a:srgbClr val="ED7D31"/>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Demanda_energia!$E$66:$H$66</c:f>
              <c:numCache>
                <c:formatCode>0.00</c:formatCode>
                <c:ptCount val="4"/>
                <c:pt idx="0">
                  <c:v>0.37022597131778134</c:v>
                </c:pt>
                <c:pt idx="1">
                  <c:v>0.36906466024087492</c:v>
                </c:pt>
                <c:pt idx="2">
                  <c:v>0.18720334559732232</c:v>
                </c:pt>
                <c:pt idx="3">
                  <c:v>0.18720334559732232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E3-4C45-B538-770B544BA555}"/>
            </c:ext>
          </c:extLst>
        </c:ser>
        <c:dLbls>
          <c:showLegendKey val="0"/>
          <c:showVal val="0"/>
          <c:showCatName val="0"/>
          <c:showSerName val="0"/>
          <c:showPercent val="0"/>
          <c:showBubbleSize val="0"/>
        </c:dLbls>
        <c:gapWidth val="150"/>
        <c:overlap val="100"/>
        <c:axId val="984056902"/>
        <c:axId val="703672241"/>
      </c:barChart>
      <c:catAx>
        <c:axId val="98405690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03672241"/>
        <c:crosses val="autoZero"/>
        <c:auto val="1"/>
        <c:lblAlgn val="ctr"/>
        <c:lblOffset val="100"/>
        <c:noMultiLvlLbl val="1"/>
      </c:catAx>
      <c:valAx>
        <c:axId val="7036722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98405690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Demanda de Gas Natural [PJ]</a:t>
            </a:r>
          </a:p>
        </c:rich>
      </c:tx>
      <c:overlay val="0"/>
    </c:title>
    <c:autoTitleDeleted val="0"/>
    <c:plotArea>
      <c:layout/>
      <c:barChart>
        <c:barDir val="col"/>
        <c:grouping val="stacked"/>
        <c:varyColors val="1"/>
        <c:ser>
          <c:idx val="0"/>
          <c:order val="0"/>
          <c:tx>
            <c:v>Demanda Industrial</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Demanda_energia!$E$71:$H$71</c:f>
              <c:numCache>
                <c:formatCode>0.00</c:formatCode>
                <c:ptCount val="4"/>
                <c:pt idx="0">
                  <c:v>1.9633782832774673</c:v>
                </c:pt>
                <c:pt idx="1">
                  <c:v>1.5793630784291601</c:v>
                </c:pt>
                <c:pt idx="2">
                  <c:v>0.94433599472858032</c:v>
                </c:pt>
                <c:pt idx="3">
                  <c:v>1.6548595399193049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694-47DC-A3A3-F6DD8BF2B815}"/>
            </c:ext>
          </c:extLst>
        </c:ser>
        <c:ser>
          <c:idx val="1"/>
          <c:order val="1"/>
          <c:tx>
            <c:v>Demanda residencial</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Demanda_energia!$E$72:$H$72</c:f>
              <c:numCache>
                <c:formatCode>0.00</c:formatCode>
                <c:ptCount val="4"/>
                <c:pt idx="0">
                  <c:v>2.1965065231681419E-2</c:v>
                </c:pt>
                <c:pt idx="1">
                  <c:v>2.0567028672531788E-2</c:v>
                </c:pt>
                <c:pt idx="2">
                  <c:v>1.9008262653815083E-2</c:v>
                </c:pt>
                <c:pt idx="3">
                  <c:v>2.3492363900933837E-2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694-47DC-A3A3-F6DD8BF2B815}"/>
            </c:ext>
          </c:extLst>
        </c:ser>
        <c:dLbls>
          <c:showLegendKey val="0"/>
          <c:showVal val="0"/>
          <c:showCatName val="0"/>
          <c:showSerName val="0"/>
          <c:showPercent val="0"/>
          <c:showBubbleSize val="0"/>
        </c:dLbls>
        <c:gapWidth val="150"/>
        <c:overlap val="100"/>
        <c:axId val="226294752"/>
        <c:axId val="769421874"/>
      </c:barChart>
      <c:catAx>
        <c:axId val="2262947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69421874"/>
        <c:crosses val="autoZero"/>
        <c:auto val="1"/>
        <c:lblAlgn val="ctr"/>
        <c:lblOffset val="100"/>
        <c:noMultiLvlLbl val="1"/>
      </c:catAx>
      <c:valAx>
        <c:axId val="7694218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22629475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Demanda de Leña [PJ]</a:t>
            </a:r>
          </a:p>
        </c:rich>
      </c:tx>
      <c:overlay val="0"/>
    </c:title>
    <c:autoTitleDeleted val="0"/>
    <c:plotArea>
      <c:layout/>
      <c:barChart>
        <c:barDir val="col"/>
        <c:grouping val="stacked"/>
        <c:varyColors val="1"/>
        <c:ser>
          <c:idx val="0"/>
          <c:order val="0"/>
          <c:tx>
            <c:v>Demanda Industrial</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Demanda_energia!$E$76:$H$76</c:f>
              <c:numCache>
                <c:formatCode>0.00</c:formatCode>
                <c:ptCount val="4"/>
                <c:pt idx="0">
                  <c:v>2.0379768422691695</c:v>
                </c:pt>
                <c:pt idx="1">
                  <c:v>2.0787363758628818</c:v>
                </c:pt>
                <c:pt idx="2">
                  <c:v>2.1203111033801396</c:v>
                </c:pt>
                <c:pt idx="3">
                  <c:v>2.1627173296284621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399-4015-B129-CD5CE0A6227F}"/>
            </c:ext>
          </c:extLst>
        </c:ser>
        <c:ser>
          <c:idx val="1"/>
          <c:order val="1"/>
          <c:tx>
            <c:v>Demanda residencial</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Demanda_energia!$E$77:$H$77</c:f>
              <c:numCache>
                <c:formatCode>0.00</c:formatCode>
                <c:ptCount val="4"/>
                <c:pt idx="0">
                  <c:v>8.0826849999999997</c:v>
                </c:pt>
                <c:pt idx="1">
                  <c:v>7.7284870000000003</c:v>
                </c:pt>
                <c:pt idx="2">
                  <c:v>7.3394500000000003</c:v>
                </c:pt>
                <c:pt idx="3">
                  <c:v>7.1160819999999996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399-4015-B129-CD5CE0A6227F}"/>
            </c:ext>
          </c:extLst>
        </c:ser>
        <c:dLbls>
          <c:showLegendKey val="0"/>
          <c:showVal val="0"/>
          <c:showCatName val="0"/>
          <c:showSerName val="0"/>
          <c:showPercent val="0"/>
          <c:showBubbleSize val="0"/>
        </c:dLbls>
        <c:gapWidth val="150"/>
        <c:overlap val="100"/>
        <c:axId val="1749102431"/>
        <c:axId val="1206962788"/>
      </c:barChart>
      <c:catAx>
        <c:axId val="17491024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06962788"/>
        <c:crosses val="autoZero"/>
        <c:auto val="1"/>
        <c:lblAlgn val="ctr"/>
        <c:lblOffset val="100"/>
        <c:noMultiLvlLbl val="1"/>
      </c:catAx>
      <c:valAx>
        <c:axId val="12069627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74910243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Demanda de Productos de caña [PJ]</a:t>
            </a:r>
          </a:p>
        </c:rich>
      </c:tx>
      <c:overlay val="0"/>
    </c:title>
    <c:autoTitleDeleted val="0"/>
    <c:plotArea>
      <c:layout/>
      <c:barChart>
        <c:barDir val="col"/>
        <c:grouping val="stacked"/>
        <c:varyColors val="1"/>
        <c:ser>
          <c:idx val="0"/>
          <c:order val="0"/>
          <c:tx>
            <c:v>Demanda Industrial</c:v>
          </c:tx>
          <c:spPr>
            <a:solidFill>
              <a:srgbClr val="FFC000"/>
            </a:solidFill>
            <a:ln cmpd="sng">
              <a:solidFill>
                <a:srgbClr val="000000"/>
              </a:solidFill>
            </a:ln>
          </c:spPr>
          <c:invertIfNegative val="1"/>
          <c:cat>
            <c:numRef>
              <c:f>Demanda_energia!$E$1:$H$1</c:f>
              <c:numCache>
                <c:formatCode>General</c:formatCode>
                <c:ptCount val="4"/>
                <c:pt idx="0">
                  <c:v>2018</c:v>
                </c:pt>
                <c:pt idx="1">
                  <c:v>2019</c:v>
                </c:pt>
                <c:pt idx="2">
                  <c:v>2020</c:v>
                </c:pt>
                <c:pt idx="3">
                  <c:v>2021</c:v>
                </c:pt>
              </c:numCache>
            </c:numRef>
          </c:cat>
          <c:val>
            <c:numRef>
              <c:f>Demanda_energia!$E$81:$H$81</c:f>
              <c:numCache>
                <c:formatCode>0.00</c:formatCode>
                <c:ptCount val="4"/>
                <c:pt idx="0">
                  <c:v>8.214677905071424</c:v>
                </c:pt>
                <c:pt idx="1">
                  <c:v>8.9578359928439468</c:v>
                </c:pt>
                <c:pt idx="2">
                  <c:v>9.0914695681679749</c:v>
                </c:pt>
                <c:pt idx="3">
                  <c:v>7.6698878333929388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385-4ED5-BA21-AD821D270743}"/>
            </c:ext>
          </c:extLst>
        </c:ser>
        <c:dLbls>
          <c:showLegendKey val="0"/>
          <c:showVal val="0"/>
          <c:showCatName val="0"/>
          <c:showSerName val="0"/>
          <c:showPercent val="0"/>
          <c:showBubbleSize val="0"/>
        </c:dLbls>
        <c:gapWidth val="150"/>
        <c:overlap val="100"/>
        <c:axId val="1005087968"/>
        <c:axId val="1351566439"/>
      </c:barChart>
      <c:catAx>
        <c:axId val="100508796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51566439"/>
        <c:crosses val="autoZero"/>
        <c:auto val="1"/>
        <c:lblAlgn val="ctr"/>
        <c:lblOffset val="100"/>
        <c:noMultiLvlLbl val="1"/>
      </c:catAx>
      <c:valAx>
        <c:axId val="13515664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00508796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Factores de emisión para emisiones fugitivas (Petróleo)</a:t>
            </a:r>
          </a:p>
        </c:rich>
      </c:tx>
      <c:overlay val="0"/>
    </c:title>
    <c:autoTitleDeleted val="0"/>
    <c:plotArea>
      <c:layout/>
      <c:barChart>
        <c:barDir val="bar"/>
        <c:grouping val="clustered"/>
        <c:varyColors val="1"/>
        <c:ser>
          <c:idx val="0"/>
          <c:order val="0"/>
          <c:spPr>
            <a:solidFill>
              <a:srgbClr val="70AD47"/>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'Emisiones Energía'!$C$7:$C$11</c:f>
              <c:strCache>
                <c:ptCount val="5"/>
                <c:pt idx="0">
                  <c:v>Venteo</c:v>
                </c:pt>
                <c:pt idx="1">
                  <c:v>Quema en antorcha</c:v>
                </c:pt>
                <c:pt idx="2">
                  <c:v>Exploración</c:v>
                </c:pt>
                <c:pt idx="3">
                  <c:v>Producción y Refinación</c:v>
                </c:pt>
                <c:pt idx="4">
                  <c:v>Transporte por tuberías</c:v>
                </c:pt>
              </c:strCache>
            </c:strRef>
          </c:cat>
          <c:val>
            <c:numRef>
              <c:f>'Emisiones Energía'!$D$7:$D$11</c:f>
              <c:numCache>
                <c:formatCode>0.0000000000</c:formatCode>
                <c:ptCount val="5"/>
                <c:pt idx="0">
                  <c:v>2.6011667643087447E-6</c:v>
                </c:pt>
                <c:pt idx="1">
                  <c:v>1.1226088140700897E-3</c:v>
                </c:pt>
                <c:pt idx="2">
                  <c:v>2.738070278219731E-6</c:v>
                </c:pt>
                <c:pt idx="3">
                  <c:v>3.0118773060417041E-9</c:v>
                </c:pt>
                <c:pt idx="4">
                  <c:v>1.341654436327668E-8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533-4DDC-B59E-D81FEAA34CC9}"/>
            </c:ext>
          </c:extLst>
        </c:ser>
        <c:dLbls>
          <c:showLegendKey val="0"/>
          <c:showVal val="0"/>
          <c:showCatName val="0"/>
          <c:showSerName val="0"/>
          <c:showPercent val="0"/>
          <c:showBubbleSize val="0"/>
        </c:dLbls>
        <c:gapWidth val="150"/>
        <c:axId val="394707987"/>
        <c:axId val="388633976"/>
      </c:barChart>
      <c:catAx>
        <c:axId val="39470798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88633976"/>
        <c:crosses val="autoZero"/>
        <c:auto val="1"/>
        <c:lblAlgn val="ctr"/>
        <c:lblOffset val="100"/>
        <c:noMultiLvlLbl val="1"/>
      </c:catAx>
      <c:valAx>
        <c:axId val="388633976"/>
        <c:scaling>
          <c:orientation val="minMax"/>
        </c:scaling>
        <c:delete val="0"/>
        <c:axPos val="b"/>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[MtonCO2/PJ]</a:t>
                </a:r>
              </a:p>
            </c:rich>
          </c:tx>
          <c:overlay val="0"/>
        </c:title>
        <c:numFmt formatCode="0.0000000000" sourceLinked="1"/>
        <c:majorTickMark val="none"/>
        <c:minorTickMark val="none"/>
        <c:tickLblPos val="nextTo"/>
        <c:spPr>
          <a:ln/>
        </c:spPr>
        <c:txPr>
          <a:bodyPr/>
          <a:lstStyle/>
          <a:p>
            <a:pPr lvl="0">
              <a:defRPr sz="900" b="0" i="0">
                <a:solidFill>
                  <a:srgbClr val="000000"/>
                </a:solidFill>
                <a:latin typeface="+mn-lt"/>
              </a:defRPr>
            </a:pPr>
            <a:endParaRPr lang="en-US"/>
          </a:p>
        </c:txPr>
        <c:crossAx val="394707987"/>
        <c:crosses val="max"/>
        <c:crossBetween val="between"/>
      </c:valAx>
    </c:plotArea>
    <c:plotVisOnly val="1"/>
    <c:dispBlanksAs val="zero"/>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Factores de emisión para emisiones fugitivas (Gas Natural)</a:t>
            </a:r>
          </a:p>
        </c:rich>
      </c:tx>
      <c:overlay val="0"/>
    </c:title>
    <c:autoTitleDeleted val="0"/>
    <c:plotArea>
      <c:layout/>
      <c:barChart>
        <c:barDir val="bar"/>
        <c:grouping val="clustered"/>
        <c:varyColors val="1"/>
        <c:ser>
          <c:idx val="0"/>
          <c:order val="0"/>
          <c:spPr>
            <a:solidFill>
              <a:srgbClr val="70AD47"/>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'Emisiones Energía'!$C$14:$C$19</c:f>
              <c:strCache>
                <c:ptCount val="6"/>
                <c:pt idx="0">
                  <c:v>Quema en antorcha</c:v>
                </c:pt>
                <c:pt idx="1">
                  <c:v>Exploración</c:v>
                </c:pt>
                <c:pt idx="2">
                  <c:v>Producción</c:v>
                </c:pt>
                <c:pt idx="3">
                  <c:v>Procesamiento</c:v>
                </c:pt>
                <c:pt idx="4">
                  <c:v>Transmisión y almacenamiento</c:v>
                </c:pt>
                <c:pt idx="5">
                  <c:v>Distribución</c:v>
                </c:pt>
              </c:strCache>
            </c:strRef>
          </c:cat>
          <c:val>
            <c:numRef>
              <c:f>'Emisiones Energía'!$D$14:$D$19</c:f>
              <c:numCache>
                <c:formatCode>0.0000000000</c:formatCode>
                <c:ptCount val="6"/>
                <c:pt idx="0">
                  <c:v>3.4555558511078742E-2</c:v>
                </c:pt>
                <c:pt idx="1">
                  <c:v>2.8796298759232288E-3</c:v>
                </c:pt>
                <c:pt idx="2">
                  <c:v>4.0314818262925198E-4</c:v>
                </c:pt>
                <c:pt idx="3">
                  <c:v>3.4555558511078745E-4</c:v>
                </c:pt>
                <c:pt idx="4">
                  <c:v>2.5340742908124414E-5</c:v>
                </c:pt>
                <c:pt idx="5">
                  <c:v>1.4686112367208466E-3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15E-40A3-A588-40BDF648AF6E}"/>
            </c:ext>
          </c:extLst>
        </c:ser>
        <c:dLbls>
          <c:showLegendKey val="0"/>
          <c:showVal val="0"/>
          <c:showCatName val="0"/>
          <c:showSerName val="0"/>
          <c:showPercent val="0"/>
          <c:showBubbleSize val="0"/>
        </c:dLbls>
        <c:gapWidth val="150"/>
        <c:axId val="670946879"/>
        <c:axId val="1263952400"/>
      </c:barChart>
      <c:catAx>
        <c:axId val="670946879"/>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63952400"/>
        <c:crosses val="autoZero"/>
        <c:auto val="1"/>
        <c:lblAlgn val="ctr"/>
        <c:lblOffset val="100"/>
        <c:noMultiLvlLbl val="1"/>
      </c:catAx>
      <c:valAx>
        <c:axId val="1263952400"/>
        <c:scaling>
          <c:orientation val="minMax"/>
        </c:scaling>
        <c:delete val="0"/>
        <c:axPos val="b"/>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[MtonCO2/PJ]</a:t>
                </a:r>
              </a:p>
            </c:rich>
          </c:tx>
          <c:overlay val="0"/>
        </c:title>
        <c:numFmt formatCode="0.0000000000" sourceLinked="1"/>
        <c:majorTickMark val="none"/>
        <c:minorTickMark val="none"/>
        <c:tickLblPos val="nextTo"/>
        <c:spPr>
          <a:ln/>
        </c:spPr>
        <c:txPr>
          <a:bodyPr/>
          <a:lstStyle/>
          <a:p>
            <a:pPr lvl="0">
              <a:defRPr sz="900" b="0" i="0">
                <a:solidFill>
                  <a:srgbClr val="000000"/>
                </a:solidFill>
                <a:latin typeface="+mn-lt"/>
              </a:defRPr>
            </a:pPr>
            <a:endParaRPr lang="en-US"/>
          </a:p>
        </c:txPr>
        <c:crossAx val="670946879"/>
        <c:crosses val="max"/>
        <c:crossBetween val="between"/>
      </c:valAx>
    </c:plotArea>
    <c:plotVisOnly val="1"/>
    <c:dispBlanksAs val="zero"/>
    <c:showDLblsOverMax val="1"/>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Factores de emisión para producción de electricidad y calor como actividad principal</a:t>
            </a:r>
          </a:p>
        </c:rich>
      </c:tx>
      <c:overlay val="0"/>
    </c:title>
    <c:autoTitleDeleted val="0"/>
    <c:plotArea>
      <c:layout/>
      <c:barChart>
        <c:barDir val="bar"/>
        <c:grouping val="clustered"/>
        <c:varyColors val="1"/>
        <c:ser>
          <c:idx val="0"/>
          <c:order val="0"/>
          <c:spPr>
            <a:solidFill>
              <a:srgbClr val="70AD47"/>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'Emisiones Energía'!$C$26:$C$29</c:f>
              <c:strCache>
                <c:ptCount val="4"/>
                <c:pt idx="0">
                  <c:v>Gas/Diesel Oil</c:v>
                </c:pt>
                <c:pt idx="1">
                  <c:v>Fuel oil residual</c:v>
                </c:pt>
                <c:pt idx="2">
                  <c:v>Gas Natural (seco)</c:v>
                </c:pt>
                <c:pt idx="3">
                  <c:v>Desechos municipales</c:v>
                </c:pt>
              </c:strCache>
            </c:strRef>
          </c:cat>
          <c:val>
            <c:numRef>
              <c:f>'Emisiones Energía'!$D$26:$D$29</c:f>
              <c:numCache>
                <c:formatCode>General</c:formatCode>
                <c:ptCount val="4"/>
                <c:pt idx="0">
                  <c:v>7.4099999999999999E-2</c:v>
                </c:pt>
                <c:pt idx="1">
                  <c:v>7.7399999999999997E-2</c:v>
                </c:pt>
                <c:pt idx="2">
                  <c:v>5.6099999999999997E-2</c:v>
                </c:pt>
                <c:pt idx="3">
                  <c:v>9.9999999999999992E-2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1E7-4402-9840-7152472A1116}"/>
            </c:ext>
          </c:extLst>
        </c:ser>
        <c:dLbls>
          <c:showLegendKey val="0"/>
          <c:showVal val="0"/>
          <c:showCatName val="0"/>
          <c:showSerName val="0"/>
          <c:showPercent val="0"/>
          <c:showBubbleSize val="0"/>
        </c:dLbls>
        <c:gapWidth val="150"/>
        <c:axId val="772846352"/>
        <c:axId val="915689700"/>
      </c:barChart>
      <c:catAx>
        <c:axId val="77284635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15689700"/>
        <c:crosses val="autoZero"/>
        <c:auto val="1"/>
        <c:lblAlgn val="ctr"/>
        <c:lblOffset val="100"/>
        <c:noMultiLvlLbl val="1"/>
      </c:catAx>
      <c:valAx>
        <c:axId val="915689700"/>
        <c:scaling>
          <c:orientation val="minMax"/>
        </c:scaling>
        <c:delete val="0"/>
        <c:axPos val="b"/>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[MtonCO2/PJ]</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772846352"/>
        <c:crosses val="max"/>
        <c:crossBetween val="between"/>
      </c:valAx>
    </c:plotArea>
    <c:plotVisOnly val="1"/>
    <c:dispBlanksAs val="zero"/>
    <c:showDLblsOverMax val="1"/>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Factores de emisión para refinación del Petróleo</a:t>
            </a:r>
          </a:p>
        </c:rich>
      </c:tx>
      <c:overlay val="0"/>
    </c:title>
    <c:autoTitleDeleted val="0"/>
    <c:plotArea>
      <c:layout/>
      <c:barChart>
        <c:barDir val="bar"/>
        <c:grouping val="clustered"/>
        <c:varyColors val="1"/>
        <c:ser>
          <c:idx val="0"/>
          <c:order val="0"/>
          <c:spPr>
            <a:solidFill>
              <a:srgbClr val="70AD47"/>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'Emisiones Energía'!$C$33:$C$38</c:f>
              <c:strCache>
                <c:ptCount val="6"/>
                <c:pt idx="0">
                  <c:v>Gasolina</c:v>
                </c:pt>
                <c:pt idx="1">
                  <c:v>Queroseno</c:v>
                </c:pt>
                <c:pt idx="2">
                  <c:v>Gas/Diesel Oil</c:v>
                </c:pt>
                <c:pt idx="3">
                  <c:v>Fuel oil residual</c:v>
                </c:pt>
                <c:pt idx="4">
                  <c:v>Gas licuado de petróleo</c:v>
                </c:pt>
                <c:pt idx="5">
                  <c:v>Gas de refinería</c:v>
                </c:pt>
              </c:strCache>
            </c:strRef>
          </c:cat>
          <c:val>
            <c:numRef>
              <c:f>'Emisiones Energía'!$D$33:$D$38</c:f>
              <c:numCache>
                <c:formatCode>General</c:formatCode>
                <c:ptCount val="6"/>
                <c:pt idx="0">
                  <c:v>6.93E-2</c:v>
                </c:pt>
                <c:pt idx="1">
                  <c:v>7.1499999999999994E-2</c:v>
                </c:pt>
                <c:pt idx="2">
                  <c:v>7.4099999999999999E-2</c:v>
                </c:pt>
                <c:pt idx="3">
                  <c:v>7.7399999999999997E-2</c:v>
                </c:pt>
                <c:pt idx="4">
                  <c:v>6.3100000000000003E-2</c:v>
                </c:pt>
                <c:pt idx="5">
                  <c:v>5.7599999999999998E-2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CE-45D4-86B1-C41C4458683C}"/>
            </c:ext>
          </c:extLst>
        </c:ser>
        <c:dLbls>
          <c:showLegendKey val="0"/>
          <c:showVal val="0"/>
          <c:showCatName val="0"/>
          <c:showSerName val="0"/>
          <c:showPercent val="0"/>
          <c:showBubbleSize val="0"/>
        </c:dLbls>
        <c:gapWidth val="150"/>
        <c:axId val="1584344017"/>
        <c:axId val="88485446"/>
      </c:barChart>
      <c:catAx>
        <c:axId val="158434401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8485446"/>
        <c:crosses val="autoZero"/>
        <c:auto val="1"/>
        <c:lblAlgn val="ctr"/>
        <c:lblOffset val="100"/>
        <c:noMultiLvlLbl val="1"/>
      </c:catAx>
      <c:valAx>
        <c:axId val="88485446"/>
        <c:scaling>
          <c:orientation val="minMax"/>
        </c:scaling>
        <c:delete val="0"/>
        <c:axPos val="b"/>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[MtonCO2/PJ]</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84344017"/>
        <c:crosses val="max"/>
        <c:crossBetween val="between"/>
      </c:valAx>
    </c:plotArea>
    <c:plotVisOnly val="1"/>
    <c:dispBlanksAs val="zero"/>
    <c:showDLblsOverMax val="1"/>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Factores de emisión para Consumo</a:t>
            </a:r>
          </a:p>
        </c:rich>
      </c:tx>
      <c:overlay val="0"/>
    </c:title>
    <c:autoTitleDeleted val="0"/>
    <c:plotArea>
      <c:layout/>
      <c:barChart>
        <c:barDir val="bar"/>
        <c:grouping val="clustered"/>
        <c:varyColors val="1"/>
        <c:ser>
          <c:idx val="0"/>
          <c:order val="0"/>
          <c:spPr>
            <a:solidFill>
              <a:srgbClr val="70AD47"/>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'Emisiones Energía'!$C$42:$C$50</c:f>
              <c:strCache>
                <c:ptCount val="9"/>
                <c:pt idx="0">
                  <c:v>Gas natural</c:v>
                </c:pt>
                <c:pt idx="1">
                  <c:v>Leña</c:v>
                </c:pt>
                <c:pt idx="2">
                  <c:v>Gas licuado de petróleo</c:v>
                </c:pt>
                <c:pt idx="3">
                  <c:v>Gasolina para motores</c:v>
                </c:pt>
                <c:pt idx="4">
                  <c:v>Gasolina para aviación</c:v>
                </c:pt>
                <c:pt idx="5">
                  <c:v>Queroseno</c:v>
                </c:pt>
                <c:pt idx="6">
                  <c:v>Gas/Diesel Oil</c:v>
                </c:pt>
                <c:pt idx="7">
                  <c:v>Fuel oil residual</c:v>
                </c:pt>
                <c:pt idx="8">
                  <c:v>Coque de petróleo</c:v>
                </c:pt>
              </c:strCache>
            </c:strRef>
          </c:cat>
          <c:val>
            <c:numRef>
              <c:f>'Emisiones Energía'!$D$42:$D$50</c:f>
              <c:numCache>
                <c:formatCode>General</c:formatCode>
                <c:ptCount val="9"/>
                <c:pt idx="0">
                  <c:v>5.6099999999999997E-2</c:v>
                </c:pt>
                <c:pt idx="1">
                  <c:v>0.11199999999999999</c:v>
                </c:pt>
                <c:pt idx="2">
                  <c:v>6.3100000000000003E-2</c:v>
                </c:pt>
                <c:pt idx="3">
                  <c:v>6.93E-2</c:v>
                </c:pt>
                <c:pt idx="4">
                  <c:v>6.9999999999999993E-2</c:v>
                </c:pt>
                <c:pt idx="5">
                  <c:v>7.1499999999999994E-2</c:v>
                </c:pt>
                <c:pt idx="6">
                  <c:v>7.4099999999999999E-2</c:v>
                </c:pt>
                <c:pt idx="7">
                  <c:v>7.7399999999999997E-2</c:v>
                </c:pt>
                <c:pt idx="8">
                  <c:v>9.7499999999999989E-2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93-4F39-A3E4-F839C543C25A}"/>
            </c:ext>
          </c:extLst>
        </c:ser>
        <c:dLbls>
          <c:showLegendKey val="0"/>
          <c:showVal val="0"/>
          <c:showCatName val="0"/>
          <c:showSerName val="0"/>
          <c:showPercent val="0"/>
          <c:showBubbleSize val="0"/>
        </c:dLbls>
        <c:gapWidth val="150"/>
        <c:axId val="1648973632"/>
        <c:axId val="1237570518"/>
      </c:barChart>
      <c:catAx>
        <c:axId val="164897363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37570518"/>
        <c:crosses val="autoZero"/>
        <c:auto val="1"/>
        <c:lblAlgn val="ctr"/>
        <c:lblOffset val="100"/>
        <c:noMultiLvlLbl val="1"/>
      </c:catAx>
      <c:valAx>
        <c:axId val="1237570518"/>
        <c:scaling>
          <c:orientation val="minMax"/>
        </c:scaling>
        <c:delete val="0"/>
        <c:axPos val="b"/>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[MtonCO2/PJ]</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648973632"/>
        <c:crosses val="max"/>
        <c:crossBetween val="between"/>
      </c:valAx>
    </c:plotArea>
    <c:plotVisOnly val="1"/>
    <c:dispBlanksAs val="zero"/>
    <c:showDLblsOverMax val="1"/>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Emisiones asociadas a la producción</a:t>
            </a:r>
          </a:p>
        </c:rich>
      </c:tx>
      <c:overlay val="0"/>
    </c:title>
    <c:autoTitleDeleted val="0"/>
    <c:plotArea>
      <c:layout/>
      <c:barChart>
        <c:barDir val="col"/>
        <c:grouping val="stacked"/>
        <c:varyColors val="1"/>
        <c:ser>
          <c:idx val="0"/>
          <c:order val="0"/>
          <c:tx>
            <c:v>Petróleo</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Energía'!$D$53:$G$53</c:f>
              <c:numCache>
                <c:formatCode>0.00</c:formatCode>
                <c:ptCount val="4"/>
                <c:pt idx="0">
                  <c:v>0.1522</c:v>
                </c:pt>
                <c:pt idx="1">
                  <c:v>0.1641</c:v>
                </c:pt>
                <c:pt idx="2">
                  <c:v>0.14860000000000001</c:v>
                </c:pt>
                <c:pt idx="3">
                  <c:v>0.14610000000000001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7D7-4916-8E9E-1D5616713D2A}"/>
            </c:ext>
          </c:extLst>
        </c:ser>
        <c:ser>
          <c:idx val="1"/>
          <c:order val="1"/>
          <c:tx>
            <c:v>Líquidos de gas natural</c:v>
          </c:tx>
          <c:spPr>
            <a:solidFill>
              <a:srgbClr val="ED7D31"/>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Energía'!$D$54:$G$54</c:f>
              <c:numCache>
                <c:formatCode>0.00</c:formatCode>
                <c:ptCount val="4"/>
                <c:pt idx="0">
                  <c:v>4.0000000000000001E-3</c:v>
                </c:pt>
                <c:pt idx="1">
                  <c:v>4.4000000000000003E-3</c:v>
                </c:pt>
                <c:pt idx="2">
                  <c:v>3.8999999999999998E-3</c:v>
                </c:pt>
                <c:pt idx="3">
                  <c:v>4.5999999999999999E-3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7D7-4916-8E9E-1D5616713D2A}"/>
            </c:ext>
          </c:extLst>
        </c:ser>
        <c:ser>
          <c:idx val="2"/>
          <c:order val="2"/>
          <c:tx>
            <c:v>Gas natural</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Energía'!$D$55:$G$55</c:f>
              <c:numCache>
                <c:formatCode>0.00</c:formatCode>
                <c:ptCount val="4"/>
                <c:pt idx="0">
                  <c:v>3.7600000000000001E-2</c:v>
                </c:pt>
                <c:pt idx="1">
                  <c:v>3.6200000000000003E-2</c:v>
                </c:pt>
                <c:pt idx="2">
                  <c:v>3.2299999999999995E-2</c:v>
                </c:pt>
                <c:pt idx="3">
                  <c:v>3.2600000000000004E-2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7D7-4916-8E9E-1D5616713D2A}"/>
            </c:ext>
          </c:extLst>
        </c:ser>
        <c:dLbls>
          <c:showLegendKey val="0"/>
          <c:showVal val="0"/>
          <c:showCatName val="0"/>
          <c:showSerName val="0"/>
          <c:showPercent val="0"/>
          <c:showBubbleSize val="0"/>
        </c:dLbls>
        <c:gapWidth val="150"/>
        <c:overlap val="100"/>
        <c:axId val="542596518"/>
        <c:axId val="1936795291"/>
      </c:barChart>
      <c:catAx>
        <c:axId val="54259651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36795291"/>
        <c:crosses val="autoZero"/>
        <c:auto val="1"/>
        <c:lblAlgn val="ctr"/>
        <c:lblOffset val="100"/>
        <c:noMultiLvlLbl val="1"/>
      </c:catAx>
      <c:valAx>
        <c:axId val="1936795291"/>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lang="en-US" sz="900" b="0" i="0">
                    <a:solidFill>
                      <a:srgbClr val="000000"/>
                    </a:solidFill>
                    <a:latin typeface="+mn-lt"/>
                  </a:rPr>
                  <a:t>[Mton CO2 eq]</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54259651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Emisiones asociadas a la generación de electricidad en centrales eléctricas</a:t>
            </a:r>
          </a:p>
        </c:rich>
      </c:tx>
      <c:overlay val="0"/>
    </c:title>
    <c:autoTitleDeleted val="0"/>
    <c:plotArea>
      <c:layout/>
      <c:barChart>
        <c:barDir val="col"/>
        <c:grouping val="percentStacked"/>
        <c:varyColors val="1"/>
        <c:ser>
          <c:idx val="0"/>
          <c:order val="0"/>
          <c:tx>
            <c:v>Petróleo</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Energía'!$D$63:$G$63</c:f>
              <c:numCache>
                <c:formatCode>General</c:formatCode>
                <c:ptCount val="4"/>
                <c:pt idx="0">
                  <c:v>0</c:v>
                </c:pt>
                <c:pt idx="1">
                  <c:v>0</c:v>
                </c:pt>
                <c:pt idx="2">
                  <c:v>0</c:v>
                </c:pt>
                <c:pt idx="3">
                  <c:v>1.4E-2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44-4DB4-A670-BE5B5A0406F6}"/>
            </c:ext>
          </c:extLst>
        </c:ser>
        <c:ser>
          <c:idx val="1"/>
          <c:order val="1"/>
          <c:tx>
            <c:v>Gas natural</c:v>
          </c:tx>
          <c:spPr>
            <a:solidFill>
              <a:srgbClr val="ED7D31"/>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Energía'!$D$64:$G$64</c:f>
              <c:numCache>
                <c:formatCode>General</c:formatCode>
                <c:ptCount val="4"/>
                <c:pt idx="0">
                  <c:v>0.56950000000000001</c:v>
                </c:pt>
                <c:pt idx="1">
                  <c:v>0.51839999999999997</c:v>
                </c:pt>
                <c:pt idx="2">
                  <c:v>0.44310000000000005</c:v>
                </c:pt>
                <c:pt idx="3">
                  <c:v>0.39200000000000002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A44-4DB4-A670-BE5B5A0406F6}"/>
            </c:ext>
          </c:extLst>
        </c:ser>
        <c:ser>
          <c:idx val="2"/>
          <c:order val="2"/>
          <c:tx>
            <c:v>Productos de caña</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Energía'!$D$65:$G$65</c:f>
              <c:numCache>
                <c:formatCode>General</c:formatCode>
                <c:ptCount val="4"/>
                <c:pt idx="0">
                  <c:v>0</c:v>
                </c:pt>
                <c:pt idx="1">
                  <c:v>0</c:v>
                </c:pt>
                <c:pt idx="2">
                  <c:v>0</c:v>
                </c:pt>
                <c:pt idx="3">
                  <c:v>3.8100000000000002E-2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A44-4DB4-A670-BE5B5A0406F6}"/>
            </c:ext>
          </c:extLst>
        </c:ser>
        <c:ser>
          <c:idx val="3"/>
          <c:order val="3"/>
          <c:tx>
            <c:v>Diesel oil</c:v>
          </c:tx>
          <c:spPr>
            <a:solidFill>
              <a:srgbClr val="FFC000"/>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Energía'!$D$66:$G$66</c:f>
              <c:numCache>
                <c:formatCode>General</c:formatCode>
                <c:ptCount val="4"/>
                <c:pt idx="0">
                  <c:v>0.2185</c:v>
                </c:pt>
                <c:pt idx="1">
                  <c:v>0.26819999999999999</c:v>
                </c:pt>
                <c:pt idx="2">
                  <c:v>0.23550000000000001</c:v>
                </c:pt>
                <c:pt idx="3">
                  <c:v>9.8599999999999993E-2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A44-4DB4-A670-BE5B5A0406F6}"/>
            </c:ext>
          </c:extLst>
        </c:ser>
        <c:ser>
          <c:idx val="4"/>
          <c:order val="4"/>
          <c:invertIfNegative val="1"/>
          <c:cat>
            <c:numRef>
              <c:f>'Emisiones Energía'!$D$1:$G$1</c:f>
              <c:numCache>
                <c:formatCode>General</c:formatCode>
                <c:ptCount val="4"/>
                <c:pt idx="0">
                  <c:v>2018</c:v>
                </c:pt>
                <c:pt idx="1">
                  <c:v>2019</c:v>
                </c:pt>
                <c:pt idx="2">
                  <c:v>2020</c:v>
                </c:pt>
                <c:pt idx="3">
                  <c:v>2021</c:v>
                </c:pt>
              </c:numCache>
            </c:numRef>
          </c:cat>
          <c:val>
            <c:numRef>
              <c:f>'Emisiones Energía'!$D$67:$G$67</c:f>
              <c:numCache>
                <c:formatCode>General</c:formatCode>
                <c:ptCount val="4"/>
                <c:pt idx="0">
                  <c:v>1.9875</c:v>
                </c:pt>
                <c:pt idx="1">
                  <c:v>1.1075999999999999</c:v>
                </c:pt>
                <c:pt idx="2">
                  <c:v>1.0869000000000002</c:v>
                </c:pt>
                <c:pt idx="3">
                  <c:v>0.96279999999999999</c:v>
                </c:pt>
              </c:numCache>
            </c:numRef>
          </c:val>
          <c:extLst>
            <c:ext xmlns:c16="http://schemas.microsoft.com/office/drawing/2014/chart" uri="{C3380CC4-5D6E-409C-BE32-E72D297353CC}">
              <c16:uniqueId val="{00000004-DA44-4DB4-A670-BE5B5A0406F6}"/>
            </c:ext>
          </c:extLst>
        </c:ser>
        <c:ser>
          <c:idx val="5"/>
          <c:order val="5"/>
          <c:invertIfNegative val="1"/>
          <c:cat>
            <c:numRef>
              <c:f>'Emisiones Energía'!$D$1:$G$1</c:f>
              <c:numCache>
                <c:formatCode>General</c:formatCode>
                <c:ptCount val="4"/>
                <c:pt idx="0">
                  <c:v>2018</c:v>
                </c:pt>
                <c:pt idx="1">
                  <c:v>2019</c:v>
                </c:pt>
                <c:pt idx="2">
                  <c:v>2020</c:v>
                </c:pt>
                <c:pt idx="3">
                  <c:v>2021</c:v>
                </c:pt>
              </c:numCache>
            </c:numRef>
          </c:cat>
          <c:val>
            <c:numRef>
              <c:f>'Emisiones Energía'!$D$68:$G$68</c:f>
              <c:numCache>
                <c:formatCode>General</c:formatCode>
                <c:ptCount val="4"/>
                <c:pt idx="0">
                  <c:v>5.0000000000000001E-4</c:v>
                </c:pt>
                <c:pt idx="1">
                  <c:v>2.0000000000000001E-4</c:v>
                </c:pt>
                <c:pt idx="2">
                  <c:v>0</c:v>
                </c:pt>
                <c:pt idx="3">
                  <c:v>0</c:v>
                </c:pt>
              </c:numCache>
            </c:numRef>
          </c:val>
          <c:extLst>
            <c:ext xmlns:c16="http://schemas.microsoft.com/office/drawing/2014/chart" uri="{C3380CC4-5D6E-409C-BE32-E72D297353CC}">
              <c16:uniqueId val="{00000005-DA44-4DB4-A670-BE5B5A0406F6}"/>
            </c:ext>
          </c:extLst>
        </c:ser>
        <c:dLbls>
          <c:showLegendKey val="0"/>
          <c:showVal val="0"/>
          <c:showCatName val="0"/>
          <c:showSerName val="0"/>
          <c:showPercent val="0"/>
          <c:showBubbleSize val="0"/>
        </c:dLbls>
        <c:gapWidth val="150"/>
        <c:overlap val="100"/>
        <c:axId val="1257317320"/>
        <c:axId val="1879898356"/>
      </c:barChart>
      <c:catAx>
        <c:axId val="125731732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79898356"/>
        <c:crosses val="autoZero"/>
        <c:auto val="1"/>
        <c:lblAlgn val="ctr"/>
        <c:lblOffset val="100"/>
        <c:noMultiLvlLbl val="1"/>
      </c:catAx>
      <c:valAx>
        <c:axId val="1879898356"/>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[Mton CO2 eq]</a:t>
                </a: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25731732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Emisiones asociadas a la generación de electricidad en autoproductores</a:t>
            </a:r>
          </a:p>
        </c:rich>
      </c:tx>
      <c:overlay val="0"/>
    </c:title>
    <c:autoTitleDeleted val="0"/>
    <c:plotArea>
      <c:layout/>
      <c:barChart>
        <c:barDir val="col"/>
        <c:grouping val="percentStacked"/>
        <c:varyColors val="1"/>
        <c:ser>
          <c:idx val="0"/>
          <c:order val="0"/>
          <c:tx>
            <c:v>Petróleo</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Energía'!$D$72:$G$72</c:f>
              <c:numCache>
                <c:formatCode>0.000</c:formatCode>
                <c:ptCount val="4"/>
                <c:pt idx="0">
                  <c:v>1.1393</c:v>
                </c:pt>
                <c:pt idx="1">
                  <c:v>1.2007000000000001</c:v>
                </c:pt>
                <c:pt idx="2">
                  <c:v>1.2099000000000002</c:v>
                </c:pt>
                <c:pt idx="3">
                  <c:v>1.1555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39D-4EBE-9C29-A16F21FCB0F9}"/>
            </c:ext>
          </c:extLst>
        </c:ser>
        <c:ser>
          <c:idx val="1"/>
          <c:order val="1"/>
          <c:tx>
            <c:v>Gas natural</c:v>
          </c:tx>
          <c:spPr>
            <a:solidFill>
              <a:srgbClr val="ED7D31"/>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Energía'!$D$73:$G$73</c:f>
              <c:numCache>
                <c:formatCode>0.000</c:formatCode>
                <c:ptCount val="4"/>
                <c:pt idx="0">
                  <c:v>0.54660000000000009</c:v>
                </c:pt>
                <c:pt idx="1">
                  <c:v>0.47910000000000003</c:v>
                </c:pt>
                <c:pt idx="2">
                  <c:v>0.41830000000000001</c:v>
                </c:pt>
                <c:pt idx="3">
                  <c:v>0.4662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39D-4EBE-9C29-A16F21FCB0F9}"/>
            </c:ext>
          </c:extLst>
        </c:ser>
        <c:ser>
          <c:idx val="2"/>
          <c:order val="2"/>
          <c:tx>
            <c:v>Productos de caña</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Energía'!$D$74:$G$74</c:f>
              <c:numCache>
                <c:formatCode>0.000</c:formatCode>
                <c:ptCount val="4"/>
                <c:pt idx="0">
                  <c:v>0.27789999999999998</c:v>
                </c:pt>
                <c:pt idx="1">
                  <c:v>0.30060000000000003</c:v>
                </c:pt>
                <c:pt idx="2">
                  <c:v>0.31010000000000004</c:v>
                </c:pt>
                <c:pt idx="3">
                  <c:v>0.23290000000000002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39D-4EBE-9C29-A16F21FCB0F9}"/>
            </c:ext>
          </c:extLst>
        </c:ser>
        <c:ser>
          <c:idx val="3"/>
          <c:order val="3"/>
          <c:tx>
            <c:v>GLP</c:v>
          </c:tx>
          <c:spPr>
            <a:solidFill>
              <a:srgbClr val="FFC000"/>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Energía'!$D$75:$G$75</c:f>
              <c:numCache>
                <c:formatCode>0.000</c:formatCode>
                <c:ptCount val="4"/>
                <c:pt idx="0">
                  <c:v>4.6200000000000005E-2</c:v>
                </c:pt>
                <c:pt idx="1">
                  <c:v>3.6900000000000002E-2</c:v>
                </c:pt>
                <c:pt idx="2">
                  <c:v>3.8899999999999997E-2</c:v>
                </c:pt>
                <c:pt idx="3">
                  <c:v>3.6299999999999999E-2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39D-4EBE-9C29-A16F21FCB0F9}"/>
            </c:ext>
          </c:extLst>
        </c:ser>
        <c:ser>
          <c:idx val="4"/>
          <c:order val="4"/>
          <c:tx>
            <c:v>Diesel oil</c:v>
          </c:tx>
          <c:spPr>
            <a:solidFill>
              <a:srgbClr val="5B9BD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Energía'!$D$76:$G$76</c:f>
              <c:numCache>
                <c:formatCode>0.000</c:formatCode>
                <c:ptCount val="4"/>
                <c:pt idx="0">
                  <c:v>0.95829999999999993</c:v>
                </c:pt>
                <c:pt idx="1">
                  <c:v>1.0486</c:v>
                </c:pt>
                <c:pt idx="2">
                  <c:v>1.0057</c:v>
                </c:pt>
                <c:pt idx="3">
                  <c:v>1.1934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39D-4EBE-9C29-A16F21FCB0F9}"/>
            </c:ext>
          </c:extLst>
        </c:ser>
        <c:ser>
          <c:idx val="5"/>
          <c:order val="5"/>
          <c:tx>
            <c:v>Fuel oil</c:v>
          </c:tx>
          <c:spPr>
            <a:solidFill>
              <a:srgbClr val="70AD47"/>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Energía'!$D$77:$G$77</c:f>
              <c:numCache>
                <c:formatCode>0.000</c:formatCode>
                <c:ptCount val="4"/>
                <c:pt idx="0">
                  <c:v>7.0000000000000007E-2</c:v>
                </c:pt>
                <c:pt idx="1">
                  <c:v>6.720000000000001E-2</c:v>
                </c:pt>
                <c:pt idx="2">
                  <c:v>6.720000000000001E-2</c:v>
                </c:pt>
                <c:pt idx="3">
                  <c:v>7.0400000000000004E-2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639D-4EBE-9C29-A16F21FCB0F9}"/>
            </c:ext>
          </c:extLst>
        </c:ser>
        <c:ser>
          <c:idx val="6"/>
          <c:order val="6"/>
          <c:tx>
            <c:v>Otros productos de petróleo y gas</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Energía'!$D$78:$G$78</c:f>
              <c:numCache>
                <c:formatCode>0.000</c:formatCode>
                <c:ptCount val="4"/>
                <c:pt idx="0">
                  <c:v>2.9999999999999997E-4</c:v>
                </c:pt>
                <c:pt idx="1">
                  <c:v>2.0000000000000001E-4</c:v>
                </c:pt>
                <c:pt idx="2">
                  <c:v>2.0000000000000001E-4</c:v>
                </c:pt>
                <c:pt idx="3">
                  <c:v>2.0000000000000001E-4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639D-4EBE-9C29-A16F21FCB0F9}"/>
            </c:ext>
          </c:extLst>
        </c:ser>
        <c:dLbls>
          <c:showLegendKey val="0"/>
          <c:showVal val="0"/>
          <c:showCatName val="0"/>
          <c:showSerName val="0"/>
          <c:showPercent val="0"/>
          <c:showBubbleSize val="0"/>
        </c:dLbls>
        <c:gapWidth val="150"/>
        <c:overlap val="100"/>
        <c:axId val="2057227580"/>
        <c:axId val="624616419"/>
      </c:barChart>
      <c:catAx>
        <c:axId val="205722758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24616419"/>
        <c:crosses val="autoZero"/>
        <c:auto val="1"/>
        <c:lblAlgn val="ctr"/>
        <c:lblOffset val="100"/>
        <c:noMultiLvlLbl val="1"/>
      </c:catAx>
      <c:valAx>
        <c:axId val="624616419"/>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[Mton CO2 eq]</a:t>
                </a: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05722758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Emisiones asociadas al consumo de combustibles</a:t>
            </a:r>
          </a:p>
        </c:rich>
      </c:tx>
      <c:overlay val="0"/>
    </c:title>
    <c:autoTitleDeleted val="0"/>
    <c:plotArea>
      <c:layout/>
      <c:barChart>
        <c:barDir val="col"/>
        <c:grouping val="percentStacked"/>
        <c:varyColors val="1"/>
        <c:ser>
          <c:idx val="0"/>
          <c:order val="0"/>
          <c:tx>
            <c:v>Gas natural</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Energía'!$D$85:$G$85</c:f>
              <c:numCache>
                <c:formatCode>0.00</c:formatCode>
                <c:ptCount val="4"/>
                <c:pt idx="0">
                  <c:v>0.1115</c:v>
                </c:pt>
                <c:pt idx="1">
                  <c:v>8.9800000000000005E-2</c:v>
                </c:pt>
                <c:pt idx="2">
                  <c:v>5.4100000000000002E-2</c:v>
                </c:pt>
                <c:pt idx="3">
                  <c:v>9.4200000000000006E-2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AF4-49CB-B726-366AA06E555D}"/>
            </c:ext>
          </c:extLst>
        </c:ser>
        <c:ser>
          <c:idx val="1"/>
          <c:order val="1"/>
          <c:tx>
            <c:v>Leña</c:v>
          </c:tx>
          <c:spPr>
            <a:solidFill>
              <a:srgbClr val="ED7D31"/>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Energía'!$D$86:$G$86</c:f>
              <c:numCache>
                <c:formatCode>0.00</c:formatCode>
                <c:ptCount val="4"/>
                <c:pt idx="0">
                  <c:v>1.1982999999999999</c:v>
                </c:pt>
                <c:pt idx="1">
                  <c:v>1.1757</c:v>
                </c:pt>
                <c:pt idx="2">
                  <c:v>1.1331</c:v>
                </c:pt>
                <c:pt idx="3">
                  <c:v>1.0877000000000001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AF4-49CB-B726-366AA06E555D}"/>
            </c:ext>
          </c:extLst>
        </c:ser>
        <c:ser>
          <c:idx val="2"/>
          <c:order val="2"/>
          <c:tx>
            <c:v>Productos de caña</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Energía'!$D$87:$G$87</c:f>
              <c:numCache>
                <c:formatCode>0.00</c:formatCode>
                <c:ptCount val="4"/>
                <c:pt idx="0">
                  <c:v>0.83679999999999999</c:v>
                </c:pt>
                <c:pt idx="1">
                  <c:v>0.91279999999999994</c:v>
                </c:pt>
                <c:pt idx="2">
                  <c:v>0.9264</c:v>
                </c:pt>
                <c:pt idx="3">
                  <c:v>0.78160000000000007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AF4-49CB-B726-366AA06E555D}"/>
            </c:ext>
          </c:extLst>
        </c:ser>
        <c:ser>
          <c:idx val="3"/>
          <c:order val="3"/>
          <c:tx>
            <c:v>GLP</c:v>
          </c:tx>
          <c:spPr>
            <a:solidFill>
              <a:srgbClr val="FFC000"/>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Energía'!$D$88:$G$88</c:f>
              <c:numCache>
                <c:formatCode>0.00</c:formatCode>
                <c:ptCount val="4"/>
                <c:pt idx="0">
                  <c:v>3.2013000000000003</c:v>
                </c:pt>
                <c:pt idx="1">
                  <c:v>3.4309000000000003</c:v>
                </c:pt>
                <c:pt idx="2">
                  <c:v>3.4660000000000002</c:v>
                </c:pt>
                <c:pt idx="3">
                  <c:v>3.5874000000000001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AF4-49CB-B726-366AA06E555D}"/>
            </c:ext>
          </c:extLst>
        </c:ser>
        <c:ser>
          <c:idx val="4"/>
          <c:order val="4"/>
          <c:tx>
            <c:v>Gasolina</c:v>
          </c:tx>
          <c:spPr>
            <a:solidFill>
              <a:srgbClr val="5B9BD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Energía'!$D$89:$G$89</c:f>
              <c:numCache>
                <c:formatCode>0.00</c:formatCode>
                <c:ptCount val="4"/>
                <c:pt idx="0">
                  <c:v>11.328899999999999</c:v>
                </c:pt>
                <c:pt idx="1">
                  <c:v>11.376100000000001</c:v>
                </c:pt>
                <c:pt idx="2">
                  <c:v>8.934899999999999</c:v>
                </c:pt>
                <c:pt idx="3">
                  <c:v>10.724299999999999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AF4-49CB-B726-366AA06E555D}"/>
            </c:ext>
          </c:extLst>
        </c:ser>
        <c:ser>
          <c:idx val="5"/>
          <c:order val="5"/>
          <c:tx>
            <c:v>Kerosene/Jet Fuel</c:v>
          </c:tx>
          <c:spPr>
            <a:solidFill>
              <a:srgbClr val="70AD47"/>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Energía'!$D$90:$G$90</c:f>
              <c:numCache>
                <c:formatCode>0.00</c:formatCode>
                <c:ptCount val="4"/>
                <c:pt idx="0">
                  <c:v>0.37540000000000001</c:v>
                </c:pt>
                <c:pt idx="1">
                  <c:v>0.35370000000000001</c:v>
                </c:pt>
                <c:pt idx="2">
                  <c:v>0.24110000000000001</c:v>
                </c:pt>
                <c:pt idx="3">
                  <c:v>0.3029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CAF4-49CB-B726-366AA06E555D}"/>
            </c:ext>
          </c:extLst>
        </c:ser>
        <c:ser>
          <c:idx val="6"/>
          <c:order val="6"/>
          <c:tx>
            <c:v>Diesel oil</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Energía'!$D$91:$G$91</c:f>
              <c:numCache>
                <c:formatCode>0.00</c:formatCode>
                <c:ptCount val="4"/>
                <c:pt idx="0">
                  <c:v>12.933400000000001</c:v>
                </c:pt>
                <c:pt idx="1">
                  <c:v>12.778</c:v>
                </c:pt>
                <c:pt idx="2">
                  <c:v>10.964</c:v>
                </c:pt>
                <c:pt idx="3">
                  <c:v>12.293900000000001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CAF4-49CB-B726-366AA06E555D}"/>
            </c:ext>
          </c:extLst>
        </c:ser>
        <c:ser>
          <c:idx val="7"/>
          <c:order val="7"/>
          <c:tx>
            <c:v>Fuel oil</c:v>
          </c:tx>
          <c:spPr>
            <a:solidFill>
              <a:srgbClr val="ED7D31"/>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Energía'!$D$92:$G$92</c:f>
              <c:numCache>
                <c:formatCode>0.00</c:formatCode>
                <c:ptCount val="4"/>
                <c:pt idx="0">
                  <c:v>0.78439999999999999</c:v>
                </c:pt>
                <c:pt idx="1">
                  <c:v>0.80630000000000002</c:v>
                </c:pt>
                <c:pt idx="2">
                  <c:v>0.75729999999999997</c:v>
                </c:pt>
                <c:pt idx="3">
                  <c:v>0.86699999999999999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CAF4-49CB-B726-366AA06E555D}"/>
            </c:ext>
          </c:extLst>
        </c:ser>
        <c:ser>
          <c:idx val="8"/>
          <c:order val="8"/>
          <c:tx>
            <c:v>Coque</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Energía'!$D$93:$G$93</c:f>
              <c:numCache>
                <c:formatCode>0.00</c:formatCode>
                <c:ptCount val="4"/>
                <c:pt idx="0">
                  <c:v>0</c:v>
                </c:pt>
                <c:pt idx="1">
                  <c:v>0</c:v>
                </c:pt>
                <c:pt idx="2">
                  <c:v>0</c:v>
                </c:pt>
                <c:pt idx="3">
                  <c:v>0.5544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CAF4-49CB-B726-366AA06E555D}"/>
            </c:ext>
          </c:extLst>
        </c:ser>
        <c:ser>
          <c:idx val="9"/>
          <c:order val="9"/>
          <c:invertIfNegative val="1"/>
          <c:cat>
            <c:numRef>
              <c:f>'Emisiones Energía'!$D$1:$G$1</c:f>
              <c:numCache>
                <c:formatCode>General</c:formatCode>
                <c:ptCount val="4"/>
                <c:pt idx="0">
                  <c:v>2018</c:v>
                </c:pt>
                <c:pt idx="1">
                  <c:v>2019</c:v>
                </c:pt>
                <c:pt idx="2">
                  <c:v>2020</c:v>
                </c:pt>
                <c:pt idx="3">
                  <c:v>2021</c:v>
                </c:pt>
              </c:numCache>
            </c:numRef>
          </c:cat>
          <c:val>
            <c:numRef>
              <c:f>'Emisiones Energía'!$D$94:$G$94</c:f>
              <c:numCache>
                <c:formatCode>0.00</c:formatCode>
                <c:ptCount val="4"/>
                <c:pt idx="0">
                  <c:v>0.65910000000000002</c:v>
                </c:pt>
                <c:pt idx="1">
                  <c:v>0.63060000000000005</c:v>
                </c:pt>
                <c:pt idx="2">
                  <c:v>0.48710000000000003</c:v>
                </c:pt>
                <c:pt idx="3">
                  <c:v>0.58610000000000007</c:v>
                </c:pt>
              </c:numCache>
            </c:numRef>
          </c:val>
          <c:extLst>
            <c:ext xmlns:c16="http://schemas.microsoft.com/office/drawing/2014/chart" uri="{C3380CC4-5D6E-409C-BE32-E72D297353CC}">
              <c16:uniqueId val="{00000009-CAF4-49CB-B726-366AA06E555D}"/>
            </c:ext>
          </c:extLst>
        </c:ser>
        <c:dLbls>
          <c:showLegendKey val="0"/>
          <c:showVal val="0"/>
          <c:showCatName val="0"/>
          <c:showSerName val="0"/>
          <c:showPercent val="0"/>
          <c:showBubbleSize val="0"/>
        </c:dLbls>
        <c:gapWidth val="150"/>
        <c:overlap val="100"/>
        <c:axId val="2088417346"/>
        <c:axId val="987558110"/>
      </c:barChart>
      <c:catAx>
        <c:axId val="20884173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87558110"/>
        <c:crosses val="autoZero"/>
        <c:auto val="1"/>
        <c:lblAlgn val="ctr"/>
        <c:lblOffset val="100"/>
        <c:noMultiLvlLbl val="1"/>
      </c:catAx>
      <c:valAx>
        <c:axId val="987558110"/>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[Mton CO2 eq]</a:t>
                </a: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208841734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Emisiones asociadas a centros de gas</a:t>
            </a:r>
          </a:p>
        </c:rich>
      </c:tx>
      <c:overlay val="0"/>
    </c:title>
    <c:autoTitleDeleted val="0"/>
    <c:plotArea>
      <c:layout/>
      <c:barChart>
        <c:barDir val="col"/>
        <c:grouping val="percentStacked"/>
        <c:varyColors val="1"/>
        <c:ser>
          <c:idx val="0"/>
          <c:order val="0"/>
          <c:tx>
            <c:v>Líquidos de gas natural</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Energía'!$D$101:$G$101</c:f>
              <c:numCache>
                <c:formatCode>0.00</c:formatCode>
                <c:ptCount val="4"/>
                <c:pt idx="0">
                  <c:v>0.31280000000000002</c:v>
                </c:pt>
                <c:pt idx="1">
                  <c:v>0.34489999999999998</c:v>
                </c:pt>
                <c:pt idx="2">
                  <c:v>0.30449999999999999</c:v>
                </c:pt>
                <c:pt idx="3">
                  <c:v>0.32930000000000004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8B8-4902-9592-2CB02C4F96D4}"/>
            </c:ext>
          </c:extLst>
        </c:ser>
        <c:ser>
          <c:idx val="1"/>
          <c:order val="1"/>
          <c:tx>
            <c:v>Gas natural</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Energía'!$D$102:$G$102</c:f>
              <c:numCache>
                <c:formatCode>0.00</c:formatCode>
                <c:ptCount val="4"/>
                <c:pt idx="0">
                  <c:v>0.32269999999999999</c:v>
                </c:pt>
                <c:pt idx="1">
                  <c:v>0.29699999999999999</c:v>
                </c:pt>
                <c:pt idx="2">
                  <c:v>0.26050000000000001</c:v>
                </c:pt>
                <c:pt idx="3">
                  <c:v>0.28810000000000002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8B8-4902-9592-2CB02C4F96D4}"/>
            </c:ext>
          </c:extLst>
        </c:ser>
        <c:dLbls>
          <c:showLegendKey val="0"/>
          <c:showVal val="0"/>
          <c:showCatName val="0"/>
          <c:showSerName val="0"/>
          <c:showPercent val="0"/>
          <c:showBubbleSize val="0"/>
        </c:dLbls>
        <c:gapWidth val="150"/>
        <c:overlap val="100"/>
        <c:axId val="335792165"/>
        <c:axId val="1200781282"/>
      </c:barChart>
      <c:catAx>
        <c:axId val="33579216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00781282"/>
        <c:crosses val="autoZero"/>
        <c:auto val="1"/>
        <c:lblAlgn val="ctr"/>
        <c:lblOffset val="100"/>
        <c:noMultiLvlLbl val="1"/>
      </c:catAx>
      <c:valAx>
        <c:axId val="1200781282"/>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[Mton CO2 eq]</a:t>
                </a: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33579216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Emisiones asociadas a consumo propio</a:t>
            </a:r>
          </a:p>
        </c:rich>
      </c:tx>
      <c:overlay val="0"/>
    </c:title>
    <c:autoTitleDeleted val="0"/>
    <c:plotArea>
      <c:layout/>
      <c:barChart>
        <c:barDir val="col"/>
        <c:grouping val="percentStacked"/>
        <c:varyColors val="1"/>
        <c:ser>
          <c:idx val="0"/>
          <c:order val="0"/>
          <c:tx>
            <c:v>Petróleo</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Energía'!$D$106:$G$106</c:f>
              <c:numCache>
                <c:formatCode>0.00</c:formatCode>
                <c:ptCount val="4"/>
                <c:pt idx="0">
                  <c:v>0.44900000000000001</c:v>
                </c:pt>
                <c:pt idx="1">
                  <c:v>0.4854</c:v>
                </c:pt>
                <c:pt idx="2">
                  <c:v>0.45460000000000006</c:v>
                </c:pt>
                <c:pt idx="3">
                  <c:v>0.4375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30-4E3D-8AAB-B3EF59F3CC2B}"/>
            </c:ext>
          </c:extLst>
        </c:ser>
        <c:ser>
          <c:idx val="1"/>
          <c:order val="1"/>
          <c:tx>
            <c:v>GLP</c:v>
          </c:tx>
          <c:spPr>
            <a:solidFill>
              <a:srgbClr val="ED7D31"/>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Energía'!$D$107:$G$107</c:f>
              <c:numCache>
                <c:formatCode>0.00</c:formatCode>
                <c:ptCount val="4"/>
                <c:pt idx="0">
                  <c:v>4.9399999999999999E-2</c:v>
                </c:pt>
                <c:pt idx="1">
                  <c:v>4.0700000000000007E-2</c:v>
                </c:pt>
                <c:pt idx="2">
                  <c:v>4.1700000000000001E-2</c:v>
                </c:pt>
                <c:pt idx="3">
                  <c:v>3.9700000000000006E-2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A30-4E3D-8AAB-B3EF59F3CC2B}"/>
            </c:ext>
          </c:extLst>
        </c:ser>
        <c:ser>
          <c:idx val="2"/>
          <c:order val="2"/>
          <c:tx>
            <c:v>Gasolina</c:v>
          </c:tx>
          <c:spPr>
            <a:solidFill>
              <a:srgbClr val="A5A5A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Energía'!$D$108:$G$108</c:f>
              <c:numCache>
                <c:formatCode>0.00</c:formatCode>
                <c:ptCount val="4"/>
                <c:pt idx="0">
                  <c:v>4.6300000000000001E-2</c:v>
                </c:pt>
                <c:pt idx="1">
                  <c:v>5.1400000000000001E-2</c:v>
                </c:pt>
                <c:pt idx="2">
                  <c:v>4.3700000000000003E-2</c:v>
                </c:pt>
                <c:pt idx="3">
                  <c:v>4.9100000000000005E-2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A30-4E3D-8AAB-B3EF59F3CC2B}"/>
            </c:ext>
          </c:extLst>
        </c:ser>
        <c:ser>
          <c:idx val="3"/>
          <c:order val="3"/>
          <c:tx>
            <c:v>Kerosene/Jet Fuel</c:v>
          </c:tx>
          <c:spPr>
            <a:solidFill>
              <a:srgbClr val="FFC000"/>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Energía'!$D$109:$G$109</c:f>
              <c:numCache>
                <c:formatCode>0.00</c:formatCode>
                <c:ptCount val="4"/>
                <c:pt idx="0">
                  <c:v>8.8999999999999999E-3</c:v>
                </c:pt>
                <c:pt idx="1">
                  <c:v>1.0199999999999999E-2</c:v>
                </c:pt>
                <c:pt idx="2">
                  <c:v>9.300000000000001E-3</c:v>
                </c:pt>
                <c:pt idx="3">
                  <c:v>1.01E-2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A30-4E3D-8AAB-B3EF59F3CC2B}"/>
            </c:ext>
          </c:extLst>
        </c:ser>
        <c:ser>
          <c:idx val="4"/>
          <c:order val="4"/>
          <c:tx>
            <c:v>Diesel oil</c:v>
          </c:tx>
          <c:spPr>
            <a:solidFill>
              <a:srgbClr val="5B9BD5"/>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Energía'!$D$110:$G$110</c:f>
              <c:numCache>
                <c:formatCode>0.00</c:formatCode>
                <c:ptCount val="4"/>
                <c:pt idx="0">
                  <c:v>0.35399999999999998</c:v>
                </c:pt>
                <c:pt idx="1">
                  <c:v>0.36249999999999999</c:v>
                </c:pt>
                <c:pt idx="2">
                  <c:v>0.31290000000000001</c:v>
                </c:pt>
                <c:pt idx="3">
                  <c:v>0.32739999999999997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A30-4E3D-8AAB-B3EF59F3CC2B}"/>
            </c:ext>
          </c:extLst>
        </c:ser>
        <c:ser>
          <c:idx val="5"/>
          <c:order val="5"/>
          <c:tx>
            <c:v>Fuel oil</c:v>
          </c:tx>
          <c:spPr>
            <a:solidFill>
              <a:srgbClr val="70AD47"/>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Energía'!$D$111:$G$111</c:f>
              <c:numCache>
                <c:formatCode>0.00</c:formatCode>
                <c:ptCount val="4"/>
                <c:pt idx="0">
                  <c:v>0.6431</c:v>
                </c:pt>
                <c:pt idx="1">
                  <c:v>0.58550000000000002</c:v>
                </c:pt>
                <c:pt idx="2">
                  <c:v>0.49180000000000001</c:v>
                </c:pt>
                <c:pt idx="3">
                  <c:v>0.58389999999999997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0A30-4E3D-8AAB-B3EF59F3CC2B}"/>
            </c:ext>
          </c:extLst>
        </c:ser>
        <c:ser>
          <c:idx val="6"/>
          <c:order val="6"/>
          <c:tx>
            <c:v>Gas de refinería</c:v>
          </c:tx>
          <c:spPr>
            <a:solidFill>
              <a:srgbClr val="4472C4"/>
            </a:solidFill>
            <a:ln cmpd="sng">
              <a:solidFill>
                <a:srgbClr val="000000"/>
              </a:solidFill>
            </a:ln>
          </c:spPr>
          <c:invertIfNegative val="1"/>
          <c:cat>
            <c:numRef>
              <c:f>'Emisiones Energía'!$D$1:$G$1</c:f>
              <c:numCache>
                <c:formatCode>General</c:formatCode>
                <c:ptCount val="4"/>
                <c:pt idx="0">
                  <c:v>2018</c:v>
                </c:pt>
                <c:pt idx="1">
                  <c:v>2019</c:v>
                </c:pt>
                <c:pt idx="2">
                  <c:v>2020</c:v>
                </c:pt>
                <c:pt idx="3">
                  <c:v>2021</c:v>
                </c:pt>
              </c:numCache>
            </c:numRef>
          </c:cat>
          <c:val>
            <c:numRef>
              <c:f>'Emisiones Energía'!$D$112:$G$112</c:f>
              <c:numCache>
                <c:formatCode>0.00</c:formatCode>
                <c:ptCount val="4"/>
                <c:pt idx="0">
                  <c:v>9.6500000000000002E-2</c:v>
                </c:pt>
                <c:pt idx="1">
                  <c:v>9.35E-2</c:v>
                </c:pt>
                <c:pt idx="2">
                  <c:v>0.192</c:v>
                </c:pt>
                <c:pt idx="3">
                  <c:v>0.2049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0A30-4E3D-8AAB-B3EF59F3CC2B}"/>
            </c:ext>
          </c:extLst>
        </c:ser>
        <c:dLbls>
          <c:showLegendKey val="0"/>
          <c:showVal val="0"/>
          <c:showCatName val="0"/>
          <c:showSerName val="0"/>
          <c:showPercent val="0"/>
          <c:showBubbleSize val="0"/>
        </c:dLbls>
        <c:gapWidth val="150"/>
        <c:overlap val="100"/>
        <c:axId val="712602543"/>
        <c:axId val="1734915835"/>
      </c:barChart>
      <c:catAx>
        <c:axId val="71260254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34915835"/>
        <c:crosses val="autoZero"/>
        <c:auto val="1"/>
        <c:lblAlgn val="ctr"/>
        <c:lblOffset val="100"/>
        <c:noMultiLvlLbl val="1"/>
      </c:catAx>
      <c:valAx>
        <c:axId val="1734915835"/>
        <c:scaling>
          <c:orientation val="minMax"/>
        </c:scaling>
        <c:delete val="0"/>
        <c:axPos val="l"/>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[Mton CO2 eq]</a:t>
                </a: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71260254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Factores de emisión de gen.eléctrica en autoproductores térmicos que queman petróleo</a:t>
            </a:r>
          </a:p>
        </c:rich>
      </c:tx>
      <c:overlay val="0"/>
    </c:title>
    <c:autoTitleDeleted val="0"/>
    <c:plotArea>
      <c:layout/>
      <c:barChart>
        <c:barDir val="bar"/>
        <c:grouping val="clustered"/>
        <c:varyColors val="1"/>
        <c:ser>
          <c:idx val="0"/>
          <c:order val="0"/>
          <c:tx>
            <c:v>2018</c:v>
          </c:tx>
          <c:spPr>
            <a:solidFill>
              <a:srgbClr val="70AD47"/>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'Emisiones Energía'!$D$127</c:f>
              <c:numCache>
                <c:formatCode>0.000</c:formatCode>
                <c:ptCount val="1"/>
                <c:pt idx="0">
                  <c:v>0.44580327000000008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FEC-4061-BAEE-EDF8A8E3EECA}"/>
            </c:ext>
          </c:extLst>
        </c:ser>
        <c:dLbls>
          <c:showLegendKey val="0"/>
          <c:showVal val="0"/>
          <c:showCatName val="0"/>
          <c:showSerName val="0"/>
          <c:showPercent val="0"/>
          <c:showBubbleSize val="0"/>
        </c:dLbls>
        <c:gapWidth val="150"/>
        <c:axId val="606618198"/>
        <c:axId val="356443187"/>
      </c:barChart>
      <c:catAx>
        <c:axId val="606618198"/>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356443187"/>
        <c:crosses val="autoZero"/>
        <c:auto val="1"/>
        <c:lblAlgn val="ctr"/>
        <c:lblOffset val="100"/>
        <c:noMultiLvlLbl val="1"/>
      </c:catAx>
      <c:valAx>
        <c:axId val="356443187"/>
        <c:scaling>
          <c:orientation val="minMax"/>
        </c:scaling>
        <c:delete val="0"/>
        <c:axPos val="b"/>
        <c:majorGridlines>
          <c:spPr>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[MtonCO2/PJ]</a:t>
                </a:r>
              </a:p>
            </c:rich>
          </c:tx>
          <c:overlay val="0"/>
        </c:title>
        <c:numFmt formatCode="0.000" sourceLinked="1"/>
        <c:majorTickMark val="none"/>
        <c:minorTickMark val="none"/>
        <c:tickLblPos val="nextTo"/>
        <c:spPr>
          <a:ln/>
        </c:spPr>
        <c:txPr>
          <a:bodyPr/>
          <a:lstStyle/>
          <a:p>
            <a:pPr lvl="0">
              <a:defRPr sz="900" b="0" i="0">
                <a:solidFill>
                  <a:srgbClr val="000000"/>
                </a:solidFill>
                <a:latin typeface="+mn-lt"/>
              </a:defRPr>
            </a:pPr>
            <a:endParaRPr lang="en-US"/>
          </a:p>
        </c:txPr>
        <c:crossAx val="606618198"/>
        <c:crosses val="max"/>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29.xml"/><Relationship Id="rId18" Type="http://schemas.openxmlformats.org/officeDocument/2006/relationships/chart" Target="../charts/chart34.xml"/><Relationship Id="rId26" Type="http://schemas.openxmlformats.org/officeDocument/2006/relationships/chart" Target="../charts/chart42.xml"/><Relationship Id="rId39" Type="http://schemas.openxmlformats.org/officeDocument/2006/relationships/chart" Target="../charts/chart55.xml"/><Relationship Id="rId21" Type="http://schemas.openxmlformats.org/officeDocument/2006/relationships/chart" Target="../charts/chart37.xml"/><Relationship Id="rId34" Type="http://schemas.openxmlformats.org/officeDocument/2006/relationships/chart" Target="../charts/chart50.xml"/><Relationship Id="rId42" Type="http://schemas.openxmlformats.org/officeDocument/2006/relationships/chart" Target="../charts/chart58.xml"/><Relationship Id="rId7" Type="http://schemas.openxmlformats.org/officeDocument/2006/relationships/chart" Target="../charts/chart23.xml"/><Relationship Id="rId2" Type="http://schemas.openxmlformats.org/officeDocument/2006/relationships/chart" Target="../charts/chart18.xml"/><Relationship Id="rId16" Type="http://schemas.openxmlformats.org/officeDocument/2006/relationships/chart" Target="../charts/chart32.xml"/><Relationship Id="rId20" Type="http://schemas.openxmlformats.org/officeDocument/2006/relationships/chart" Target="../charts/chart36.xml"/><Relationship Id="rId29" Type="http://schemas.openxmlformats.org/officeDocument/2006/relationships/chart" Target="../charts/chart45.xml"/><Relationship Id="rId41" Type="http://schemas.openxmlformats.org/officeDocument/2006/relationships/chart" Target="../charts/chart57.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24" Type="http://schemas.openxmlformats.org/officeDocument/2006/relationships/chart" Target="../charts/chart40.xml"/><Relationship Id="rId32" Type="http://schemas.openxmlformats.org/officeDocument/2006/relationships/chart" Target="../charts/chart48.xml"/><Relationship Id="rId37" Type="http://schemas.openxmlformats.org/officeDocument/2006/relationships/chart" Target="../charts/chart53.xml"/><Relationship Id="rId40" Type="http://schemas.openxmlformats.org/officeDocument/2006/relationships/chart" Target="../charts/chart56.xml"/><Relationship Id="rId5" Type="http://schemas.openxmlformats.org/officeDocument/2006/relationships/chart" Target="../charts/chart21.xml"/><Relationship Id="rId15" Type="http://schemas.openxmlformats.org/officeDocument/2006/relationships/chart" Target="../charts/chart31.xml"/><Relationship Id="rId23" Type="http://schemas.openxmlformats.org/officeDocument/2006/relationships/chart" Target="../charts/chart39.xml"/><Relationship Id="rId28" Type="http://schemas.openxmlformats.org/officeDocument/2006/relationships/chart" Target="../charts/chart44.xml"/><Relationship Id="rId36" Type="http://schemas.openxmlformats.org/officeDocument/2006/relationships/chart" Target="../charts/chart52.xml"/><Relationship Id="rId10" Type="http://schemas.openxmlformats.org/officeDocument/2006/relationships/chart" Target="../charts/chart26.xml"/><Relationship Id="rId19" Type="http://schemas.openxmlformats.org/officeDocument/2006/relationships/chart" Target="../charts/chart35.xml"/><Relationship Id="rId31" Type="http://schemas.openxmlformats.org/officeDocument/2006/relationships/chart" Target="../charts/chart47.xml"/><Relationship Id="rId44" Type="http://schemas.openxmlformats.org/officeDocument/2006/relationships/chart" Target="../charts/chart60.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 Id="rId22" Type="http://schemas.openxmlformats.org/officeDocument/2006/relationships/chart" Target="../charts/chart38.xml"/><Relationship Id="rId27" Type="http://schemas.openxmlformats.org/officeDocument/2006/relationships/chart" Target="../charts/chart43.xml"/><Relationship Id="rId30" Type="http://schemas.openxmlformats.org/officeDocument/2006/relationships/chart" Target="../charts/chart46.xml"/><Relationship Id="rId35" Type="http://schemas.openxmlformats.org/officeDocument/2006/relationships/chart" Target="../charts/chart51.xml"/><Relationship Id="rId43" Type="http://schemas.openxmlformats.org/officeDocument/2006/relationships/chart" Target="../charts/chart59.xml"/><Relationship Id="rId8" Type="http://schemas.openxmlformats.org/officeDocument/2006/relationships/chart" Target="../charts/chart24.xml"/><Relationship Id="rId3" Type="http://schemas.openxmlformats.org/officeDocument/2006/relationships/chart" Target="../charts/chart19.xml"/><Relationship Id="rId12" Type="http://schemas.openxmlformats.org/officeDocument/2006/relationships/chart" Target="../charts/chart28.xml"/><Relationship Id="rId17" Type="http://schemas.openxmlformats.org/officeDocument/2006/relationships/chart" Target="../charts/chart33.xml"/><Relationship Id="rId25" Type="http://schemas.openxmlformats.org/officeDocument/2006/relationships/chart" Target="../charts/chart41.xml"/><Relationship Id="rId33" Type="http://schemas.openxmlformats.org/officeDocument/2006/relationships/chart" Target="../charts/chart49.xml"/><Relationship Id="rId38" Type="http://schemas.openxmlformats.org/officeDocument/2006/relationships/chart" Target="../charts/chart5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8.xml"/><Relationship Id="rId3" Type="http://schemas.openxmlformats.org/officeDocument/2006/relationships/chart" Target="../charts/chart63.xml"/><Relationship Id="rId7" Type="http://schemas.openxmlformats.org/officeDocument/2006/relationships/chart" Target="../charts/chart67.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76.xml"/><Relationship Id="rId3" Type="http://schemas.openxmlformats.org/officeDocument/2006/relationships/chart" Target="../charts/chart71.xml"/><Relationship Id="rId7" Type="http://schemas.openxmlformats.org/officeDocument/2006/relationships/chart" Target="../charts/chart75.xml"/><Relationship Id="rId12" Type="http://schemas.openxmlformats.org/officeDocument/2006/relationships/chart" Target="../charts/chart80.xml"/><Relationship Id="rId2" Type="http://schemas.openxmlformats.org/officeDocument/2006/relationships/chart" Target="../charts/chart70.xml"/><Relationship Id="rId1" Type="http://schemas.openxmlformats.org/officeDocument/2006/relationships/chart" Target="../charts/chart69.xml"/><Relationship Id="rId6" Type="http://schemas.openxmlformats.org/officeDocument/2006/relationships/chart" Target="../charts/chart74.xml"/><Relationship Id="rId11" Type="http://schemas.openxmlformats.org/officeDocument/2006/relationships/chart" Target="../charts/chart79.xml"/><Relationship Id="rId5" Type="http://schemas.openxmlformats.org/officeDocument/2006/relationships/chart" Target="../charts/chart73.xml"/><Relationship Id="rId10" Type="http://schemas.openxmlformats.org/officeDocument/2006/relationships/chart" Target="../charts/chart78.xml"/><Relationship Id="rId4" Type="http://schemas.openxmlformats.org/officeDocument/2006/relationships/chart" Target="../charts/chart72.xml"/><Relationship Id="rId9" Type="http://schemas.openxmlformats.org/officeDocument/2006/relationships/chart" Target="../charts/chart77.xml"/></Relationships>
</file>

<file path=xl/drawings/drawing1.xml><?xml version="1.0" encoding="utf-8"?>
<xdr:wsDr xmlns:xdr="http://schemas.openxmlformats.org/drawingml/2006/spreadsheetDrawing" xmlns:a="http://schemas.openxmlformats.org/drawingml/2006/main">
  <xdr:twoCellAnchor editAs="oneCell">
    <xdr:from>
      <xdr:col>2</xdr:col>
      <xdr:colOff>1695450</xdr:colOff>
      <xdr:row>2</xdr:row>
      <xdr:rowOff>361950</xdr:rowOff>
    </xdr:from>
    <xdr:to>
      <xdr:col>3</xdr:col>
      <xdr:colOff>6677025</xdr:colOff>
      <xdr:row>2</xdr:row>
      <xdr:rowOff>1085850</xdr:rowOff>
    </xdr:to>
    <xdr:pic>
      <xdr:nvPicPr>
        <xdr:cNvPr id="3" name="Imagen 2">
          <a:extLst>
            <a:ext uri="{FF2B5EF4-FFF2-40B4-BE49-F238E27FC236}">
              <a16:creationId xmlns:a16="http://schemas.microsoft.com/office/drawing/2014/main" id="{55693132-A5DE-7A06-FD4F-B0F35134DEDA}"/>
            </a:ext>
          </a:extLst>
        </xdr:cNvPr>
        <xdr:cNvPicPr>
          <a:picLocks noChangeAspect="1"/>
        </xdr:cNvPicPr>
      </xdr:nvPicPr>
      <xdr:blipFill>
        <a:blip xmlns:r="http://schemas.openxmlformats.org/officeDocument/2006/relationships" r:embed="rId1"/>
        <a:stretch>
          <a:fillRect/>
        </a:stretch>
      </xdr:blipFill>
      <xdr:spPr>
        <a:xfrm>
          <a:off x="4648200" y="781050"/>
          <a:ext cx="689610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228600</xdr:colOff>
      <xdr:row>4</xdr:row>
      <xdr:rowOff>114300</xdr:rowOff>
    </xdr:from>
    <xdr:ext cx="5067300" cy="3076575"/>
    <xdr:graphicFrame macro="">
      <xdr:nvGraphicFramePr>
        <xdr:cNvPr id="1769306179" name="Chart 1" title="Gráfico">
          <a:extLst>
            <a:ext uri="{FF2B5EF4-FFF2-40B4-BE49-F238E27FC236}">
              <a16:creationId xmlns:a16="http://schemas.microsoft.com/office/drawing/2014/main" id="{00000000-0008-0000-0900-000043787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419100</xdr:colOff>
      <xdr:row>4</xdr:row>
      <xdr:rowOff>104775</xdr:rowOff>
    </xdr:from>
    <xdr:ext cx="5000625" cy="3067050"/>
    <xdr:graphicFrame macro="">
      <xdr:nvGraphicFramePr>
        <xdr:cNvPr id="2117743983" name="Chart 2" title="Gráfico">
          <a:extLst>
            <a:ext uri="{FF2B5EF4-FFF2-40B4-BE49-F238E27FC236}">
              <a16:creationId xmlns:a16="http://schemas.microsoft.com/office/drawing/2014/main" id="{00000000-0008-0000-0900-00006F353A7E}"/>
            </a:ext>
            <a:ext uri="{147F2762-F138-4A5C-976F-8EAC2B608ADB}">
              <a16:predDERef xmlns:a16="http://schemas.microsoft.com/office/drawing/2014/main" pred="{00000000-0008-0000-0900-000043787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114300</xdr:colOff>
      <xdr:row>22</xdr:row>
      <xdr:rowOff>161925</xdr:rowOff>
    </xdr:from>
    <xdr:ext cx="5248275" cy="3248025"/>
    <xdr:graphicFrame macro="">
      <xdr:nvGraphicFramePr>
        <xdr:cNvPr id="1361491641" name="Chart 3" title="Gráfico">
          <a:extLst>
            <a:ext uri="{FF2B5EF4-FFF2-40B4-BE49-F238E27FC236}">
              <a16:creationId xmlns:a16="http://schemas.microsoft.com/office/drawing/2014/main" id="{00000000-0008-0000-0900-0000B9B62651}"/>
            </a:ext>
            <a:ext uri="{147F2762-F138-4A5C-976F-8EAC2B608ADB}">
              <a16:predDERef xmlns:a16="http://schemas.microsoft.com/office/drawing/2014/main" pred="{00000000-0008-0000-0900-00006F353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95250</xdr:colOff>
      <xdr:row>41</xdr:row>
      <xdr:rowOff>161925</xdr:rowOff>
    </xdr:from>
    <xdr:ext cx="5238750" cy="3371850"/>
    <xdr:graphicFrame macro="">
      <xdr:nvGraphicFramePr>
        <xdr:cNvPr id="1024323469" name="Chart 4">
          <a:extLst>
            <a:ext uri="{FF2B5EF4-FFF2-40B4-BE49-F238E27FC236}">
              <a16:creationId xmlns:a16="http://schemas.microsoft.com/office/drawing/2014/main" id="{00000000-0008-0000-0900-00008DEF0D3D}"/>
            </a:ext>
            <a:ext uri="{147F2762-F138-4A5C-976F-8EAC2B608ADB}">
              <a16:predDERef xmlns:a16="http://schemas.microsoft.com/office/drawing/2014/main" pred="{00000000-0008-0000-0900-0000B9B62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390525</xdr:colOff>
      <xdr:row>23</xdr:row>
      <xdr:rowOff>19050</xdr:rowOff>
    </xdr:from>
    <xdr:ext cx="4981575" cy="3295650"/>
    <xdr:graphicFrame macro="">
      <xdr:nvGraphicFramePr>
        <xdr:cNvPr id="896271562" name="Chart 5">
          <a:extLst>
            <a:ext uri="{FF2B5EF4-FFF2-40B4-BE49-F238E27FC236}">
              <a16:creationId xmlns:a16="http://schemas.microsoft.com/office/drawing/2014/main" id="{00000000-0008-0000-0900-0000CA046C35}"/>
            </a:ext>
            <a:ext uri="{147F2762-F138-4A5C-976F-8EAC2B608ADB}">
              <a16:predDERef xmlns:a16="http://schemas.microsoft.com/office/drawing/2014/main" pred="{00000000-0008-0000-0900-00008DEF0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5</xdr:col>
      <xdr:colOff>381000</xdr:colOff>
      <xdr:row>42</xdr:row>
      <xdr:rowOff>9525</xdr:rowOff>
    </xdr:from>
    <xdr:ext cx="5038725" cy="3333750"/>
    <xdr:graphicFrame macro="">
      <xdr:nvGraphicFramePr>
        <xdr:cNvPr id="722536403" name="Chart 6">
          <a:extLst>
            <a:ext uri="{FF2B5EF4-FFF2-40B4-BE49-F238E27FC236}">
              <a16:creationId xmlns:a16="http://schemas.microsoft.com/office/drawing/2014/main" id="{00000000-0008-0000-0900-0000D307112B}"/>
            </a:ext>
            <a:ext uri="{147F2762-F138-4A5C-976F-8EAC2B608ADB}">
              <a16:predDERef xmlns:a16="http://schemas.microsoft.com/office/drawing/2014/main" pred="{00000000-0008-0000-0900-0000CA046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95250</xdr:colOff>
      <xdr:row>61</xdr:row>
      <xdr:rowOff>38100</xdr:rowOff>
    </xdr:from>
    <xdr:ext cx="5257800" cy="3400425"/>
    <xdr:graphicFrame macro="">
      <xdr:nvGraphicFramePr>
        <xdr:cNvPr id="692510288" name="Chart 7">
          <a:extLst>
            <a:ext uri="{FF2B5EF4-FFF2-40B4-BE49-F238E27FC236}">
              <a16:creationId xmlns:a16="http://schemas.microsoft.com/office/drawing/2014/main" id="{00000000-0008-0000-0900-000050DE4629}"/>
            </a:ext>
            <a:ext uri="{147F2762-F138-4A5C-976F-8EAC2B608ADB}">
              <a16:predDERef xmlns:a16="http://schemas.microsoft.com/office/drawing/2014/main" pred="{00000000-0008-0000-0900-0000D3071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5</xdr:col>
      <xdr:colOff>381000</xdr:colOff>
      <xdr:row>61</xdr:row>
      <xdr:rowOff>38100</xdr:rowOff>
    </xdr:from>
    <xdr:ext cx="5029200" cy="3400425"/>
    <xdr:graphicFrame macro="">
      <xdr:nvGraphicFramePr>
        <xdr:cNvPr id="619032952" name="Chart 8">
          <a:extLst>
            <a:ext uri="{FF2B5EF4-FFF2-40B4-BE49-F238E27FC236}">
              <a16:creationId xmlns:a16="http://schemas.microsoft.com/office/drawing/2014/main" id="{00000000-0008-0000-0900-000078B1E524}"/>
            </a:ext>
            <a:ext uri="{147F2762-F138-4A5C-976F-8EAC2B608ADB}">
              <a16:predDERef xmlns:a16="http://schemas.microsoft.com/office/drawing/2014/main" pred="{00000000-0008-0000-0900-000050DE4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xdr:col>
      <xdr:colOff>95250</xdr:colOff>
      <xdr:row>80</xdr:row>
      <xdr:rowOff>95250</xdr:rowOff>
    </xdr:from>
    <xdr:ext cx="5257800" cy="3352800"/>
    <xdr:graphicFrame macro="">
      <xdr:nvGraphicFramePr>
        <xdr:cNvPr id="1321064313" name="Chart 9">
          <a:extLst>
            <a:ext uri="{FF2B5EF4-FFF2-40B4-BE49-F238E27FC236}">
              <a16:creationId xmlns:a16="http://schemas.microsoft.com/office/drawing/2014/main" id="{00000000-0008-0000-0900-000079D7BD4E}"/>
            </a:ext>
            <a:ext uri="{147F2762-F138-4A5C-976F-8EAC2B608ADB}">
              <a16:predDERef xmlns:a16="http://schemas.microsoft.com/office/drawing/2014/main" pred="{00000000-0008-0000-0900-000078B1E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5</xdr:col>
      <xdr:colOff>381000</xdr:colOff>
      <xdr:row>80</xdr:row>
      <xdr:rowOff>114300</xdr:rowOff>
    </xdr:from>
    <xdr:ext cx="5029200" cy="3324225"/>
    <xdr:graphicFrame macro="">
      <xdr:nvGraphicFramePr>
        <xdr:cNvPr id="495188864" name="Chart 10">
          <a:extLst>
            <a:ext uri="{FF2B5EF4-FFF2-40B4-BE49-F238E27FC236}">
              <a16:creationId xmlns:a16="http://schemas.microsoft.com/office/drawing/2014/main" id="{00000000-0008-0000-0900-000080FB831D}"/>
            </a:ext>
            <a:ext uri="{147F2762-F138-4A5C-976F-8EAC2B608ADB}">
              <a16:predDERef xmlns:a16="http://schemas.microsoft.com/office/drawing/2014/main" pred="{00000000-0008-0000-0900-000079D7B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2</xdr:col>
      <xdr:colOff>85725</xdr:colOff>
      <xdr:row>99</xdr:row>
      <xdr:rowOff>114300</xdr:rowOff>
    </xdr:from>
    <xdr:ext cx="5267325" cy="2895600"/>
    <xdr:graphicFrame macro="">
      <xdr:nvGraphicFramePr>
        <xdr:cNvPr id="751772403" name="Chart 11">
          <a:extLst>
            <a:ext uri="{FF2B5EF4-FFF2-40B4-BE49-F238E27FC236}">
              <a16:creationId xmlns:a16="http://schemas.microsoft.com/office/drawing/2014/main" id="{00000000-0008-0000-0900-0000F322CF2C}"/>
            </a:ext>
            <a:ext uri="{147F2762-F138-4A5C-976F-8EAC2B608ADB}">
              <a16:predDERef xmlns:a16="http://schemas.microsoft.com/office/drawing/2014/main" pred="{00000000-0008-0000-0900-000080FB8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2</xdr:col>
      <xdr:colOff>85725</xdr:colOff>
      <xdr:row>120</xdr:row>
      <xdr:rowOff>114300</xdr:rowOff>
    </xdr:from>
    <xdr:ext cx="5219700" cy="3105150"/>
    <xdr:graphicFrame macro="">
      <xdr:nvGraphicFramePr>
        <xdr:cNvPr id="817106884" name="Chart 12">
          <a:extLst>
            <a:ext uri="{FF2B5EF4-FFF2-40B4-BE49-F238E27FC236}">
              <a16:creationId xmlns:a16="http://schemas.microsoft.com/office/drawing/2014/main" id="{00000000-0008-0000-0900-0000C40FB430}"/>
            </a:ext>
            <a:ext uri="{147F2762-F138-4A5C-976F-8EAC2B608ADB}">
              <a16:predDERef xmlns:a16="http://schemas.microsoft.com/office/drawing/2014/main" pred="{00000000-0008-0000-0900-0000F322C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2</xdr:col>
      <xdr:colOff>66675</xdr:colOff>
      <xdr:row>143</xdr:row>
      <xdr:rowOff>95250</xdr:rowOff>
    </xdr:from>
    <xdr:ext cx="5229225" cy="3219450"/>
    <xdr:graphicFrame macro="">
      <xdr:nvGraphicFramePr>
        <xdr:cNvPr id="1892531988" name="Chart 13">
          <a:extLst>
            <a:ext uri="{FF2B5EF4-FFF2-40B4-BE49-F238E27FC236}">
              <a16:creationId xmlns:a16="http://schemas.microsoft.com/office/drawing/2014/main" id="{00000000-0008-0000-0900-000014BFCD70}"/>
            </a:ext>
            <a:ext uri="{147F2762-F138-4A5C-976F-8EAC2B608ADB}">
              <a16:predDERef xmlns:a16="http://schemas.microsoft.com/office/drawing/2014/main" pred="{00000000-0008-0000-0900-0000C40FB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2</xdr:col>
      <xdr:colOff>66675</xdr:colOff>
      <xdr:row>166</xdr:row>
      <xdr:rowOff>95250</xdr:rowOff>
    </xdr:from>
    <xdr:ext cx="5229225" cy="3248025"/>
    <xdr:graphicFrame macro="">
      <xdr:nvGraphicFramePr>
        <xdr:cNvPr id="985912724" name="Chart 14">
          <a:extLst>
            <a:ext uri="{FF2B5EF4-FFF2-40B4-BE49-F238E27FC236}">
              <a16:creationId xmlns:a16="http://schemas.microsoft.com/office/drawing/2014/main" id="{00000000-0008-0000-0900-000094D5C33A}"/>
            </a:ext>
            <a:ext uri="{147F2762-F138-4A5C-976F-8EAC2B608ADB}">
              <a16:predDERef xmlns:a16="http://schemas.microsoft.com/office/drawing/2014/main" pred="{00000000-0008-0000-0900-000014BFC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2</xdr:col>
      <xdr:colOff>38100</xdr:colOff>
      <xdr:row>189</xdr:row>
      <xdr:rowOff>28575</xdr:rowOff>
    </xdr:from>
    <xdr:ext cx="10544175" cy="2828925"/>
    <xdr:graphicFrame macro="">
      <xdr:nvGraphicFramePr>
        <xdr:cNvPr id="1392085621" name="Chart 15">
          <a:extLst>
            <a:ext uri="{FF2B5EF4-FFF2-40B4-BE49-F238E27FC236}">
              <a16:creationId xmlns:a16="http://schemas.microsoft.com/office/drawing/2014/main" id="{00000000-0008-0000-0900-0000758AF952}"/>
            </a:ext>
            <a:ext uri="{147F2762-F138-4A5C-976F-8EAC2B608ADB}">
              <a16:predDERef xmlns:a16="http://schemas.microsoft.com/office/drawing/2014/main" pred="{00000000-0008-0000-0900-000094D5C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2</xdr:col>
      <xdr:colOff>28575</xdr:colOff>
      <xdr:row>205</xdr:row>
      <xdr:rowOff>95250</xdr:rowOff>
    </xdr:from>
    <xdr:ext cx="5715000" cy="2838450"/>
    <xdr:graphicFrame macro="">
      <xdr:nvGraphicFramePr>
        <xdr:cNvPr id="1014434131" name="Chart 16">
          <a:extLst>
            <a:ext uri="{FF2B5EF4-FFF2-40B4-BE49-F238E27FC236}">
              <a16:creationId xmlns:a16="http://schemas.microsoft.com/office/drawing/2014/main" id="{00000000-0008-0000-0900-00005309773C}"/>
            </a:ext>
            <a:ext uri="{147F2762-F138-4A5C-976F-8EAC2B608ADB}">
              <a16:predDERef xmlns:a16="http://schemas.microsoft.com/office/drawing/2014/main" pred="{00000000-0008-0000-0900-0000758AF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923925</xdr:colOff>
      <xdr:row>287</xdr:row>
      <xdr:rowOff>19050</xdr:rowOff>
    </xdr:from>
    <xdr:ext cx="6896100" cy="3209925"/>
    <xdr:graphicFrame macro="">
      <xdr:nvGraphicFramePr>
        <xdr:cNvPr id="690899667" name="Chart 17">
          <a:extLst>
            <a:ext uri="{FF2B5EF4-FFF2-40B4-BE49-F238E27FC236}">
              <a16:creationId xmlns:a16="http://schemas.microsoft.com/office/drawing/2014/main" id="{00000000-0008-0000-0A00-0000D34A2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0</xdr:colOff>
      <xdr:row>3</xdr:row>
      <xdr:rowOff>304800</xdr:rowOff>
    </xdr:from>
    <xdr:ext cx="6276975" cy="4048125"/>
    <xdr:graphicFrame macro="">
      <xdr:nvGraphicFramePr>
        <xdr:cNvPr id="1035021334" name="Chart 18">
          <a:extLst>
            <a:ext uri="{FF2B5EF4-FFF2-40B4-BE49-F238E27FC236}">
              <a16:creationId xmlns:a16="http://schemas.microsoft.com/office/drawing/2014/main" id="{00000000-0008-0000-0A00-0000162CB13D}"/>
            </a:ext>
            <a:ext uri="{147F2762-F138-4A5C-976F-8EAC2B608ADB}">
              <a16:predDERef xmlns:a16="http://schemas.microsoft.com/office/drawing/2014/main" pred="{00000000-0008-0000-0A00-0000D34A2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247650</xdr:colOff>
      <xdr:row>4</xdr:row>
      <xdr:rowOff>0</xdr:rowOff>
    </xdr:from>
    <xdr:ext cx="6267450" cy="4029075"/>
    <xdr:graphicFrame macro="">
      <xdr:nvGraphicFramePr>
        <xdr:cNvPr id="432514180" name="Chart 19">
          <a:extLst>
            <a:ext uri="{FF2B5EF4-FFF2-40B4-BE49-F238E27FC236}">
              <a16:creationId xmlns:a16="http://schemas.microsoft.com/office/drawing/2014/main" id="{00000000-0008-0000-0A00-000084A4C719}"/>
            </a:ext>
            <a:ext uri="{147F2762-F138-4A5C-976F-8EAC2B608ADB}">
              <a16:predDERef xmlns:a16="http://schemas.microsoft.com/office/drawing/2014/main" pred="{00000000-0008-0000-0A00-0000162CB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180975</xdr:colOff>
      <xdr:row>27</xdr:row>
      <xdr:rowOff>28575</xdr:rowOff>
    </xdr:from>
    <xdr:ext cx="6305550" cy="4029075"/>
    <xdr:graphicFrame macro="">
      <xdr:nvGraphicFramePr>
        <xdr:cNvPr id="408284217" name="Chart 20">
          <a:extLst>
            <a:ext uri="{FF2B5EF4-FFF2-40B4-BE49-F238E27FC236}">
              <a16:creationId xmlns:a16="http://schemas.microsoft.com/office/drawing/2014/main" id="{00000000-0008-0000-0A00-000039EC5518}"/>
            </a:ext>
            <a:ext uri="{147F2762-F138-4A5C-976F-8EAC2B608ADB}">
              <a16:predDERef xmlns:a16="http://schemas.microsoft.com/office/drawing/2014/main" pred="{00000000-0008-0000-0A00-000084A4C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247650</xdr:colOff>
      <xdr:row>27</xdr:row>
      <xdr:rowOff>66675</xdr:rowOff>
    </xdr:from>
    <xdr:ext cx="6267450" cy="4029075"/>
    <xdr:graphicFrame macro="">
      <xdr:nvGraphicFramePr>
        <xdr:cNvPr id="268698556" name="Chart 21">
          <a:extLst>
            <a:ext uri="{FF2B5EF4-FFF2-40B4-BE49-F238E27FC236}">
              <a16:creationId xmlns:a16="http://schemas.microsoft.com/office/drawing/2014/main" id="{00000000-0008-0000-0A00-0000BC030410}"/>
            </a:ext>
            <a:ext uri="{147F2762-F138-4A5C-976F-8EAC2B608ADB}">
              <a16:predDERef xmlns:a16="http://schemas.microsoft.com/office/drawing/2014/main" pred="{00000000-0008-0000-0A00-000039EC5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xdr:col>
      <xdr:colOff>0</xdr:colOff>
      <xdr:row>50</xdr:row>
      <xdr:rowOff>28575</xdr:rowOff>
    </xdr:from>
    <xdr:ext cx="6286500" cy="3505200"/>
    <xdr:graphicFrame macro="">
      <xdr:nvGraphicFramePr>
        <xdr:cNvPr id="1763222159" name="Chart 22">
          <a:extLst>
            <a:ext uri="{FF2B5EF4-FFF2-40B4-BE49-F238E27FC236}">
              <a16:creationId xmlns:a16="http://schemas.microsoft.com/office/drawing/2014/main" id="{00000000-0008-0000-0A00-00008FA21869}"/>
            </a:ext>
            <a:ext uri="{147F2762-F138-4A5C-976F-8EAC2B608ADB}">
              <a16:predDERef xmlns:a16="http://schemas.microsoft.com/office/drawing/2014/main" pred="{00000000-0008-0000-0A00-0000BC030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5</xdr:col>
      <xdr:colOff>219075</xdr:colOff>
      <xdr:row>50</xdr:row>
      <xdr:rowOff>47625</xdr:rowOff>
    </xdr:from>
    <xdr:ext cx="6257925" cy="3505200"/>
    <xdr:graphicFrame macro="">
      <xdr:nvGraphicFramePr>
        <xdr:cNvPr id="893957108" name="Chart 23">
          <a:extLst>
            <a:ext uri="{FF2B5EF4-FFF2-40B4-BE49-F238E27FC236}">
              <a16:creationId xmlns:a16="http://schemas.microsoft.com/office/drawing/2014/main" id="{00000000-0008-0000-0A00-0000F4B34835}"/>
            </a:ext>
            <a:ext uri="{147F2762-F138-4A5C-976F-8EAC2B608ADB}">
              <a16:predDERef xmlns:a16="http://schemas.microsoft.com/office/drawing/2014/main" pred="{00000000-0008-0000-0A00-00008FA21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0</xdr:colOff>
      <xdr:row>70</xdr:row>
      <xdr:rowOff>85725</xdr:rowOff>
    </xdr:from>
    <xdr:ext cx="6276975" cy="4048125"/>
    <xdr:graphicFrame macro="">
      <xdr:nvGraphicFramePr>
        <xdr:cNvPr id="329576331" name="Chart 24">
          <a:extLst>
            <a:ext uri="{FF2B5EF4-FFF2-40B4-BE49-F238E27FC236}">
              <a16:creationId xmlns:a16="http://schemas.microsoft.com/office/drawing/2014/main" id="{00000000-0008-0000-0A00-00008BEFA413}"/>
            </a:ext>
            <a:ext uri="{147F2762-F138-4A5C-976F-8EAC2B608ADB}">
              <a16:predDERef xmlns:a16="http://schemas.microsoft.com/office/drawing/2014/main" pred="{00000000-0008-0000-0A00-0000F4B34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5</xdr:col>
      <xdr:colOff>219075</xdr:colOff>
      <xdr:row>70</xdr:row>
      <xdr:rowOff>95250</xdr:rowOff>
    </xdr:from>
    <xdr:ext cx="6248400" cy="4038600"/>
    <xdr:graphicFrame macro="">
      <xdr:nvGraphicFramePr>
        <xdr:cNvPr id="1185040355" name="Chart 25">
          <a:extLst>
            <a:ext uri="{FF2B5EF4-FFF2-40B4-BE49-F238E27FC236}">
              <a16:creationId xmlns:a16="http://schemas.microsoft.com/office/drawing/2014/main" id="{00000000-0008-0000-0A00-0000E347A246}"/>
            </a:ext>
            <a:ext uri="{147F2762-F138-4A5C-976F-8EAC2B608ADB}">
              <a16:predDERef xmlns:a16="http://schemas.microsoft.com/office/drawing/2014/main" pred="{00000000-0008-0000-0A00-00008BEFA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xdr:col>
      <xdr:colOff>0</xdr:colOff>
      <xdr:row>93</xdr:row>
      <xdr:rowOff>161925</xdr:rowOff>
    </xdr:from>
    <xdr:ext cx="6276975" cy="4048125"/>
    <xdr:graphicFrame macro="">
      <xdr:nvGraphicFramePr>
        <xdr:cNvPr id="934248063" name="Chart 26">
          <a:extLst>
            <a:ext uri="{FF2B5EF4-FFF2-40B4-BE49-F238E27FC236}">
              <a16:creationId xmlns:a16="http://schemas.microsoft.com/office/drawing/2014/main" id="{00000000-0008-0000-0A00-00007F7EAF37}"/>
            </a:ext>
            <a:ext uri="{147F2762-F138-4A5C-976F-8EAC2B608ADB}">
              <a16:predDERef xmlns:a16="http://schemas.microsoft.com/office/drawing/2014/main" pred="{00000000-0008-0000-0A00-0000E347A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5</xdr:col>
      <xdr:colOff>200025</xdr:colOff>
      <xdr:row>93</xdr:row>
      <xdr:rowOff>152400</xdr:rowOff>
    </xdr:from>
    <xdr:ext cx="6248400" cy="4048125"/>
    <xdr:graphicFrame macro="">
      <xdr:nvGraphicFramePr>
        <xdr:cNvPr id="1422731796" name="Chart 27">
          <a:extLst>
            <a:ext uri="{FF2B5EF4-FFF2-40B4-BE49-F238E27FC236}">
              <a16:creationId xmlns:a16="http://schemas.microsoft.com/office/drawing/2014/main" id="{00000000-0008-0000-0A00-0000142ACD54}"/>
            </a:ext>
            <a:ext uri="{147F2762-F138-4A5C-976F-8EAC2B608ADB}">
              <a16:predDERef xmlns:a16="http://schemas.microsoft.com/office/drawing/2014/main" pred="{00000000-0008-0000-0A00-00007F7EA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2</xdr:col>
      <xdr:colOff>0</xdr:colOff>
      <xdr:row>117</xdr:row>
      <xdr:rowOff>47625</xdr:rowOff>
    </xdr:from>
    <xdr:ext cx="6286500" cy="3495675"/>
    <xdr:graphicFrame macro="">
      <xdr:nvGraphicFramePr>
        <xdr:cNvPr id="1491352114" name="Chart 28">
          <a:extLst>
            <a:ext uri="{FF2B5EF4-FFF2-40B4-BE49-F238E27FC236}">
              <a16:creationId xmlns:a16="http://schemas.microsoft.com/office/drawing/2014/main" id="{00000000-0008-0000-0A00-0000323AE458}"/>
            </a:ext>
            <a:ext uri="{147F2762-F138-4A5C-976F-8EAC2B608ADB}">
              <a16:predDERef xmlns:a16="http://schemas.microsoft.com/office/drawing/2014/main" pred="{00000000-0008-0000-0A00-0000142AC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5</xdr:col>
      <xdr:colOff>209550</xdr:colOff>
      <xdr:row>117</xdr:row>
      <xdr:rowOff>57150</xdr:rowOff>
    </xdr:from>
    <xdr:ext cx="6257925" cy="3505200"/>
    <xdr:graphicFrame macro="">
      <xdr:nvGraphicFramePr>
        <xdr:cNvPr id="2142563335" name="Chart 29">
          <a:extLst>
            <a:ext uri="{FF2B5EF4-FFF2-40B4-BE49-F238E27FC236}">
              <a16:creationId xmlns:a16="http://schemas.microsoft.com/office/drawing/2014/main" id="{00000000-0008-0000-0A00-000007ECB47F}"/>
            </a:ext>
            <a:ext uri="{147F2762-F138-4A5C-976F-8EAC2B608ADB}">
              <a16:predDERef xmlns:a16="http://schemas.microsoft.com/office/drawing/2014/main" pred="{00000000-0008-0000-0A00-0000323AE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1</xdr:col>
      <xdr:colOff>171450</xdr:colOff>
      <xdr:row>137</xdr:row>
      <xdr:rowOff>161925</xdr:rowOff>
    </xdr:from>
    <xdr:ext cx="6286500" cy="4162425"/>
    <xdr:graphicFrame macro="">
      <xdr:nvGraphicFramePr>
        <xdr:cNvPr id="2046829861" name="Chart 30">
          <a:extLst>
            <a:ext uri="{FF2B5EF4-FFF2-40B4-BE49-F238E27FC236}">
              <a16:creationId xmlns:a16="http://schemas.microsoft.com/office/drawing/2014/main" id="{00000000-0008-0000-0A00-00002525007A}"/>
            </a:ext>
            <a:ext uri="{147F2762-F138-4A5C-976F-8EAC2B608ADB}">
              <a16:predDERef xmlns:a16="http://schemas.microsoft.com/office/drawing/2014/main" pred="{00000000-0008-0000-0A00-000007ECB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5</xdr:col>
      <xdr:colOff>209550</xdr:colOff>
      <xdr:row>138</xdr:row>
      <xdr:rowOff>0</xdr:rowOff>
    </xdr:from>
    <xdr:ext cx="6257925" cy="4124325"/>
    <xdr:graphicFrame macro="">
      <xdr:nvGraphicFramePr>
        <xdr:cNvPr id="792930535" name="Chart 31">
          <a:extLst>
            <a:ext uri="{FF2B5EF4-FFF2-40B4-BE49-F238E27FC236}">
              <a16:creationId xmlns:a16="http://schemas.microsoft.com/office/drawing/2014/main" id="{00000000-0008-0000-0A00-0000E728432F}"/>
            </a:ext>
            <a:ext uri="{147F2762-F138-4A5C-976F-8EAC2B608ADB}">
              <a16:predDERef xmlns:a16="http://schemas.microsoft.com/office/drawing/2014/main" pred="{00000000-0008-0000-0A00-000025250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2</xdr:col>
      <xdr:colOff>0</xdr:colOff>
      <xdr:row>164</xdr:row>
      <xdr:rowOff>0</xdr:rowOff>
    </xdr:from>
    <xdr:ext cx="12563475" cy="4305300"/>
    <xdr:graphicFrame macro="">
      <xdr:nvGraphicFramePr>
        <xdr:cNvPr id="624490735" name="Chart 32">
          <a:extLst>
            <a:ext uri="{FF2B5EF4-FFF2-40B4-BE49-F238E27FC236}">
              <a16:creationId xmlns:a16="http://schemas.microsoft.com/office/drawing/2014/main" id="{00000000-0008-0000-0A00-0000EFF83825}"/>
            </a:ext>
            <a:ext uri="{147F2762-F138-4A5C-976F-8EAC2B608ADB}">
              <a16:predDERef xmlns:a16="http://schemas.microsoft.com/office/drawing/2014/main" pred="{00000000-0008-0000-0A00-0000E7284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2</xdr:col>
      <xdr:colOff>19050</xdr:colOff>
      <xdr:row>190</xdr:row>
      <xdr:rowOff>19050</xdr:rowOff>
    </xdr:from>
    <xdr:ext cx="7210425" cy="3448050"/>
    <xdr:graphicFrame macro="">
      <xdr:nvGraphicFramePr>
        <xdr:cNvPr id="1993468269" name="Chart 33">
          <a:extLst>
            <a:ext uri="{FF2B5EF4-FFF2-40B4-BE49-F238E27FC236}">
              <a16:creationId xmlns:a16="http://schemas.microsoft.com/office/drawing/2014/main" id="{00000000-0008-0000-0A00-00006DE9D176}"/>
            </a:ext>
            <a:ext uri="{147F2762-F138-4A5C-976F-8EAC2B608ADB}">
              <a16:predDERef xmlns:a16="http://schemas.microsoft.com/office/drawing/2014/main" pred="{00000000-0008-0000-0A00-0000EFF83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2</xdr:col>
      <xdr:colOff>38100</xdr:colOff>
      <xdr:row>262</xdr:row>
      <xdr:rowOff>76200</xdr:rowOff>
    </xdr:from>
    <xdr:ext cx="6686550" cy="3000375"/>
    <xdr:graphicFrame macro="">
      <xdr:nvGraphicFramePr>
        <xdr:cNvPr id="13945811" name="Chart 34">
          <a:extLst>
            <a:ext uri="{FF2B5EF4-FFF2-40B4-BE49-F238E27FC236}">
              <a16:creationId xmlns:a16="http://schemas.microsoft.com/office/drawing/2014/main" id="{00000000-0008-0000-0A00-0000D3CBD400}"/>
            </a:ext>
            <a:ext uri="{147F2762-F138-4A5C-976F-8EAC2B608ADB}">
              <a16:predDERef xmlns:a16="http://schemas.microsoft.com/office/drawing/2014/main" pred="{00000000-0008-0000-0A00-00006DE9D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4</xdr:col>
      <xdr:colOff>1133475</xdr:colOff>
      <xdr:row>262</xdr:row>
      <xdr:rowOff>76200</xdr:rowOff>
    </xdr:from>
    <xdr:ext cx="6677025" cy="3000375"/>
    <xdr:graphicFrame macro="">
      <xdr:nvGraphicFramePr>
        <xdr:cNvPr id="1688378659" name="Chart 35">
          <a:extLst>
            <a:ext uri="{FF2B5EF4-FFF2-40B4-BE49-F238E27FC236}">
              <a16:creationId xmlns:a16="http://schemas.microsoft.com/office/drawing/2014/main" id="{00000000-0008-0000-0A00-0000239DA264}"/>
            </a:ext>
            <a:ext uri="{147F2762-F138-4A5C-976F-8EAC2B608ADB}">
              <a16:predDERef xmlns:a16="http://schemas.microsoft.com/office/drawing/2014/main" pred="{00000000-0008-0000-0A00-0000D3CBD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oneCellAnchor>
    <xdr:from>
      <xdr:col>2</xdr:col>
      <xdr:colOff>9525</xdr:colOff>
      <xdr:row>274</xdr:row>
      <xdr:rowOff>95250</xdr:rowOff>
    </xdr:from>
    <xdr:ext cx="6696075" cy="3209925"/>
    <xdr:graphicFrame macro="">
      <xdr:nvGraphicFramePr>
        <xdr:cNvPr id="1266033342" name="Chart 36">
          <a:extLst>
            <a:ext uri="{FF2B5EF4-FFF2-40B4-BE49-F238E27FC236}">
              <a16:creationId xmlns:a16="http://schemas.microsoft.com/office/drawing/2014/main" id="{00000000-0008-0000-0A00-0000BE22764B}"/>
            </a:ext>
            <a:ext uri="{147F2762-F138-4A5C-976F-8EAC2B608ADB}">
              <a16:predDERef xmlns:a16="http://schemas.microsoft.com/office/drawing/2014/main" pred="{00000000-0008-0000-0A00-0000239DA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fLocksWithSheet="0"/>
  </xdr:oneCellAnchor>
  <xdr:oneCellAnchor>
    <xdr:from>
      <xdr:col>5</xdr:col>
      <xdr:colOff>200025</xdr:colOff>
      <xdr:row>274</xdr:row>
      <xdr:rowOff>104775</xdr:rowOff>
    </xdr:from>
    <xdr:ext cx="6267450" cy="3209925"/>
    <xdr:graphicFrame macro="">
      <xdr:nvGraphicFramePr>
        <xdr:cNvPr id="846846848" name="Chart 37">
          <a:extLst>
            <a:ext uri="{FF2B5EF4-FFF2-40B4-BE49-F238E27FC236}">
              <a16:creationId xmlns:a16="http://schemas.microsoft.com/office/drawing/2014/main" id="{00000000-0008-0000-0A00-000080DB7932}"/>
            </a:ext>
            <a:ext uri="{147F2762-F138-4A5C-976F-8EAC2B608ADB}">
              <a16:predDERef xmlns:a16="http://schemas.microsoft.com/office/drawing/2014/main" pred="{00000000-0008-0000-0A00-0000BE227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0"/>
  </xdr:oneCellAnchor>
  <xdr:oneCellAnchor>
    <xdr:from>
      <xdr:col>2</xdr:col>
      <xdr:colOff>0</xdr:colOff>
      <xdr:row>287</xdr:row>
      <xdr:rowOff>19050</xdr:rowOff>
    </xdr:from>
    <xdr:ext cx="6267450" cy="3209925"/>
    <xdr:graphicFrame macro="">
      <xdr:nvGraphicFramePr>
        <xdr:cNvPr id="1279585608" name="Chart 38">
          <a:extLst>
            <a:ext uri="{FF2B5EF4-FFF2-40B4-BE49-F238E27FC236}">
              <a16:creationId xmlns:a16="http://schemas.microsoft.com/office/drawing/2014/main" id="{00000000-0008-0000-0A00-000048ED444C}"/>
            </a:ext>
            <a:ext uri="{147F2762-F138-4A5C-976F-8EAC2B608ADB}">
              <a16:predDERef xmlns:a16="http://schemas.microsoft.com/office/drawing/2014/main" pred="{00000000-0008-0000-0A00-000080DB7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fLocksWithSheet="0"/>
  </xdr:oneCellAnchor>
  <xdr:oneCellAnchor>
    <xdr:from>
      <xdr:col>2</xdr:col>
      <xdr:colOff>0</xdr:colOff>
      <xdr:row>299</xdr:row>
      <xdr:rowOff>209550</xdr:rowOff>
    </xdr:from>
    <xdr:ext cx="6924675" cy="3209925"/>
    <xdr:graphicFrame macro="">
      <xdr:nvGraphicFramePr>
        <xdr:cNvPr id="688995829" name="Chart 39">
          <a:extLst>
            <a:ext uri="{FF2B5EF4-FFF2-40B4-BE49-F238E27FC236}">
              <a16:creationId xmlns:a16="http://schemas.microsoft.com/office/drawing/2014/main" id="{00000000-0008-0000-0A00-0000F53D1129}"/>
            </a:ext>
            <a:ext uri="{147F2762-F138-4A5C-976F-8EAC2B608ADB}">
              <a16:predDERef xmlns:a16="http://schemas.microsoft.com/office/drawing/2014/main" pred="{00000000-0008-0000-0A00-000048ED4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fLocksWithSheet="0"/>
  </xdr:oneCellAnchor>
  <xdr:oneCellAnchor>
    <xdr:from>
      <xdr:col>4</xdr:col>
      <xdr:colOff>914400</xdr:colOff>
      <xdr:row>299</xdr:row>
      <xdr:rowOff>219075</xdr:rowOff>
    </xdr:from>
    <xdr:ext cx="6896100" cy="3209925"/>
    <xdr:graphicFrame macro="">
      <xdr:nvGraphicFramePr>
        <xdr:cNvPr id="1709380113" name="Chart 40">
          <a:extLst>
            <a:ext uri="{FF2B5EF4-FFF2-40B4-BE49-F238E27FC236}">
              <a16:creationId xmlns:a16="http://schemas.microsoft.com/office/drawing/2014/main" id="{00000000-0008-0000-0A00-00001112E365}"/>
            </a:ext>
            <a:ext uri="{147F2762-F138-4A5C-976F-8EAC2B608ADB}">
              <a16:predDERef xmlns:a16="http://schemas.microsoft.com/office/drawing/2014/main" pred="{00000000-0008-0000-0A00-0000F53D1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fLocksWithSheet="0"/>
  </xdr:oneCellAnchor>
  <xdr:oneCellAnchor>
    <xdr:from>
      <xdr:col>1</xdr:col>
      <xdr:colOff>180975</xdr:colOff>
      <xdr:row>312</xdr:row>
      <xdr:rowOff>152400</xdr:rowOff>
    </xdr:from>
    <xdr:ext cx="6286500" cy="3209925"/>
    <xdr:graphicFrame macro="">
      <xdr:nvGraphicFramePr>
        <xdr:cNvPr id="143901650" name="Chart 41">
          <a:extLst>
            <a:ext uri="{FF2B5EF4-FFF2-40B4-BE49-F238E27FC236}">
              <a16:creationId xmlns:a16="http://schemas.microsoft.com/office/drawing/2014/main" id="{00000000-0008-0000-0A00-0000D2C39308}"/>
            </a:ext>
            <a:ext uri="{147F2762-F138-4A5C-976F-8EAC2B608ADB}">
              <a16:predDERef xmlns:a16="http://schemas.microsoft.com/office/drawing/2014/main" pred="{00000000-0008-0000-0A00-00001112E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fLocksWithSheet="0"/>
  </xdr:oneCellAnchor>
  <xdr:oneCellAnchor>
    <xdr:from>
      <xdr:col>5</xdr:col>
      <xdr:colOff>133350</xdr:colOff>
      <xdr:row>312</xdr:row>
      <xdr:rowOff>152400</xdr:rowOff>
    </xdr:from>
    <xdr:ext cx="6267450" cy="3209925"/>
    <xdr:graphicFrame macro="">
      <xdr:nvGraphicFramePr>
        <xdr:cNvPr id="1344489718" name="Chart 42">
          <a:extLst>
            <a:ext uri="{FF2B5EF4-FFF2-40B4-BE49-F238E27FC236}">
              <a16:creationId xmlns:a16="http://schemas.microsoft.com/office/drawing/2014/main" id="{00000000-0008-0000-0A00-0000F6482350}"/>
            </a:ext>
            <a:ext uri="{147F2762-F138-4A5C-976F-8EAC2B608ADB}">
              <a16:predDERef xmlns:a16="http://schemas.microsoft.com/office/drawing/2014/main" pred="{00000000-0008-0000-0A00-0000D2C39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fLocksWithSheet="0"/>
  </xdr:oneCellAnchor>
  <xdr:oneCellAnchor>
    <xdr:from>
      <xdr:col>2</xdr:col>
      <xdr:colOff>0</xdr:colOff>
      <xdr:row>325</xdr:row>
      <xdr:rowOff>19050</xdr:rowOff>
    </xdr:from>
    <xdr:ext cx="6286500" cy="4381500"/>
    <xdr:graphicFrame macro="">
      <xdr:nvGraphicFramePr>
        <xdr:cNvPr id="2045662606" name="Chart 43">
          <a:extLst>
            <a:ext uri="{FF2B5EF4-FFF2-40B4-BE49-F238E27FC236}">
              <a16:creationId xmlns:a16="http://schemas.microsoft.com/office/drawing/2014/main" id="{00000000-0008-0000-0A00-00008E55EE79}"/>
            </a:ext>
            <a:ext uri="{147F2762-F138-4A5C-976F-8EAC2B608ADB}">
              <a16:predDERef xmlns:a16="http://schemas.microsoft.com/office/drawing/2014/main" pred="{00000000-0008-0000-0A00-0000F6482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fLocksWithSheet="0"/>
  </xdr:oneCellAnchor>
  <xdr:oneCellAnchor>
    <xdr:from>
      <xdr:col>5</xdr:col>
      <xdr:colOff>133350</xdr:colOff>
      <xdr:row>325</xdr:row>
      <xdr:rowOff>9525</xdr:rowOff>
    </xdr:from>
    <xdr:ext cx="6257925" cy="4352925"/>
    <xdr:graphicFrame macro="">
      <xdr:nvGraphicFramePr>
        <xdr:cNvPr id="635644049" name="Chart 44">
          <a:extLst>
            <a:ext uri="{FF2B5EF4-FFF2-40B4-BE49-F238E27FC236}">
              <a16:creationId xmlns:a16="http://schemas.microsoft.com/office/drawing/2014/main" id="{00000000-0008-0000-0A00-00009128E325}"/>
            </a:ext>
            <a:ext uri="{147F2762-F138-4A5C-976F-8EAC2B608ADB}">
              <a16:predDERef xmlns:a16="http://schemas.microsoft.com/office/drawing/2014/main" pred="{00000000-0008-0000-0A00-00008E55E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fLocksWithSheet="0"/>
  </xdr:oneCellAnchor>
  <xdr:oneCellAnchor>
    <xdr:from>
      <xdr:col>2</xdr:col>
      <xdr:colOff>95250</xdr:colOff>
      <xdr:row>484</xdr:row>
      <xdr:rowOff>95250</xdr:rowOff>
    </xdr:from>
    <xdr:ext cx="5124450" cy="3057525"/>
    <xdr:graphicFrame macro="">
      <xdr:nvGraphicFramePr>
        <xdr:cNvPr id="780473744" name="Chart 45">
          <a:extLst>
            <a:ext uri="{FF2B5EF4-FFF2-40B4-BE49-F238E27FC236}">
              <a16:creationId xmlns:a16="http://schemas.microsoft.com/office/drawing/2014/main" id="{00000000-0008-0000-0A00-00009015852E}"/>
            </a:ext>
            <a:ext uri="{147F2762-F138-4A5C-976F-8EAC2B608ADB}">
              <a16:predDERef xmlns:a16="http://schemas.microsoft.com/office/drawing/2014/main" pred="{00000000-0008-0000-0A00-00009128E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fLocksWithSheet="0"/>
  </xdr:oneCellAnchor>
  <xdr:oneCellAnchor>
    <xdr:from>
      <xdr:col>2</xdr:col>
      <xdr:colOff>19050</xdr:colOff>
      <xdr:row>504</xdr:row>
      <xdr:rowOff>142875</xdr:rowOff>
    </xdr:from>
    <xdr:ext cx="5191125" cy="2895600"/>
    <xdr:graphicFrame macro="">
      <xdr:nvGraphicFramePr>
        <xdr:cNvPr id="374696055" name="Chart 46">
          <a:extLst>
            <a:ext uri="{FF2B5EF4-FFF2-40B4-BE49-F238E27FC236}">
              <a16:creationId xmlns:a16="http://schemas.microsoft.com/office/drawing/2014/main" id="{00000000-0008-0000-0A00-000077685516}"/>
            </a:ext>
            <a:ext uri="{147F2762-F138-4A5C-976F-8EAC2B608ADB}">
              <a16:predDERef xmlns:a16="http://schemas.microsoft.com/office/drawing/2014/main" pred="{00000000-0008-0000-0A00-000090158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fLocksWithSheet="0"/>
  </xdr:oneCellAnchor>
  <xdr:oneCellAnchor>
    <xdr:from>
      <xdr:col>1</xdr:col>
      <xdr:colOff>190500</xdr:colOff>
      <xdr:row>350</xdr:row>
      <xdr:rowOff>0</xdr:rowOff>
    </xdr:from>
    <xdr:ext cx="6257925" cy="3838575"/>
    <xdr:graphicFrame macro="">
      <xdr:nvGraphicFramePr>
        <xdr:cNvPr id="1995919866" name="Chart 47">
          <a:extLst>
            <a:ext uri="{FF2B5EF4-FFF2-40B4-BE49-F238E27FC236}">
              <a16:creationId xmlns:a16="http://schemas.microsoft.com/office/drawing/2014/main" id="{00000000-0008-0000-0A00-0000FA51F776}"/>
            </a:ext>
            <a:ext uri="{147F2762-F138-4A5C-976F-8EAC2B608ADB}">
              <a16:predDERef xmlns:a16="http://schemas.microsoft.com/office/drawing/2014/main" pred="{00000000-0008-0000-0A00-000077685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fLocksWithSheet="0"/>
  </xdr:oneCellAnchor>
  <xdr:oneCellAnchor>
    <xdr:from>
      <xdr:col>5</xdr:col>
      <xdr:colOff>171450</xdr:colOff>
      <xdr:row>349</xdr:row>
      <xdr:rowOff>161925</xdr:rowOff>
    </xdr:from>
    <xdr:ext cx="6181725" cy="3876675"/>
    <xdr:graphicFrame macro="">
      <xdr:nvGraphicFramePr>
        <xdr:cNvPr id="1771534329" name="Chart 48">
          <a:extLst>
            <a:ext uri="{FF2B5EF4-FFF2-40B4-BE49-F238E27FC236}">
              <a16:creationId xmlns:a16="http://schemas.microsoft.com/office/drawing/2014/main" id="{00000000-0008-0000-0A00-0000F9779769}"/>
            </a:ext>
            <a:ext uri="{147F2762-F138-4A5C-976F-8EAC2B608ADB}">
              <a16:predDERef xmlns:a16="http://schemas.microsoft.com/office/drawing/2014/main" pred="{00000000-0008-0000-0A00-0000FA51F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fLocksWithSheet="0"/>
  </xdr:oneCellAnchor>
  <xdr:oneCellAnchor>
    <xdr:from>
      <xdr:col>2</xdr:col>
      <xdr:colOff>28575</xdr:colOff>
      <xdr:row>372</xdr:row>
      <xdr:rowOff>19050</xdr:rowOff>
    </xdr:from>
    <xdr:ext cx="6257925" cy="3486150"/>
    <xdr:graphicFrame macro="">
      <xdr:nvGraphicFramePr>
        <xdr:cNvPr id="1093077697" name="Chart 49">
          <a:extLst>
            <a:ext uri="{FF2B5EF4-FFF2-40B4-BE49-F238E27FC236}">
              <a16:creationId xmlns:a16="http://schemas.microsoft.com/office/drawing/2014/main" id="{00000000-0008-0000-0A00-0000C10A2741}"/>
            </a:ext>
            <a:ext uri="{147F2762-F138-4A5C-976F-8EAC2B608ADB}">
              <a16:predDERef xmlns:a16="http://schemas.microsoft.com/office/drawing/2014/main" pred="{00000000-0008-0000-0A00-0000F9779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fLocksWithSheet="0"/>
  </xdr:oneCellAnchor>
  <xdr:oneCellAnchor>
    <xdr:from>
      <xdr:col>5</xdr:col>
      <xdr:colOff>152400</xdr:colOff>
      <xdr:row>372</xdr:row>
      <xdr:rowOff>76200</xdr:rowOff>
    </xdr:from>
    <xdr:ext cx="6172200" cy="3457575"/>
    <xdr:graphicFrame macro="">
      <xdr:nvGraphicFramePr>
        <xdr:cNvPr id="800960117" name="Chart 50">
          <a:extLst>
            <a:ext uri="{FF2B5EF4-FFF2-40B4-BE49-F238E27FC236}">
              <a16:creationId xmlns:a16="http://schemas.microsoft.com/office/drawing/2014/main" id="{00000000-0008-0000-0A00-000075AEBD2F}"/>
            </a:ext>
            <a:ext uri="{147F2762-F138-4A5C-976F-8EAC2B608ADB}">
              <a16:predDERef xmlns:a16="http://schemas.microsoft.com/office/drawing/2014/main" pred="{00000000-0008-0000-0A00-0000C10A2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fLocksWithSheet="0"/>
  </xdr:oneCellAnchor>
  <xdr:oneCellAnchor>
    <xdr:from>
      <xdr:col>2</xdr:col>
      <xdr:colOff>19050</xdr:colOff>
      <xdr:row>392</xdr:row>
      <xdr:rowOff>19050</xdr:rowOff>
    </xdr:from>
    <xdr:ext cx="6257925" cy="3800475"/>
    <xdr:graphicFrame macro="">
      <xdr:nvGraphicFramePr>
        <xdr:cNvPr id="785783891" name="Chart 51">
          <a:extLst>
            <a:ext uri="{FF2B5EF4-FFF2-40B4-BE49-F238E27FC236}">
              <a16:creationId xmlns:a16="http://schemas.microsoft.com/office/drawing/2014/main" id="{00000000-0008-0000-0A00-0000531CD62E}"/>
            </a:ext>
            <a:ext uri="{147F2762-F138-4A5C-976F-8EAC2B608ADB}">
              <a16:predDERef xmlns:a16="http://schemas.microsoft.com/office/drawing/2014/main" pred="{00000000-0008-0000-0A00-000075AEB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fLocksWithSheet="0"/>
  </xdr:oneCellAnchor>
  <xdr:oneCellAnchor>
    <xdr:from>
      <xdr:col>5</xdr:col>
      <xdr:colOff>133350</xdr:colOff>
      <xdr:row>392</xdr:row>
      <xdr:rowOff>19050</xdr:rowOff>
    </xdr:from>
    <xdr:ext cx="6191250" cy="3810000"/>
    <xdr:graphicFrame macro="">
      <xdr:nvGraphicFramePr>
        <xdr:cNvPr id="1236497675" name="Chart 52">
          <a:extLst>
            <a:ext uri="{FF2B5EF4-FFF2-40B4-BE49-F238E27FC236}">
              <a16:creationId xmlns:a16="http://schemas.microsoft.com/office/drawing/2014/main" id="{00000000-0008-0000-0A00-00000B75B349}"/>
            </a:ext>
            <a:ext uri="{147F2762-F138-4A5C-976F-8EAC2B608ADB}">
              <a16:predDERef xmlns:a16="http://schemas.microsoft.com/office/drawing/2014/main" pred="{00000000-0008-0000-0A00-0000531CD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fLocksWithSheet="0"/>
  </xdr:oneCellAnchor>
  <xdr:oneCellAnchor>
    <xdr:from>
      <xdr:col>2</xdr:col>
      <xdr:colOff>19050</xdr:colOff>
      <xdr:row>413</xdr:row>
      <xdr:rowOff>152400</xdr:rowOff>
    </xdr:from>
    <xdr:ext cx="6267450" cy="4486275"/>
    <xdr:graphicFrame macro="">
      <xdr:nvGraphicFramePr>
        <xdr:cNvPr id="402276470" name="Chart 53">
          <a:extLst>
            <a:ext uri="{FF2B5EF4-FFF2-40B4-BE49-F238E27FC236}">
              <a16:creationId xmlns:a16="http://schemas.microsoft.com/office/drawing/2014/main" id="{00000000-0008-0000-0A00-00007640FA17}"/>
            </a:ext>
            <a:ext uri="{147F2762-F138-4A5C-976F-8EAC2B608ADB}">
              <a16:predDERef xmlns:a16="http://schemas.microsoft.com/office/drawing/2014/main" pred="{00000000-0008-0000-0A00-00000B75B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fLocksWithSheet="0"/>
  </xdr:oneCellAnchor>
  <xdr:oneCellAnchor>
    <xdr:from>
      <xdr:col>2</xdr:col>
      <xdr:colOff>19050</xdr:colOff>
      <xdr:row>523</xdr:row>
      <xdr:rowOff>85725</xdr:rowOff>
    </xdr:from>
    <xdr:ext cx="6267450" cy="3838575"/>
    <xdr:graphicFrame macro="">
      <xdr:nvGraphicFramePr>
        <xdr:cNvPr id="1887497362" name="Chart 54">
          <a:extLst>
            <a:ext uri="{FF2B5EF4-FFF2-40B4-BE49-F238E27FC236}">
              <a16:creationId xmlns:a16="http://schemas.microsoft.com/office/drawing/2014/main" id="{00000000-0008-0000-0A00-000092EC8070}"/>
            </a:ext>
            <a:ext uri="{147F2762-F138-4A5C-976F-8EAC2B608ADB}">
              <a16:predDERef xmlns:a16="http://schemas.microsoft.com/office/drawing/2014/main" pred="{00000000-0008-0000-0A00-00007640F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fLocksWithSheet="0"/>
  </xdr:oneCellAnchor>
  <xdr:oneCellAnchor>
    <xdr:from>
      <xdr:col>5</xdr:col>
      <xdr:colOff>209550</xdr:colOff>
      <xdr:row>523</xdr:row>
      <xdr:rowOff>85725</xdr:rowOff>
    </xdr:from>
    <xdr:ext cx="6181725" cy="3867150"/>
    <xdr:graphicFrame macro="">
      <xdr:nvGraphicFramePr>
        <xdr:cNvPr id="1737111998" name="Chart 55">
          <a:extLst>
            <a:ext uri="{FF2B5EF4-FFF2-40B4-BE49-F238E27FC236}">
              <a16:creationId xmlns:a16="http://schemas.microsoft.com/office/drawing/2014/main" id="{00000000-0008-0000-0A00-0000BE398A67}"/>
            </a:ext>
            <a:ext uri="{147F2762-F138-4A5C-976F-8EAC2B608ADB}">
              <a16:predDERef xmlns:a16="http://schemas.microsoft.com/office/drawing/2014/main" pred="{00000000-0008-0000-0A00-000092EC8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fLocksWithSheet="0"/>
  </xdr:oneCellAnchor>
  <xdr:oneCellAnchor>
    <xdr:from>
      <xdr:col>2</xdr:col>
      <xdr:colOff>19050</xdr:colOff>
      <xdr:row>545</xdr:row>
      <xdr:rowOff>28575</xdr:rowOff>
    </xdr:from>
    <xdr:ext cx="6276975" cy="3867150"/>
    <xdr:graphicFrame macro="">
      <xdr:nvGraphicFramePr>
        <xdr:cNvPr id="2145235387" name="Chart 56">
          <a:extLst>
            <a:ext uri="{FF2B5EF4-FFF2-40B4-BE49-F238E27FC236}">
              <a16:creationId xmlns:a16="http://schemas.microsoft.com/office/drawing/2014/main" id="{00000000-0008-0000-0A00-0000BBB1DD7F}"/>
            </a:ext>
            <a:ext uri="{147F2762-F138-4A5C-976F-8EAC2B608ADB}">
              <a16:predDERef xmlns:a16="http://schemas.microsoft.com/office/drawing/2014/main" pred="{00000000-0008-0000-0A00-0000BE398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fLocksWithSheet="0"/>
  </xdr:oneCellAnchor>
  <xdr:oneCellAnchor>
    <xdr:from>
      <xdr:col>5</xdr:col>
      <xdr:colOff>209550</xdr:colOff>
      <xdr:row>545</xdr:row>
      <xdr:rowOff>47625</xdr:rowOff>
    </xdr:from>
    <xdr:ext cx="6181725" cy="3867150"/>
    <xdr:graphicFrame macro="">
      <xdr:nvGraphicFramePr>
        <xdr:cNvPr id="1645844906" name="Chart 57">
          <a:extLst>
            <a:ext uri="{FF2B5EF4-FFF2-40B4-BE49-F238E27FC236}">
              <a16:creationId xmlns:a16="http://schemas.microsoft.com/office/drawing/2014/main" id="{00000000-0008-0000-0A00-0000AA991962}"/>
            </a:ext>
            <a:ext uri="{147F2762-F138-4A5C-976F-8EAC2B608ADB}">
              <a16:predDERef xmlns:a16="http://schemas.microsoft.com/office/drawing/2014/main" pred="{00000000-0008-0000-0A00-0000BBB1D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fLocksWithSheet="0"/>
  </xdr:oneCellAnchor>
  <xdr:oneCellAnchor>
    <xdr:from>
      <xdr:col>2</xdr:col>
      <xdr:colOff>28575</xdr:colOff>
      <xdr:row>567</xdr:row>
      <xdr:rowOff>57150</xdr:rowOff>
    </xdr:from>
    <xdr:ext cx="6276975" cy="3867150"/>
    <xdr:graphicFrame macro="">
      <xdr:nvGraphicFramePr>
        <xdr:cNvPr id="1687191920" name="Chart 58">
          <a:extLst>
            <a:ext uri="{FF2B5EF4-FFF2-40B4-BE49-F238E27FC236}">
              <a16:creationId xmlns:a16="http://schemas.microsoft.com/office/drawing/2014/main" id="{00000000-0008-0000-0A00-000070819064}"/>
            </a:ext>
            <a:ext uri="{147F2762-F138-4A5C-976F-8EAC2B608ADB}">
              <a16:predDERef xmlns:a16="http://schemas.microsoft.com/office/drawing/2014/main" pred="{00000000-0008-0000-0A00-0000AA991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fLocksWithSheet="0"/>
  </xdr:oneCellAnchor>
  <xdr:oneCellAnchor>
    <xdr:from>
      <xdr:col>5</xdr:col>
      <xdr:colOff>161925</xdr:colOff>
      <xdr:row>567</xdr:row>
      <xdr:rowOff>57150</xdr:rowOff>
    </xdr:from>
    <xdr:ext cx="6257925" cy="3867150"/>
    <xdr:graphicFrame macro="">
      <xdr:nvGraphicFramePr>
        <xdr:cNvPr id="675132248" name="Chart 59">
          <a:extLst>
            <a:ext uri="{FF2B5EF4-FFF2-40B4-BE49-F238E27FC236}">
              <a16:creationId xmlns:a16="http://schemas.microsoft.com/office/drawing/2014/main" id="{00000000-0008-0000-0A00-000058B33D28}"/>
            </a:ext>
            <a:ext uri="{147F2762-F138-4A5C-976F-8EAC2B608ADB}">
              <a16:predDERef xmlns:a16="http://schemas.microsoft.com/office/drawing/2014/main" pred="{00000000-0008-0000-0A00-000070819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fLocksWithSheet="0"/>
  </xdr:oneCellAnchor>
  <xdr:oneCellAnchor>
    <xdr:from>
      <xdr:col>2</xdr:col>
      <xdr:colOff>28575</xdr:colOff>
      <xdr:row>589</xdr:row>
      <xdr:rowOff>152400</xdr:rowOff>
    </xdr:from>
    <xdr:ext cx="6276975" cy="5715000"/>
    <xdr:graphicFrame macro="">
      <xdr:nvGraphicFramePr>
        <xdr:cNvPr id="1477812005" name="Chart 60">
          <a:extLst>
            <a:ext uri="{FF2B5EF4-FFF2-40B4-BE49-F238E27FC236}">
              <a16:creationId xmlns:a16="http://schemas.microsoft.com/office/drawing/2014/main" id="{00000000-0008-0000-0A00-0000259F1558}"/>
            </a:ext>
            <a:ext uri="{147F2762-F138-4A5C-976F-8EAC2B608ADB}">
              <a16:predDERef xmlns:a16="http://schemas.microsoft.com/office/drawing/2014/main" pred="{00000000-0008-0000-0A00-000058B33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fLocksWithSheet="0"/>
  </xdr:oneCellAnchor>
  <xdr:oneCellAnchor>
    <xdr:from>
      <xdr:col>8</xdr:col>
      <xdr:colOff>714375</xdr:colOff>
      <xdr:row>14</xdr:row>
      <xdr:rowOff>9525</xdr:rowOff>
    </xdr:from>
    <xdr:ext cx="1495425" cy="476250"/>
    <xdr:sp macro="" textlink="">
      <xdr:nvSpPr>
        <xdr:cNvPr id="3" name="Shape 3">
          <a:extLst>
            <a:ext uri="{FF2B5EF4-FFF2-40B4-BE49-F238E27FC236}">
              <a16:creationId xmlns:a16="http://schemas.microsoft.com/office/drawing/2014/main" id="{00000000-0008-0000-0A00-000003000000}"/>
            </a:ext>
          </a:extLst>
        </xdr:cNvPr>
        <xdr:cNvSpPr txBox="1"/>
      </xdr:nvSpPr>
      <xdr:spPr>
        <a:xfrm>
          <a:off x="4603050" y="3546638"/>
          <a:ext cx="1485900" cy="466725"/>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SzPts val="800"/>
            <a:buFont typeface="Arial"/>
            <a:buNone/>
          </a:pPr>
          <a:r>
            <a:rPr lang="en-US" sz="800"/>
            <a:t>Turbovapor-Bagazo de caña</a:t>
          </a:r>
          <a:endParaRPr sz="1400"/>
        </a:p>
      </xdr:txBody>
    </xdr:sp>
    <xdr:clientData fLocksWithSheet="0"/>
  </xdr:oneCellAnchor>
  <xdr:oneCellAnchor>
    <xdr:from>
      <xdr:col>9</xdr:col>
      <xdr:colOff>628650</xdr:colOff>
      <xdr:row>23</xdr:row>
      <xdr:rowOff>0</xdr:rowOff>
    </xdr:from>
    <xdr:ext cx="485775" cy="314325"/>
    <xdr:sp macro="" textlink="">
      <xdr:nvSpPr>
        <xdr:cNvPr id="4" name="Shape 4">
          <a:extLst>
            <a:ext uri="{FF2B5EF4-FFF2-40B4-BE49-F238E27FC236}">
              <a16:creationId xmlns:a16="http://schemas.microsoft.com/office/drawing/2014/main" id="{00000000-0008-0000-0A00-000004000000}"/>
            </a:ext>
          </a:extLst>
        </xdr:cNvPr>
        <xdr:cNvSpPr txBox="1"/>
      </xdr:nvSpPr>
      <xdr:spPr>
        <a:xfrm>
          <a:off x="5107875" y="3627600"/>
          <a:ext cx="476250" cy="304800"/>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SzPts val="800"/>
            <a:buFont typeface="Arial"/>
            <a:buNone/>
          </a:pPr>
          <a:r>
            <a:rPr lang="en-US" sz="800"/>
            <a:t>MCI</a:t>
          </a:r>
          <a:endParaRPr sz="1400"/>
        </a:p>
      </xdr:txBody>
    </xdr:sp>
    <xdr:clientData fLocksWithSheet="0"/>
  </xdr:oneCellAnchor>
  <xdr:oneCellAnchor>
    <xdr:from>
      <xdr:col>3</xdr:col>
      <xdr:colOff>1038225</xdr:colOff>
      <xdr:row>37</xdr:row>
      <xdr:rowOff>85725</xdr:rowOff>
    </xdr:from>
    <xdr:ext cx="1504950" cy="495300"/>
    <xdr:sp macro="" textlink="">
      <xdr:nvSpPr>
        <xdr:cNvPr id="5" name="Shape 5">
          <a:extLst>
            <a:ext uri="{FF2B5EF4-FFF2-40B4-BE49-F238E27FC236}">
              <a16:creationId xmlns:a16="http://schemas.microsoft.com/office/drawing/2014/main" id="{00000000-0008-0000-0A00-000005000000}"/>
            </a:ext>
          </a:extLst>
        </xdr:cNvPr>
        <xdr:cNvSpPr txBox="1"/>
      </xdr:nvSpPr>
      <xdr:spPr>
        <a:xfrm>
          <a:off x="4598288" y="3537113"/>
          <a:ext cx="1495425" cy="485775"/>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SzPts val="800"/>
            <a:buFont typeface="Arial"/>
            <a:buNone/>
          </a:pPr>
          <a:r>
            <a:rPr lang="en-US" sz="800"/>
            <a:t>Turbovapor-Bagazo de caña</a:t>
          </a:r>
          <a:endParaRPr sz="1400"/>
        </a:p>
      </xdr:txBody>
    </xdr:sp>
    <xdr:clientData fLocksWithSheet="0"/>
  </xdr:oneCellAnchor>
  <xdr:oneCellAnchor>
    <xdr:from>
      <xdr:col>8</xdr:col>
      <xdr:colOff>676275</xdr:colOff>
      <xdr:row>38</xdr:row>
      <xdr:rowOff>0</xdr:rowOff>
    </xdr:from>
    <xdr:ext cx="1495425" cy="476250"/>
    <xdr:sp macro="" textlink="">
      <xdr:nvSpPr>
        <xdr:cNvPr id="6" name="Shape 6">
          <a:extLst>
            <a:ext uri="{FF2B5EF4-FFF2-40B4-BE49-F238E27FC236}">
              <a16:creationId xmlns:a16="http://schemas.microsoft.com/office/drawing/2014/main" id="{00000000-0008-0000-0A00-000006000000}"/>
            </a:ext>
          </a:extLst>
        </xdr:cNvPr>
        <xdr:cNvSpPr txBox="1"/>
      </xdr:nvSpPr>
      <xdr:spPr>
        <a:xfrm>
          <a:off x="4603050" y="3546638"/>
          <a:ext cx="1485900" cy="466725"/>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SzPts val="800"/>
            <a:buFont typeface="Arial"/>
            <a:buNone/>
          </a:pPr>
          <a:r>
            <a:rPr lang="en-US" sz="800"/>
            <a:t>Turbovapor-Bagazo de caña</a:t>
          </a:r>
          <a:endParaRPr sz="1400"/>
        </a:p>
      </xdr:txBody>
    </xdr:sp>
    <xdr:clientData fLocksWithSheet="0"/>
  </xdr:oneCellAnchor>
  <xdr:oneCellAnchor>
    <xdr:from>
      <xdr:col>9</xdr:col>
      <xdr:colOff>666750</xdr:colOff>
      <xdr:row>46</xdr:row>
      <xdr:rowOff>0</xdr:rowOff>
    </xdr:from>
    <xdr:ext cx="561975" cy="323850"/>
    <xdr:sp macro="" textlink="">
      <xdr:nvSpPr>
        <xdr:cNvPr id="7" name="Shape 7">
          <a:extLst>
            <a:ext uri="{FF2B5EF4-FFF2-40B4-BE49-F238E27FC236}">
              <a16:creationId xmlns:a16="http://schemas.microsoft.com/office/drawing/2014/main" id="{00000000-0008-0000-0A00-000007000000}"/>
            </a:ext>
          </a:extLst>
        </xdr:cNvPr>
        <xdr:cNvSpPr txBox="1"/>
      </xdr:nvSpPr>
      <xdr:spPr>
        <a:xfrm>
          <a:off x="5069775" y="3622838"/>
          <a:ext cx="552450" cy="314325"/>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SzPts val="800"/>
            <a:buFont typeface="Arial"/>
            <a:buNone/>
          </a:pPr>
          <a:r>
            <a:rPr lang="en-US" sz="800"/>
            <a:t>MCI</a:t>
          </a:r>
          <a:endParaRPr sz="1400"/>
        </a:p>
      </xdr:txBody>
    </xdr:sp>
    <xdr:clientData fLocksWithSheet="0"/>
  </xdr:oneCellAnchor>
  <xdr:oneCellAnchor>
    <xdr:from>
      <xdr:col>4</xdr:col>
      <xdr:colOff>561975</xdr:colOff>
      <xdr:row>46</xdr:row>
      <xdr:rowOff>0</xdr:rowOff>
    </xdr:from>
    <xdr:ext cx="447675" cy="314325"/>
    <xdr:sp macro="" textlink="">
      <xdr:nvSpPr>
        <xdr:cNvPr id="8" name="Shape 8">
          <a:extLst>
            <a:ext uri="{FF2B5EF4-FFF2-40B4-BE49-F238E27FC236}">
              <a16:creationId xmlns:a16="http://schemas.microsoft.com/office/drawing/2014/main" id="{00000000-0008-0000-0A00-000008000000}"/>
            </a:ext>
          </a:extLst>
        </xdr:cNvPr>
        <xdr:cNvSpPr txBox="1"/>
      </xdr:nvSpPr>
      <xdr:spPr>
        <a:xfrm>
          <a:off x="5126925" y="3627600"/>
          <a:ext cx="438150" cy="304800"/>
        </a:xfrm>
        <a:prstGeom prst="rect">
          <a:avLst/>
        </a:prstGeom>
        <a:noFill/>
        <a:ln>
          <a:noFill/>
        </a:ln>
      </xdr:spPr>
      <xdr:txBody>
        <a:bodyPr spcFirstLastPara="1" wrap="square" lIns="91425" tIns="45700" rIns="91425" bIns="45700" anchor="ctr" anchorCtr="0">
          <a:spAutoFit/>
        </a:bodyPr>
        <a:lstStyle/>
        <a:p>
          <a:pPr marL="0" lvl="0" indent="0" algn="l" rtl="0">
            <a:spcBef>
              <a:spcPts val="0"/>
            </a:spcBef>
            <a:spcAft>
              <a:spcPts val="0"/>
            </a:spcAft>
            <a:buSzPts val="800"/>
            <a:buFont typeface="Arial"/>
            <a:buNone/>
          </a:pPr>
          <a:r>
            <a:rPr lang="en-US" sz="800"/>
            <a:t>MCI</a:t>
          </a:r>
          <a:endParaRPr sz="1400"/>
        </a:p>
      </xdr:txBody>
    </xdr:sp>
    <xdr:clientData fLocksWithSheet="0"/>
  </xdr:oneCellAnchor>
  <xdr:oneCellAnchor>
    <xdr:from>
      <xdr:col>2</xdr:col>
      <xdr:colOff>0</xdr:colOff>
      <xdr:row>206</xdr:row>
      <xdr:rowOff>0</xdr:rowOff>
    </xdr:from>
    <xdr:ext cx="12592050" cy="2971800"/>
    <xdr:sp macro="" textlink="">
      <xdr:nvSpPr>
        <xdr:cNvPr id="9" name="Shape 9">
          <a:extLst>
            <a:ext uri="{FF2B5EF4-FFF2-40B4-BE49-F238E27FC236}">
              <a16:creationId xmlns:a16="http://schemas.microsoft.com/office/drawing/2014/main" id="{00000000-0008-0000-0A00-000009000000}"/>
            </a:ext>
          </a:extLst>
        </xdr:cNvPr>
        <xdr:cNvSpPr/>
      </xdr:nvSpPr>
      <xdr:spPr>
        <a:xfrm>
          <a:off x="0" y="2298863"/>
          <a:ext cx="10692000" cy="2962275"/>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oneCellAnchor>
    <xdr:from>
      <xdr:col>2</xdr:col>
      <xdr:colOff>0</xdr:colOff>
      <xdr:row>222</xdr:row>
      <xdr:rowOff>57150</xdr:rowOff>
    </xdr:from>
    <xdr:ext cx="12592050" cy="3267075"/>
    <xdr:sp macro="" textlink="">
      <xdr:nvSpPr>
        <xdr:cNvPr id="10" name="Shape 10">
          <a:extLst>
            <a:ext uri="{FF2B5EF4-FFF2-40B4-BE49-F238E27FC236}">
              <a16:creationId xmlns:a16="http://schemas.microsoft.com/office/drawing/2014/main" id="{00000000-0008-0000-0A00-00000A000000}"/>
            </a:ext>
          </a:extLst>
        </xdr:cNvPr>
        <xdr:cNvSpPr/>
      </xdr:nvSpPr>
      <xdr:spPr>
        <a:xfrm>
          <a:off x="0" y="2151225"/>
          <a:ext cx="10692000" cy="325755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oneCellAnchor>
    <xdr:from>
      <xdr:col>2</xdr:col>
      <xdr:colOff>0</xdr:colOff>
      <xdr:row>241</xdr:row>
      <xdr:rowOff>0</xdr:rowOff>
    </xdr:from>
    <xdr:ext cx="12592050" cy="3248025"/>
    <xdr:sp macro="" textlink="">
      <xdr:nvSpPr>
        <xdr:cNvPr id="11" name="Shape 11">
          <a:extLst>
            <a:ext uri="{FF2B5EF4-FFF2-40B4-BE49-F238E27FC236}">
              <a16:creationId xmlns:a16="http://schemas.microsoft.com/office/drawing/2014/main" id="{00000000-0008-0000-0A00-00000B000000}"/>
            </a:ext>
          </a:extLst>
        </xdr:cNvPr>
        <xdr:cNvSpPr/>
      </xdr:nvSpPr>
      <xdr:spPr>
        <a:xfrm>
          <a:off x="0" y="2160750"/>
          <a:ext cx="10692000" cy="323850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oneCellAnchor>
    <xdr:from>
      <xdr:col>2</xdr:col>
      <xdr:colOff>0</xdr:colOff>
      <xdr:row>441</xdr:row>
      <xdr:rowOff>0</xdr:rowOff>
    </xdr:from>
    <xdr:ext cx="12592050" cy="1857375"/>
    <xdr:sp macro="" textlink="">
      <xdr:nvSpPr>
        <xdr:cNvPr id="12" name="Shape 12">
          <a:extLst>
            <a:ext uri="{FF2B5EF4-FFF2-40B4-BE49-F238E27FC236}">
              <a16:creationId xmlns:a16="http://schemas.microsoft.com/office/drawing/2014/main" id="{00000000-0008-0000-0A00-00000C000000}"/>
            </a:ext>
          </a:extLst>
        </xdr:cNvPr>
        <xdr:cNvSpPr/>
      </xdr:nvSpPr>
      <xdr:spPr>
        <a:xfrm>
          <a:off x="0" y="2856075"/>
          <a:ext cx="10692000" cy="184785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oneCellAnchor>
    <xdr:from>
      <xdr:col>2</xdr:col>
      <xdr:colOff>0</xdr:colOff>
      <xdr:row>451</xdr:row>
      <xdr:rowOff>0</xdr:rowOff>
    </xdr:from>
    <xdr:ext cx="12592050" cy="1857375"/>
    <xdr:sp macro="" textlink="">
      <xdr:nvSpPr>
        <xdr:cNvPr id="13" name="Shape 13">
          <a:extLst>
            <a:ext uri="{FF2B5EF4-FFF2-40B4-BE49-F238E27FC236}">
              <a16:creationId xmlns:a16="http://schemas.microsoft.com/office/drawing/2014/main" id="{00000000-0008-0000-0A00-00000D000000}"/>
            </a:ext>
          </a:extLst>
        </xdr:cNvPr>
        <xdr:cNvSpPr/>
      </xdr:nvSpPr>
      <xdr:spPr>
        <a:xfrm>
          <a:off x="0" y="2856075"/>
          <a:ext cx="10692000" cy="184785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oneCellAnchor>
    <xdr:from>
      <xdr:col>2</xdr:col>
      <xdr:colOff>0</xdr:colOff>
      <xdr:row>461</xdr:row>
      <xdr:rowOff>0</xdr:rowOff>
    </xdr:from>
    <xdr:ext cx="12592050" cy="1857375"/>
    <xdr:sp macro="" textlink="">
      <xdr:nvSpPr>
        <xdr:cNvPr id="14" name="Shape 14">
          <a:extLst>
            <a:ext uri="{FF2B5EF4-FFF2-40B4-BE49-F238E27FC236}">
              <a16:creationId xmlns:a16="http://schemas.microsoft.com/office/drawing/2014/main" id="{00000000-0008-0000-0A00-00000E000000}"/>
            </a:ext>
          </a:extLst>
        </xdr:cNvPr>
        <xdr:cNvSpPr/>
      </xdr:nvSpPr>
      <xdr:spPr>
        <a:xfrm>
          <a:off x="0" y="2856075"/>
          <a:ext cx="10692000" cy="184785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oneCellAnchor>
    <xdr:from>
      <xdr:col>2</xdr:col>
      <xdr:colOff>0</xdr:colOff>
      <xdr:row>471</xdr:row>
      <xdr:rowOff>38100</xdr:rowOff>
    </xdr:from>
    <xdr:ext cx="12592050" cy="1857375"/>
    <xdr:sp macro="" textlink="">
      <xdr:nvSpPr>
        <xdr:cNvPr id="15" name="Shape 15">
          <a:extLst>
            <a:ext uri="{FF2B5EF4-FFF2-40B4-BE49-F238E27FC236}">
              <a16:creationId xmlns:a16="http://schemas.microsoft.com/office/drawing/2014/main" id="{00000000-0008-0000-0A00-00000F000000}"/>
            </a:ext>
          </a:extLst>
        </xdr:cNvPr>
        <xdr:cNvSpPr/>
      </xdr:nvSpPr>
      <xdr:spPr>
        <a:xfrm>
          <a:off x="0" y="2856075"/>
          <a:ext cx="10692000" cy="184785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usar.</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9525</xdr:colOff>
      <xdr:row>4</xdr:row>
      <xdr:rowOff>57150</xdr:rowOff>
    </xdr:from>
    <xdr:ext cx="8477250" cy="3114675"/>
    <xdr:graphicFrame macro="">
      <xdr:nvGraphicFramePr>
        <xdr:cNvPr id="2056088962" name="Chart 61">
          <a:extLst>
            <a:ext uri="{FF2B5EF4-FFF2-40B4-BE49-F238E27FC236}">
              <a16:creationId xmlns:a16="http://schemas.microsoft.com/office/drawing/2014/main" id="{00000000-0008-0000-0B00-0000826D8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0</xdr:colOff>
      <xdr:row>22</xdr:row>
      <xdr:rowOff>0</xdr:rowOff>
    </xdr:from>
    <xdr:ext cx="8467725" cy="3114675"/>
    <xdr:graphicFrame macro="">
      <xdr:nvGraphicFramePr>
        <xdr:cNvPr id="1031929729" name="Chart 62">
          <a:extLst>
            <a:ext uri="{FF2B5EF4-FFF2-40B4-BE49-F238E27FC236}">
              <a16:creationId xmlns:a16="http://schemas.microsoft.com/office/drawing/2014/main" id="{00000000-0008-0000-0B00-000081FF813D}"/>
            </a:ext>
            <a:ext uri="{147F2762-F138-4A5C-976F-8EAC2B608ADB}">
              <a16:predDERef xmlns:a16="http://schemas.microsoft.com/office/drawing/2014/main" pred="{00000000-0008-0000-0B00-0000826D8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0</xdr:colOff>
      <xdr:row>39</xdr:row>
      <xdr:rowOff>114300</xdr:rowOff>
    </xdr:from>
    <xdr:ext cx="8467725" cy="3114675"/>
    <xdr:graphicFrame macro="">
      <xdr:nvGraphicFramePr>
        <xdr:cNvPr id="188139185" name="Chart 63">
          <a:extLst>
            <a:ext uri="{FF2B5EF4-FFF2-40B4-BE49-F238E27FC236}">
              <a16:creationId xmlns:a16="http://schemas.microsoft.com/office/drawing/2014/main" id="{00000000-0008-0000-0B00-0000B1C6360B}"/>
            </a:ext>
            <a:ext uri="{147F2762-F138-4A5C-976F-8EAC2B608ADB}">
              <a16:predDERef xmlns:a16="http://schemas.microsoft.com/office/drawing/2014/main" pred="{00000000-0008-0000-0B00-000081FF8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0</xdr:colOff>
      <xdr:row>57</xdr:row>
      <xdr:rowOff>66675</xdr:rowOff>
    </xdr:from>
    <xdr:ext cx="8467725" cy="3114675"/>
    <xdr:graphicFrame macro="">
      <xdr:nvGraphicFramePr>
        <xdr:cNvPr id="1438079117" name="Chart 64">
          <a:extLst>
            <a:ext uri="{FF2B5EF4-FFF2-40B4-BE49-F238E27FC236}">
              <a16:creationId xmlns:a16="http://schemas.microsoft.com/office/drawing/2014/main" id="{00000000-0008-0000-0B00-00008D58B755}"/>
            </a:ext>
            <a:ext uri="{147F2762-F138-4A5C-976F-8EAC2B608ADB}">
              <a16:predDERef xmlns:a16="http://schemas.microsoft.com/office/drawing/2014/main" pred="{00000000-0008-0000-0B00-0000B1C63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0</xdr:colOff>
      <xdr:row>75</xdr:row>
      <xdr:rowOff>47625</xdr:rowOff>
    </xdr:from>
    <xdr:ext cx="8467725" cy="3114675"/>
    <xdr:graphicFrame macro="">
      <xdr:nvGraphicFramePr>
        <xdr:cNvPr id="348125781" name="Chart 65">
          <a:extLst>
            <a:ext uri="{FF2B5EF4-FFF2-40B4-BE49-F238E27FC236}">
              <a16:creationId xmlns:a16="http://schemas.microsoft.com/office/drawing/2014/main" id="{00000000-0008-0000-0B00-000055FABF14}"/>
            </a:ext>
            <a:ext uri="{147F2762-F138-4A5C-976F-8EAC2B608ADB}">
              <a16:predDERef xmlns:a16="http://schemas.microsoft.com/office/drawing/2014/main" pred="{00000000-0008-0000-0B00-00008D58B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3</xdr:col>
      <xdr:colOff>9525</xdr:colOff>
      <xdr:row>93</xdr:row>
      <xdr:rowOff>57150</xdr:rowOff>
    </xdr:from>
    <xdr:ext cx="8477250" cy="3114675"/>
    <xdr:graphicFrame macro="">
      <xdr:nvGraphicFramePr>
        <xdr:cNvPr id="853367521" name="Chart 66">
          <a:extLst>
            <a:ext uri="{FF2B5EF4-FFF2-40B4-BE49-F238E27FC236}">
              <a16:creationId xmlns:a16="http://schemas.microsoft.com/office/drawing/2014/main" id="{00000000-0008-0000-0B00-0000E15ADD32}"/>
            </a:ext>
            <a:ext uri="{147F2762-F138-4A5C-976F-8EAC2B608ADB}">
              <a16:predDERef xmlns:a16="http://schemas.microsoft.com/office/drawing/2014/main" pred="{00000000-0008-0000-0B00-000055FAB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3</xdr:col>
      <xdr:colOff>0</xdr:colOff>
      <xdr:row>111</xdr:row>
      <xdr:rowOff>0</xdr:rowOff>
    </xdr:from>
    <xdr:ext cx="8467725" cy="3114675"/>
    <xdr:graphicFrame macro="">
      <xdr:nvGraphicFramePr>
        <xdr:cNvPr id="599219627" name="Chart 67">
          <a:extLst>
            <a:ext uri="{FF2B5EF4-FFF2-40B4-BE49-F238E27FC236}">
              <a16:creationId xmlns:a16="http://schemas.microsoft.com/office/drawing/2014/main" id="{00000000-0008-0000-0B00-0000AB5DB723}"/>
            </a:ext>
            <a:ext uri="{147F2762-F138-4A5C-976F-8EAC2B608ADB}">
              <a16:predDERef xmlns:a16="http://schemas.microsoft.com/office/drawing/2014/main" pred="{00000000-0008-0000-0B00-0000E15AD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3</xdr:col>
      <xdr:colOff>9525</xdr:colOff>
      <xdr:row>129</xdr:row>
      <xdr:rowOff>38100</xdr:rowOff>
    </xdr:from>
    <xdr:ext cx="8477250" cy="3114675"/>
    <xdr:graphicFrame macro="">
      <xdr:nvGraphicFramePr>
        <xdr:cNvPr id="1322677353" name="Chart 68">
          <a:extLst>
            <a:ext uri="{FF2B5EF4-FFF2-40B4-BE49-F238E27FC236}">
              <a16:creationId xmlns:a16="http://schemas.microsoft.com/office/drawing/2014/main" id="{00000000-0008-0000-0B00-00006974D64E}"/>
            </a:ext>
            <a:ext uri="{147F2762-F138-4A5C-976F-8EAC2B608ADB}">
              <a16:predDERef xmlns:a16="http://schemas.microsoft.com/office/drawing/2014/main" pred="{00000000-0008-0000-0B00-0000AB5DB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28575</xdr:colOff>
      <xdr:row>5</xdr:row>
      <xdr:rowOff>76200</xdr:rowOff>
    </xdr:from>
    <xdr:ext cx="6200775" cy="2276475"/>
    <xdr:graphicFrame macro="">
      <xdr:nvGraphicFramePr>
        <xdr:cNvPr id="1492394433" name="Chart 69">
          <a:extLst>
            <a:ext uri="{FF2B5EF4-FFF2-40B4-BE49-F238E27FC236}">
              <a16:creationId xmlns:a16="http://schemas.microsoft.com/office/drawing/2014/main" id="{00000000-0008-0000-0C00-0000C121F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228600</xdr:colOff>
      <xdr:row>5</xdr:row>
      <xdr:rowOff>76200</xdr:rowOff>
    </xdr:from>
    <xdr:ext cx="6819900" cy="2286000"/>
    <xdr:graphicFrame macro="">
      <xdr:nvGraphicFramePr>
        <xdr:cNvPr id="1781178239" name="Chart 70">
          <a:extLst>
            <a:ext uri="{FF2B5EF4-FFF2-40B4-BE49-F238E27FC236}">
              <a16:creationId xmlns:a16="http://schemas.microsoft.com/office/drawing/2014/main" id="{00000000-0008-0000-0C00-00007F9F2A6A}"/>
            </a:ext>
            <a:ext uri="{147F2762-F138-4A5C-976F-8EAC2B608ADB}">
              <a16:predDERef xmlns:a16="http://schemas.microsoft.com/office/drawing/2014/main" pred="{00000000-0008-0000-0C00-0000C121F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22</xdr:row>
      <xdr:rowOff>9525</xdr:rowOff>
    </xdr:from>
    <xdr:ext cx="6219825" cy="2266950"/>
    <xdr:graphicFrame macro="">
      <xdr:nvGraphicFramePr>
        <xdr:cNvPr id="213602173" name="Chart 71">
          <a:extLst>
            <a:ext uri="{FF2B5EF4-FFF2-40B4-BE49-F238E27FC236}">
              <a16:creationId xmlns:a16="http://schemas.microsoft.com/office/drawing/2014/main" id="{00000000-0008-0000-0C00-00007D4FBB0C}"/>
            </a:ext>
            <a:ext uri="{147F2762-F138-4A5C-976F-8EAC2B608ADB}">
              <a16:predDERef xmlns:a16="http://schemas.microsoft.com/office/drawing/2014/main" pred="{00000000-0008-0000-0C00-00007F9F2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266700</xdr:colOff>
      <xdr:row>22</xdr:row>
      <xdr:rowOff>0</xdr:rowOff>
    </xdr:from>
    <xdr:ext cx="6819900" cy="2286000"/>
    <xdr:graphicFrame macro="">
      <xdr:nvGraphicFramePr>
        <xdr:cNvPr id="2127093749" name="Chart 72">
          <a:extLst>
            <a:ext uri="{FF2B5EF4-FFF2-40B4-BE49-F238E27FC236}">
              <a16:creationId xmlns:a16="http://schemas.microsoft.com/office/drawing/2014/main" id="{00000000-0008-0000-0C00-0000F5DFC87E}"/>
            </a:ext>
            <a:ext uri="{147F2762-F138-4A5C-976F-8EAC2B608ADB}">
              <a16:predDERef xmlns:a16="http://schemas.microsoft.com/office/drawing/2014/main" pred="{00000000-0008-0000-0C00-00007D4FB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114300</xdr:colOff>
      <xdr:row>36</xdr:row>
      <xdr:rowOff>76200</xdr:rowOff>
    </xdr:from>
    <xdr:ext cx="6267450" cy="2695575"/>
    <xdr:graphicFrame macro="">
      <xdr:nvGraphicFramePr>
        <xdr:cNvPr id="1136619008" name="Chart 73">
          <a:extLst>
            <a:ext uri="{FF2B5EF4-FFF2-40B4-BE49-F238E27FC236}">
              <a16:creationId xmlns:a16="http://schemas.microsoft.com/office/drawing/2014/main" id="{00000000-0008-0000-0C00-0000006EBF43}"/>
            </a:ext>
            <a:ext uri="{147F2762-F138-4A5C-976F-8EAC2B608ADB}">
              <a16:predDERef xmlns:a16="http://schemas.microsoft.com/office/drawing/2014/main" pred="{00000000-0008-0000-0C00-0000F5DFC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xdr:col>
      <xdr:colOff>38100</xdr:colOff>
      <xdr:row>54</xdr:row>
      <xdr:rowOff>47625</xdr:rowOff>
    </xdr:from>
    <xdr:ext cx="4572000" cy="2609850"/>
    <xdr:graphicFrame macro="">
      <xdr:nvGraphicFramePr>
        <xdr:cNvPr id="2083008500" name="Chart 74">
          <a:extLst>
            <a:ext uri="{FF2B5EF4-FFF2-40B4-BE49-F238E27FC236}">
              <a16:creationId xmlns:a16="http://schemas.microsoft.com/office/drawing/2014/main" id="{00000000-0008-0000-0C00-0000F42F287C}"/>
            </a:ext>
            <a:ext uri="{147F2762-F138-4A5C-976F-8EAC2B608ADB}">
              <a16:predDERef xmlns:a16="http://schemas.microsoft.com/office/drawing/2014/main" pred="{00000000-0008-0000-0C00-0000006EB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19050</xdr:colOff>
      <xdr:row>92</xdr:row>
      <xdr:rowOff>28575</xdr:rowOff>
    </xdr:from>
    <xdr:ext cx="4962525" cy="2781300"/>
    <xdr:graphicFrame macro="">
      <xdr:nvGraphicFramePr>
        <xdr:cNvPr id="44459972" name="Chart 75">
          <a:extLst>
            <a:ext uri="{FF2B5EF4-FFF2-40B4-BE49-F238E27FC236}">
              <a16:creationId xmlns:a16="http://schemas.microsoft.com/office/drawing/2014/main" id="{00000000-0008-0000-0C00-0000C467A602}"/>
            </a:ext>
            <a:ext uri="{147F2762-F138-4A5C-976F-8EAC2B608ADB}">
              <a16:predDERef xmlns:a16="http://schemas.microsoft.com/office/drawing/2014/main" pred="{00000000-0008-0000-0C00-0000F42F2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4</xdr:col>
      <xdr:colOff>733425</xdr:colOff>
      <xdr:row>92</xdr:row>
      <xdr:rowOff>38100</xdr:rowOff>
    </xdr:from>
    <xdr:ext cx="4533900" cy="2800350"/>
    <xdr:graphicFrame macro="">
      <xdr:nvGraphicFramePr>
        <xdr:cNvPr id="1926938708" name="Chart 76">
          <a:extLst>
            <a:ext uri="{FF2B5EF4-FFF2-40B4-BE49-F238E27FC236}">
              <a16:creationId xmlns:a16="http://schemas.microsoft.com/office/drawing/2014/main" id="{00000000-0008-0000-0C00-000054C0DA72}"/>
            </a:ext>
            <a:ext uri="{147F2762-F138-4A5C-976F-8EAC2B608ADB}">
              <a16:predDERef xmlns:a16="http://schemas.microsoft.com/office/drawing/2014/main" pred="{00000000-0008-0000-0C00-0000C467A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xdr:col>
      <xdr:colOff>19050</xdr:colOff>
      <xdr:row>113</xdr:row>
      <xdr:rowOff>66675</xdr:rowOff>
    </xdr:from>
    <xdr:ext cx="4572000" cy="2800350"/>
    <xdr:graphicFrame macro="">
      <xdr:nvGraphicFramePr>
        <xdr:cNvPr id="447241448" name="Chart 77">
          <a:extLst>
            <a:ext uri="{FF2B5EF4-FFF2-40B4-BE49-F238E27FC236}">
              <a16:creationId xmlns:a16="http://schemas.microsoft.com/office/drawing/2014/main" id="{00000000-0008-0000-0C00-0000E85CA81A}"/>
            </a:ext>
            <a:ext uri="{147F2762-F138-4A5C-976F-8EAC2B608ADB}">
              <a16:predDERef xmlns:a16="http://schemas.microsoft.com/office/drawing/2014/main" pred="{00000000-0008-0000-0C00-000054C0D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xdr:col>
      <xdr:colOff>47625</xdr:colOff>
      <xdr:row>133</xdr:row>
      <xdr:rowOff>38100</xdr:rowOff>
    </xdr:from>
    <xdr:ext cx="4572000" cy="2800350"/>
    <xdr:graphicFrame macro="">
      <xdr:nvGraphicFramePr>
        <xdr:cNvPr id="280136438" name="Chart 78">
          <a:extLst>
            <a:ext uri="{FF2B5EF4-FFF2-40B4-BE49-F238E27FC236}">
              <a16:creationId xmlns:a16="http://schemas.microsoft.com/office/drawing/2014/main" id="{00000000-0008-0000-0C00-0000F68AB210}"/>
            </a:ext>
            <a:ext uri="{147F2762-F138-4A5C-976F-8EAC2B608ADB}">
              <a16:predDERef xmlns:a16="http://schemas.microsoft.com/office/drawing/2014/main" pred="{00000000-0008-0000-0C00-0000E85CA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4</xdr:col>
      <xdr:colOff>409575</xdr:colOff>
      <xdr:row>133</xdr:row>
      <xdr:rowOff>38100</xdr:rowOff>
    </xdr:from>
    <xdr:ext cx="4533900" cy="2800350"/>
    <xdr:graphicFrame macro="">
      <xdr:nvGraphicFramePr>
        <xdr:cNvPr id="991115254" name="Chart 79">
          <a:extLst>
            <a:ext uri="{FF2B5EF4-FFF2-40B4-BE49-F238E27FC236}">
              <a16:creationId xmlns:a16="http://schemas.microsoft.com/office/drawing/2014/main" id="{00000000-0008-0000-0C00-0000F637133B}"/>
            </a:ext>
            <a:ext uri="{147F2762-F138-4A5C-976F-8EAC2B608ADB}">
              <a16:predDERef xmlns:a16="http://schemas.microsoft.com/office/drawing/2014/main" pred="{00000000-0008-0000-0C00-0000F68AB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xdr:col>
      <xdr:colOff>104775</xdr:colOff>
      <xdr:row>70</xdr:row>
      <xdr:rowOff>123825</xdr:rowOff>
    </xdr:from>
    <xdr:ext cx="5753100" cy="2695575"/>
    <xdr:graphicFrame macro="">
      <xdr:nvGraphicFramePr>
        <xdr:cNvPr id="977558911" name="Chart 80">
          <a:extLst>
            <a:ext uri="{FF2B5EF4-FFF2-40B4-BE49-F238E27FC236}">
              <a16:creationId xmlns:a16="http://schemas.microsoft.com/office/drawing/2014/main" id="{00000000-0008-0000-0C00-00007F5D443A}"/>
            </a:ext>
            <a:ext uri="{147F2762-F138-4A5C-976F-8EAC2B608ADB}">
              <a16:predDERef xmlns:a16="http://schemas.microsoft.com/office/drawing/2014/main" pred="{00000000-0008-0000-0C00-0000F6371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person displayName="Lissete Davila" id="{6CBA8FA3-AC8D-406B-B8BD-B8F2B4CAD4E5}" userId="" providerId=""/>
  <person displayName="Daniel Villamar" id="{245C03DB-9542-4BCF-A5D2-4F7B6E0C2249}"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99" dT="2023-05-05T02:47:35.82" personId="{245C03DB-9542-4BCF-A5D2-4F7B6E0C2249}" id="{1E73908E-7E21-4615-BECE-27A7C8D11B31}">
    <text xml:space="preserve">estos valores son de carga a refinerías no de consumo. El consumo de petróleo en, según datos de la ARCRNNR son nulos. </text>
  </threadedComment>
  <threadedComment ref="I199" dT="2023-05-05T02:47:35.82" personId="{245C03DB-9542-4BCF-A5D2-4F7B6E0C2249}" id="{77D84016-0DE8-407F-85C8-5E27EEF71A61}">
    <text xml:space="preserve">estos valores son de carga a refinerías no de consumo. El consumo de petróleo en, según datos de la ARCRNNR son nulos. </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3-05-12T00:47:30.48" personId="{6CBA8FA3-AC8D-406B-B8BD-B8F2B4CAD4E5}" id="{68841F87-D52B-4F4B-8FBD-FF37FAD28902}">
    <text>En esta V2 de la hoja "Emisiones de Energía" están los factores de emisión CO2/CH4/N2O/CO2eq.</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biblioteca.olade.org/opac-tmpl/Documentos/old0380.pdf" TargetMode="External"/><Relationship Id="rId7" Type="http://schemas.openxmlformats.org/officeDocument/2006/relationships/vmlDrawing" Target="../drawings/vmlDrawing1.vml"/><Relationship Id="rId2" Type="http://schemas.openxmlformats.org/officeDocument/2006/relationships/hyperlink" Target="https://biblioteca.olade.org/opac-tmpl/Documentos/old0380.pdf" TargetMode="External"/><Relationship Id="rId1" Type="http://schemas.openxmlformats.org/officeDocument/2006/relationships/hyperlink" Target="https://biblioteca.olade.org/opac-tmpl/Documentos/old0380.pdf" TargetMode="External"/><Relationship Id="rId6" Type="http://schemas.openxmlformats.org/officeDocument/2006/relationships/printerSettings" Target="../printerSettings/printerSettings1.bin"/><Relationship Id="rId5" Type="http://schemas.openxmlformats.org/officeDocument/2006/relationships/hyperlink" Target="https://biblioteca.olade.org/opac-tmpl/Documentos/old0380.pdf" TargetMode="External"/><Relationship Id="rId4" Type="http://schemas.openxmlformats.org/officeDocument/2006/relationships/hyperlink" Target="https://biblioteca.olade.org/opac-tmpl/Documentos/old0380.pdf" TargetMode="External"/><Relationship Id="rId9"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hyperlink" Target="https://biblioteca.olade.org/opac-tmpl/Documentos/old0380.pdf" TargetMode="External"/><Relationship Id="rId2" Type="http://schemas.openxmlformats.org/officeDocument/2006/relationships/hyperlink" Target="https://biblioteca.olade.org/opac-tmpl/Documentos/old0380.pdf" TargetMode="External"/><Relationship Id="rId1" Type="http://schemas.openxmlformats.org/officeDocument/2006/relationships/hyperlink" Target="https://biblioteca.olade.org/opac-tmpl/Documentos/old0380.pdf"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hyperlink" Target="https://biblioteca.olade.org/opac-tmpl/Documentos/old0380.pdf" TargetMode="External"/><Relationship Id="rId1" Type="http://schemas.openxmlformats.org/officeDocument/2006/relationships/hyperlink" Target="https://biblioteca.olade.org/opac-tmpl/Documentos/old0380.pdf" TargetMode="Externa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biblioteca.olade.org/opac-tmpl/Documentos/old0380.pdf" TargetMode="External"/><Relationship Id="rId7" Type="http://schemas.openxmlformats.org/officeDocument/2006/relationships/comments" Target="../comments4.xml"/><Relationship Id="rId2" Type="http://schemas.openxmlformats.org/officeDocument/2006/relationships/hyperlink" Target="https://biblioteca.olade.org/opac-tmpl/Documentos/old0380.pdf" TargetMode="External"/><Relationship Id="rId1" Type="http://schemas.openxmlformats.org/officeDocument/2006/relationships/hyperlink" Target="https://biblioteca.olade.org/opac-tmpl/Documentos/old0380.pdf" TargetMode="External"/><Relationship Id="rId6" Type="http://schemas.openxmlformats.org/officeDocument/2006/relationships/vmlDrawing" Target="../drawings/vmlDrawing4.vml"/><Relationship Id="rId5" Type="http://schemas.openxmlformats.org/officeDocument/2006/relationships/hyperlink" Target="https://www.ipcc.ch/site/assets/uploads/2018/02/ar4-wg1-chapter2-1.pdf" TargetMode="External"/><Relationship Id="rId4" Type="http://schemas.openxmlformats.org/officeDocument/2006/relationships/hyperlink" Target="https://biblioteca.olade.org/opac-tmpl/Documentos/old0380.pdf"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biblioteca.olade.org/opac-tmpl/Documentos/old0380.pdf" TargetMode="External"/><Relationship Id="rId2" Type="http://schemas.openxmlformats.org/officeDocument/2006/relationships/hyperlink" Target="https://biblioteca.olade.org/opac-tmpl/Documentos/old0380.pdf" TargetMode="External"/><Relationship Id="rId1" Type="http://schemas.openxmlformats.org/officeDocument/2006/relationships/hyperlink" Target="https://biblioteca.olade.org/opac-tmpl/Documentos/old0380.pdf" TargetMode="External"/><Relationship Id="rId4" Type="http://schemas.openxmlformats.org/officeDocument/2006/relationships/hyperlink" Target="https://biblioteca.olade.org/opac-tmpl/Documentos/old0380.pdf"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bibdigital.epn.edu.ec/bitstream/15000/21233/1/CD%2010749.pdf"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theicct.org/wp-content/uploads/2021/06/final_icct2020_assessment_of-_hydrogen_production_costs-v2.pdf"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creditoseconomicos.com/" TargetMode="External"/><Relationship Id="rId2" Type="http://schemas.openxmlformats.org/officeDocument/2006/relationships/hyperlink" Target="https://www.tibo.bo/tiendasbolivia/" TargetMode="External"/><Relationship Id="rId1" Type="http://schemas.openxmlformats.org/officeDocument/2006/relationships/hyperlink" Target="https://www.dismac.com.bo/"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dof.gob.mx/nota_detalle.php?codigo=5372640&amp;fecha=28/11/2014"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recursosyenergia.gob.ec/wp-content/uploads/2022/02/Revista-Informe-anual-del-potencial-hidrocarburifero-del-Ecuador-20202.pdf" TargetMode="External"/><Relationship Id="rId7" Type="http://schemas.openxmlformats.org/officeDocument/2006/relationships/comments" Target="../comments7.xml"/><Relationship Id="rId2" Type="http://schemas.openxmlformats.org/officeDocument/2006/relationships/hyperlink" Target="https://www.recursosyenergia.gob.ec/wp-content/uploads/2020/09/Resumen-Infor.P..Hidro-Pa%C3%ADs-2019.-Revi1C.Ruiz_.1.pdf" TargetMode="External"/><Relationship Id="rId1" Type="http://schemas.openxmlformats.org/officeDocument/2006/relationships/hyperlink" Target="https://www.recursosyenergia.gob.ec/wp-content/uploads/2019/11/Informe-Anual-del-Potencial-Hidrocarburi%CC%81fero-del-Ecuador-2018.pdf" TargetMode="External"/><Relationship Id="rId6" Type="http://schemas.openxmlformats.org/officeDocument/2006/relationships/vmlDrawing" Target="../drawings/vmlDrawing7.vml"/><Relationship Id="rId5" Type="http://schemas.openxmlformats.org/officeDocument/2006/relationships/hyperlink" Target="https://doi.org/10.1016/j.esr.2021.100637" TargetMode="External"/><Relationship Id="rId4" Type="http://schemas.openxmlformats.org/officeDocument/2006/relationships/hyperlink" Target="https://www.recursosyenergia.gob.ec/wp-content/uploads/2022/08/Balance_Energe%CC%81tico_Nacional_2021-VF_opt.pdf"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controlrecursosyenergia.gob.ec/wp-content/uploads/downloads/2020/11/Estad%C3%ADstica-2019-nuevologo-small.pdf" TargetMode="External"/><Relationship Id="rId13" Type="http://schemas.openxmlformats.org/officeDocument/2006/relationships/hyperlink" Target="https://bibdigital.epn.edu.ec/bitstream/15000/21233/1/CD%2010749.pdf" TargetMode="External"/><Relationship Id="rId18" Type="http://schemas.openxmlformats.org/officeDocument/2006/relationships/hyperlink" Target="https://www.celec.gob.ec/hidroazogues/proyecto/hidroelectrico-mazar-dudas" TargetMode="External"/><Relationship Id="rId26" Type="http://schemas.openxmlformats.org/officeDocument/2006/relationships/hyperlink" Target="https://proyectos.energiayminas.gob.ec/descargaDocumento.php?nombre=brochoureBloqueERNC.pdf&amp;path=bloqueErnc" TargetMode="External"/><Relationship Id="rId3" Type="http://schemas.openxmlformats.org/officeDocument/2006/relationships/hyperlink" Target="https://www.controlrecursosyenergia.gob.ec/wp-content/uploads/downloads/2021/06/Atlas-2020-baja.pdf" TargetMode="External"/><Relationship Id="rId21" Type="http://schemas.openxmlformats.org/officeDocument/2006/relationships/hyperlink" Target="https://soldadosyanuncay.elecaustro.gob.ec/" TargetMode="External"/><Relationship Id="rId7" Type="http://schemas.openxmlformats.org/officeDocument/2006/relationships/hyperlink" Target="https://www.controlrecursosyenergia.gob.ec/wp-content/uploads/downloads/2020/08/Estad%C3%ADsticaAnualMultianual2018.pdf" TargetMode="External"/><Relationship Id="rId12" Type="http://schemas.openxmlformats.org/officeDocument/2006/relationships/hyperlink" Target="https://www.dropbox.com/s/4pq1apn8v779i1u/CELEC_FB_2021_Producto%20Final_ASISTENCIA%20T%C3%89CNICA%20DEFINICI%C3%93N%20DE%20L%C3%8DNEAS%20DE%20ACCI%C3%93N%20APROVECHAMIENTO%20ENERG%C3%89TICO%20SOSTENIBLE%20DE%20BIOMASA%20RESIDUAL_Rev1%20%281%29.pdf?dl=0" TargetMode="External"/><Relationship Id="rId17" Type="http://schemas.openxmlformats.org/officeDocument/2006/relationships/hyperlink" Target="https://www.celec.gob.ec/transelectric/images/stories/noticias/2022WEB/Docuexpan2022/Sabanilla/210126%20CVA-002-2021%20ACTUALIZACION%20CONEXION%20AL%20SNT.PDF" TargetMode="External"/><Relationship Id="rId25" Type="http://schemas.openxmlformats.org/officeDocument/2006/relationships/hyperlink" Target="https://www.recursosyenergia.gob.ec/gobierno-nacional-impulsa-la-concesion-de-la-construccion-del-nuevo-proyecto-hidroelectrico-santiago/" TargetMode="External"/><Relationship Id="rId2" Type="http://schemas.openxmlformats.org/officeDocument/2006/relationships/hyperlink" Target="https://www.controlrecursosyenergia.gob.ec/wp-content/uploads/downloads/2020/11/Atlas-2019-nuevologo-small.pdf" TargetMode="External"/><Relationship Id="rId16" Type="http://schemas.openxmlformats.org/officeDocument/2006/relationships/hyperlink" Target="https://www.recursosyenergia.gob.ec/proyecto-hidroelectrico-toachi-pilaton/" TargetMode="External"/><Relationship Id="rId20" Type="http://schemas.openxmlformats.org/officeDocument/2006/relationships/hyperlink" Target="https://soldadosyanuncay.elecaustro.gob.ec/" TargetMode="External"/><Relationship Id="rId29" Type="http://schemas.openxmlformats.org/officeDocument/2006/relationships/vmlDrawing" Target="../drawings/vmlDrawing8.vml"/><Relationship Id="rId1" Type="http://schemas.openxmlformats.org/officeDocument/2006/relationships/hyperlink" Target="https://www.controlrecursosyenergia.gob.ec/wp-content/uploads/downloads/2020/08/Atlas2018.pdf" TargetMode="External"/><Relationship Id="rId6" Type="http://schemas.openxmlformats.org/officeDocument/2006/relationships/hyperlink" Target="https://www.controlrecursosyenergia.gob.ec/wp-content/uploads/downloads/2021/07/RNA-para-publicaci%C3%B3n-actualizado-a-junio.pdf" TargetMode="External"/><Relationship Id="rId11" Type="http://schemas.openxmlformats.org/officeDocument/2006/relationships/hyperlink" Target="https://www.recursosyenergia.gob.ec/wp-content/uploads/2022/08/Balance_Energe%CC%81tico_Nacional_2021-VF_opt.pdf" TargetMode="External"/><Relationship Id="rId24" Type="http://schemas.openxmlformats.org/officeDocument/2006/relationships/hyperlink" Target="https://www.recursosyenergia.gob.ec/gobierno-nacional-impulsa-la-concesion-de-la-construccion-del-nuevo-proyecto-hidroelectrico-santiago/" TargetMode="External"/><Relationship Id="rId5" Type="http://schemas.openxmlformats.org/officeDocument/2006/relationships/hyperlink" Target="https://doi.org/10.1016/j.esr.2021.100637" TargetMode="External"/><Relationship Id="rId15" Type="http://schemas.openxmlformats.org/officeDocument/2006/relationships/hyperlink" Target="https://www.recursosyenergia.gob.ec/proyecto-hidroelectrico-toachi-pilaton/" TargetMode="External"/><Relationship Id="rId23" Type="http://schemas.openxmlformats.org/officeDocument/2006/relationships/hyperlink" Target="https://www.celec.gob.ec/celecsur/index.php/generacion/paute-cardenillo" TargetMode="External"/><Relationship Id="rId28" Type="http://schemas.openxmlformats.org/officeDocument/2006/relationships/hyperlink" Target="https://www.review-energy.com/otras-fuentes/ecuador-adjudica-la-totalidad-del-bloque-de-500-mw-renovables" TargetMode="External"/><Relationship Id="rId10" Type="http://schemas.openxmlformats.org/officeDocument/2006/relationships/hyperlink" Target="https://www.controlrecursosyenergia.gob.ec/wp-content/uploads/downloads/2022/04/Estadistica2021.pdf" TargetMode="External"/><Relationship Id="rId19" Type="http://schemas.openxmlformats.org/officeDocument/2006/relationships/hyperlink" Target="https://www.celec.gob.ec/hidroazogues/proyecto/hidroelectrico-mazar-dudas" TargetMode="External"/><Relationship Id="rId4" Type="http://schemas.openxmlformats.org/officeDocument/2006/relationships/hyperlink" Target="https://www.controlrecursosyenergia.gob.ec/wp-content/uploads/downloads/2022/04/Atlas2021.pdf" TargetMode="External"/><Relationship Id="rId9" Type="http://schemas.openxmlformats.org/officeDocument/2006/relationships/hyperlink" Target="https://www.controlrecursosyenergia.gob.ec/wp-content/uploads/downloads/2021/09/Estadistica-2020-baja.pdf" TargetMode="External"/><Relationship Id="rId14" Type="http://schemas.openxmlformats.org/officeDocument/2006/relationships/hyperlink" Target="https://www.mallacoanda.com/portfolio-items/central-hidroelectrica-san-jose-de-minas/" TargetMode="External"/><Relationship Id="rId22" Type="http://schemas.openxmlformats.org/officeDocument/2006/relationships/hyperlink" Target="https://www.celec.gob.ec/cocacodosinclair/index.php/2015-09-07-17-45-09/headers/quijos/caracteristicas" TargetMode="External"/><Relationship Id="rId27" Type="http://schemas.openxmlformats.org/officeDocument/2006/relationships/hyperlink" Target="https://proyectos.energiayminas.gob.ec/descargaDocumento.php?nombre=brochoureBloqueERNC.pdf&amp;path=bloqueErnc" TargetMode="External"/><Relationship Id="rId30" Type="http://schemas.openxmlformats.org/officeDocument/2006/relationships/comments" Target="../comments8.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recursosyenergia.gob.ec/wp-content/uploads/2022/08/Balance_Energe%CC%81tico_Nacional_2021-VF_opt.pdf"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ipcc.ch/site/assets/uploads/2018/02/ar4-wg1-chapter2-1.pdf" TargetMode="External"/><Relationship Id="rId7" Type="http://schemas.openxmlformats.org/officeDocument/2006/relationships/comments" Target="../comments9.xml"/><Relationship Id="rId2" Type="http://schemas.openxmlformats.org/officeDocument/2006/relationships/hyperlink" Target="https://www.ipcc.ch/site/assets/uploads/2018/02/ar4-wg1-chapter2-1.pdf" TargetMode="External"/><Relationship Id="rId1" Type="http://schemas.openxmlformats.org/officeDocument/2006/relationships/hyperlink" Target="https://www.ipcc.ch/site/assets/uploads/2018/02/ar4-wg1-chapter2-1.pdf" TargetMode="External"/><Relationship Id="rId6" Type="http://schemas.openxmlformats.org/officeDocument/2006/relationships/vmlDrawing" Target="../drawings/vmlDrawing9.vml"/><Relationship Id="rId5" Type="http://schemas.openxmlformats.org/officeDocument/2006/relationships/hyperlink" Target="https://www.ipcc.ch/site/assets/uploads/2018/02/ar4-wg1-chapter2-1.pdf" TargetMode="External"/><Relationship Id="rId4" Type="http://schemas.openxmlformats.org/officeDocument/2006/relationships/hyperlink" Target="https://www.ipcc.ch/site/assets/uploads/2018/02/ar4-wg1-chapte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opLeftCell="A18" workbookViewId="0">
      <selection activeCell="D29" sqref="D29"/>
    </sheetView>
  </sheetViews>
  <sheetFormatPr defaultColWidth="12.69140625" defaultRowHeight="15" customHeight="1" x14ac:dyDescent="0.45"/>
  <cols>
    <col min="1" max="18" width="8.3828125" customWidth="1"/>
    <col min="19" max="22" width="12.3828125" customWidth="1"/>
  </cols>
  <sheetData>
    <row r="1" spans="1:22" ht="13.5" customHeight="1" x14ac:dyDescent="0.45">
      <c r="A1" s="1"/>
      <c r="B1" s="1"/>
      <c r="C1" s="1"/>
      <c r="D1" s="1"/>
      <c r="E1" s="1"/>
      <c r="F1" s="1"/>
      <c r="G1" s="1"/>
      <c r="H1" s="1"/>
      <c r="I1" s="1"/>
      <c r="J1" s="1"/>
      <c r="K1" s="1"/>
      <c r="L1" s="1"/>
      <c r="M1" s="1"/>
      <c r="N1" s="1"/>
      <c r="O1" s="1"/>
      <c r="P1" s="1"/>
      <c r="Q1" s="1"/>
      <c r="R1" s="1"/>
      <c r="S1" s="1"/>
      <c r="T1" s="1"/>
      <c r="U1" s="1"/>
      <c r="V1" s="1"/>
    </row>
    <row r="2" spans="1:22" ht="14.25" customHeight="1" x14ac:dyDescent="0.45">
      <c r="A2" s="1"/>
      <c r="B2" s="623" t="s">
        <v>0</v>
      </c>
      <c r="C2" s="622"/>
      <c r="D2" s="622"/>
      <c r="E2" s="622"/>
      <c r="F2" s="622"/>
      <c r="G2" s="622"/>
      <c r="H2" s="622"/>
      <c r="I2" s="622"/>
      <c r="J2" s="622"/>
      <c r="K2" s="2"/>
      <c r="L2" s="2"/>
      <c r="M2" s="2"/>
      <c r="N2" s="2"/>
      <c r="O2" s="2"/>
      <c r="P2" s="2"/>
      <c r="Q2" s="2"/>
      <c r="R2" s="1"/>
      <c r="S2" s="1"/>
      <c r="T2" s="1"/>
      <c r="U2" s="1"/>
      <c r="V2" s="1"/>
    </row>
    <row r="3" spans="1:22" ht="13.5" customHeight="1" x14ac:dyDescent="0.45">
      <c r="A3" s="1"/>
      <c r="B3" s="622"/>
      <c r="C3" s="622"/>
      <c r="D3" s="622"/>
      <c r="E3" s="622"/>
      <c r="F3" s="622"/>
      <c r="G3" s="622"/>
      <c r="H3" s="622"/>
      <c r="I3" s="622"/>
      <c r="J3" s="622"/>
      <c r="K3" s="2"/>
      <c r="L3" s="2"/>
      <c r="M3" s="2"/>
      <c r="N3" s="2"/>
      <c r="O3" s="2"/>
      <c r="P3" s="2"/>
      <c r="Q3" s="2"/>
      <c r="R3" s="1"/>
      <c r="S3" s="1"/>
      <c r="T3" s="1"/>
      <c r="U3" s="1"/>
      <c r="V3" s="1"/>
    </row>
    <row r="4" spans="1:22" ht="13.5" customHeight="1" x14ac:dyDescent="0.45">
      <c r="A4" s="1"/>
      <c r="B4" s="622"/>
      <c r="C4" s="622"/>
      <c r="D4" s="622"/>
      <c r="E4" s="622"/>
      <c r="F4" s="622"/>
      <c r="G4" s="622"/>
      <c r="H4" s="622"/>
      <c r="I4" s="622"/>
      <c r="J4" s="622"/>
      <c r="K4" s="2"/>
      <c r="L4" s="2"/>
      <c r="M4" s="2"/>
      <c r="N4" s="2"/>
      <c r="O4" s="2"/>
      <c r="P4" s="2"/>
      <c r="Q4" s="2"/>
      <c r="R4" s="1"/>
      <c r="S4" s="1"/>
      <c r="T4" s="1"/>
      <c r="U4" s="1"/>
      <c r="V4" s="1"/>
    </row>
    <row r="5" spans="1:22" ht="13.5" customHeight="1" x14ac:dyDescent="0.45">
      <c r="A5" s="1"/>
      <c r="B5" s="2"/>
      <c r="C5" s="2"/>
      <c r="D5" s="2"/>
      <c r="E5" s="2"/>
      <c r="F5" s="2"/>
      <c r="G5" s="2"/>
      <c r="H5" s="2"/>
      <c r="I5" s="2"/>
      <c r="J5" s="2"/>
      <c r="K5" s="2"/>
      <c r="L5" s="2"/>
      <c r="M5" s="2"/>
      <c r="N5" s="2"/>
      <c r="O5" s="2"/>
      <c r="P5" s="2"/>
      <c r="Q5" s="2"/>
      <c r="R5" s="1"/>
      <c r="S5" s="1"/>
      <c r="T5" s="1"/>
      <c r="U5" s="1"/>
      <c r="V5" s="1"/>
    </row>
    <row r="6" spans="1:22" ht="13.5" customHeight="1" x14ac:dyDescent="0.45">
      <c r="A6" s="1"/>
      <c r="B6" s="623" t="s">
        <v>1</v>
      </c>
      <c r="C6" s="622"/>
      <c r="D6" s="622"/>
      <c r="E6" s="622"/>
      <c r="F6" s="622"/>
      <c r="G6" s="622"/>
      <c r="H6" s="622"/>
      <c r="I6" s="622"/>
      <c r="J6" s="622"/>
      <c r="K6" s="2"/>
      <c r="L6" s="2"/>
      <c r="M6" s="2"/>
      <c r="N6" s="2"/>
      <c r="O6" s="2"/>
      <c r="P6" s="2"/>
      <c r="Q6" s="2"/>
      <c r="R6" s="1"/>
      <c r="S6" s="1"/>
      <c r="T6" s="1"/>
      <c r="U6" s="1"/>
      <c r="V6" s="1"/>
    </row>
    <row r="7" spans="1:22" ht="13.5" customHeight="1" x14ac:dyDescent="0.45">
      <c r="A7" s="1"/>
      <c r="B7" s="622"/>
      <c r="C7" s="622"/>
      <c r="D7" s="622"/>
      <c r="E7" s="622"/>
      <c r="F7" s="622"/>
      <c r="G7" s="622"/>
      <c r="H7" s="622"/>
      <c r="I7" s="622"/>
      <c r="J7" s="622"/>
      <c r="K7" s="2"/>
      <c r="L7" s="2"/>
      <c r="M7" s="2"/>
      <c r="N7" s="2"/>
      <c r="O7" s="2"/>
      <c r="P7" s="2"/>
      <c r="Q7" s="2"/>
      <c r="R7" s="1"/>
      <c r="S7" s="1"/>
      <c r="T7" s="1"/>
      <c r="U7" s="1"/>
      <c r="V7" s="1"/>
    </row>
    <row r="8" spans="1:22" ht="13.5" customHeight="1" x14ac:dyDescent="0.45">
      <c r="A8" s="1"/>
      <c r="B8" s="622"/>
      <c r="C8" s="622"/>
      <c r="D8" s="622"/>
      <c r="E8" s="622"/>
      <c r="F8" s="622"/>
      <c r="G8" s="622"/>
      <c r="H8" s="622"/>
      <c r="I8" s="622"/>
      <c r="J8" s="622"/>
      <c r="K8" s="2"/>
      <c r="L8" s="2"/>
      <c r="M8" s="2"/>
      <c r="N8" s="2"/>
      <c r="O8" s="2"/>
      <c r="P8" s="2"/>
      <c r="Q8" s="2"/>
      <c r="R8" s="1"/>
      <c r="S8" s="1"/>
      <c r="T8" s="1"/>
      <c r="U8" s="1"/>
      <c r="V8" s="1"/>
    </row>
    <row r="9" spans="1:22" ht="13.5" customHeight="1" x14ac:dyDescent="0.45">
      <c r="A9" s="1"/>
      <c r="B9" s="2"/>
      <c r="C9" s="2"/>
      <c r="D9" s="2"/>
      <c r="E9" s="2"/>
      <c r="F9" s="2"/>
      <c r="G9" s="2"/>
      <c r="H9" s="2"/>
      <c r="I9" s="2"/>
      <c r="J9" s="2"/>
      <c r="K9" s="2"/>
      <c r="L9" s="2"/>
      <c r="M9" s="2"/>
      <c r="N9" s="2"/>
      <c r="O9" s="2"/>
      <c r="P9" s="2"/>
      <c r="Q9" s="2"/>
      <c r="R9" s="1"/>
      <c r="S9" s="1"/>
      <c r="T9" s="1"/>
      <c r="U9" s="1"/>
      <c r="V9" s="1"/>
    </row>
    <row r="10" spans="1:22" ht="13.5" customHeight="1" x14ac:dyDescent="0.45">
      <c r="A10" s="1"/>
      <c r="B10" s="623" t="s">
        <v>2</v>
      </c>
      <c r="C10" s="622"/>
      <c r="D10" s="622"/>
      <c r="E10" s="622"/>
      <c r="F10" s="622"/>
      <c r="G10" s="622"/>
      <c r="H10" s="622"/>
      <c r="I10" s="622"/>
      <c r="J10" s="622"/>
      <c r="K10" s="2"/>
      <c r="L10" s="2"/>
      <c r="M10" s="2"/>
      <c r="N10" s="2"/>
      <c r="O10" s="2"/>
      <c r="P10" s="2"/>
      <c r="Q10" s="2"/>
      <c r="R10" s="1"/>
      <c r="S10" s="1"/>
      <c r="T10" s="1"/>
      <c r="U10" s="1"/>
      <c r="V10" s="1"/>
    </row>
    <row r="11" spans="1:22" ht="13.5" customHeight="1" x14ac:dyDescent="0.45">
      <c r="A11" s="1"/>
      <c r="B11" s="622"/>
      <c r="C11" s="622"/>
      <c r="D11" s="622"/>
      <c r="E11" s="622"/>
      <c r="F11" s="622"/>
      <c r="G11" s="622"/>
      <c r="H11" s="622"/>
      <c r="I11" s="622"/>
      <c r="J11" s="622"/>
      <c r="K11" s="2"/>
      <c r="L11" s="2"/>
      <c r="M11" s="2"/>
      <c r="N11" s="2"/>
      <c r="O11" s="2"/>
      <c r="P11" s="2"/>
      <c r="Q11" s="2"/>
      <c r="R11" s="1"/>
      <c r="S11" s="1"/>
      <c r="T11" s="1"/>
      <c r="U11" s="1"/>
      <c r="V11" s="1"/>
    </row>
    <row r="12" spans="1:22" ht="13.5" customHeight="1" x14ac:dyDescent="0.45">
      <c r="A12" s="1"/>
      <c r="B12" s="622"/>
      <c r="C12" s="622"/>
      <c r="D12" s="622"/>
      <c r="E12" s="622"/>
      <c r="F12" s="622"/>
      <c r="G12" s="622"/>
      <c r="H12" s="622"/>
      <c r="I12" s="622"/>
      <c r="J12" s="622"/>
      <c r="K12" s="2"/>
      <c r="L12" s="2"/>
      <c r="M12" s="2"/>
      <c r="N12" s="2"/>
      <c r="O12" s="2"/>
      <c r="P12" s="2"/>
      <c r="Q12" s="2"/>
      <c r="R12" s="1"/>
      <c r="S12" s="1"/>
      <c r="T12" s="1"/>
      <c r="U12" s="1"/>
      <c r="V12" s="1"/>
    </row>
    <row r="13" spans="1:22" ht="13.5" customHeight="1" x14ac:dyDescent="0.45">
      <c r="A13" s="1"/>
      <c r="B13" s="1"/>
      <c r="C13" s="1"/>
      <c r="D13" s="1"/>
      <c r="E13" s="1"/>
      <c r="F13" s="1"/>
      <c r="G13" s="1"/>
      <c r="H13" s="1"/>
      <c r="I13" s="1"/>
      <c r="J13" s="1"/>
      <c r="K13" s="2"/>
      <c r="L13" s="2"/>
      <c r="M13" s="2"/>
      <c r="N13" s="2"/>
      <c r="O13" s="2"/>
      <c r="P13" s="2"/>
      <c r="Q13" s="2"/>
      <c r="R13" s="1"/>
      <c r="S13" s="1"/>
      <c r="T13" s="1"/>
      <c r="U13" s="1"/>
      <c r="V13" s="1"/>
    </row>
    <row r="14" spans="1:22" ht="13.5" customHeight="1" x14ac:dyDescent="0.45">
      <c r="A14" s="1"/>
      <c r="B14" s="623" t="s">
        <v>3</v>
      </c>
      <c r="C14" s="622"/>
      <c r="D14" s="622"/>
      <c r="E14" s="622"/>
      <c r="F14" s="622"/>
      <c r="G14" s="622"/>
      <c r="H14" s="622"/>
      <c r="I14" s="622"/>
      <c r="J14" s="622"/>
      <c r="K14" s="1"/>
      <c r="L14" s="1"/>
      <c r="M14" s="1"/>
      <c r="N14" s="1"/>
      <c r="O14" s="1"/>
      <c r="P14" s="1"/>
      <c r="Q14" s="1"/>
      <c r="R14" s="1"/>
      <c r="S14" s="1"/>
      <c r="T14" s="1"/>
      <c r="U14" s="1"/>
      <c r="V14" s="1"/>
    </row>
    <row r="15" spans="1:22" ht="13.5" customHeight="1" x14ac:dyDescent="0.45">
      <c r="A15" s="1"/>
      <c r="B15" s="622"/>
      <c r="C15" s="622"/>
      <c r="D15" s="622"/>
      <c r="E15" s="622"/>
      <c r="F15" s="622"/>
      <c r="G15" s="622"/>
      <c r="H15" s="622"/>
      <c r="I15" s="622"/>
      <c r="J15" s="622"/>
      <c r="K15" s="1"/>
      <c r="L15" s="1"/>
      <c r="M15" s="1"/>
      <c r="N15" s="1"/>
      <c r="O15" s="1"/>
      <c r="P15" s="1"/>
      <c r="Q15" s="1"/>
      <c r="R15" s="1"/>
      <c r="S15" s="1"/>
      <c r="T15" s="1"/>
      <c r="U15" s="1"/>
      <c r="V15" s="1"/>
    </row>
    <row r="16" spans="1:22" ht="13.5" customHeight="1" x14ac:dyDescent="0.45">
      <c r="A16" s="1"/>
      <c r="B16" s="622"/>
      <c r="C16" s="622"/>
      <c r="D16" s="622"/>
      <c r="E16" s="622"/>
      <c r="F16" s="622"/>
      <c r="G16" s="622"/>
      <c r="H16" s="622"/>
      <c r="I16" s="622"/>
      <c r="J16" s="622"/>
      <c r="K16" s="1"/>
      <c r="L16" s="1"/>
      <c r="M16" s="1"/>
      <c r="N16" s="1"/>
      <c r="O16" s="1"/>
      <c r="P16" s="1"/>
      <c r="Q16" s="1"/>
      <c r="R16" s="1"/>
      <c r="S16" s="1"/>
      <c r="T16" s="1"/>
      <c r="U16" s="1"/>
      <c r="V16" s="1"/>
    </row>
    <row r="17" spans="1:22" ht="13.5" customHeight="1" x14ac:dyDescent="0.45">
      <c r="A17" s="1"/>
      <c r="B17" s="1"/>
      <c r="C17" s="1"/>
      <c r="D17" s="1"/>
      <c r="E17" s="1"/>
      <c r="F17" s="1"/>
      <c r="G17" s="1"/>
      <c r="H17" s="1"/>
      <c r="I17" s="1"/>
      <c r="J17" s="1"/>
      <c r="K17" s="1"/>
      <c r="L17" s="1"/>
      <c r="M17" s="1"/>
      <c r="N17" s="1"/>
      <c r="O17" s="1"/>
      <c r="P17" s="1"/>
      <c r="Q17" s="1"/>
      <c r="R17" s="1"/>
      <c r="S17" s="1"/>
      <c r="T17" s="1"/>
      <c r="U17" s="1"/>
      <c r="V17" s="1"/>
    </row>
    <row r="18" spans="1:22" ht="13.5" customHeight="1" x14ac:dyDescent="0.45">
      <c r="A18" s="1"/>
      <c r="B18" s="623" t="s">
        <v>4</v>
      </c>
      <c r="C18" s="622"/>
      <c r="D18" s="622"/>
      <c r="E18" s="622"/>
      <c r="F18" s="622"/>
      <c r="G18" s="622"/>
      <c r="H18" s="622"/>
      <c r="I18" s="622"/>
      <c r="J18" s="622"/>
      <c r="K18" s="1"/>
      <c r="L18" s="1"/>
      <c r="M18" s="1"/>
      <c r="N18" s="1"/>
      <c r="O18" s="1"/>
      <c r="P18" s="1"/>
      <c r="Q18" s="1"/>
      <c r="R18" s="1"/>
      <c r="S18" s="1"/>
      <c r="T18" s="1"/>
      <c r="U18" s="1"/>
      <c r="V18" s="1"/>
    </row>
    <row r="19" spans="1:22" ht="13.5" customHeight="1" x14ac:dyDescent="0.45">
      <c r="A19" s="1"/>
      <c r="B19" s="622"/>
      <c r="C19" s="622"/>
      <c r="D19" s="622"/>
      <c r="E19" s="622"/>
      <c r="F19" s="622"/>
      <c r="G19" s="622"/>
      <c r="H19" s="622"/>
      <c r="I19" s="622"/>
      <c r="J19" s="622"/>
      <c r="K19" s="1"/>
      <c r="L19" s="1"/>
      <c r="M19" s="1"/>
      <c r="N19" s="1"/>
      <c r="O19" s="1"/>
      <c r="P19" s="1"/>
      <c r="Q19" s="1"/>
      <c r="R19" s="1"/>
      <c r="S19" s="1"/>
      <c r="T19" s="1"/>
      <c r="U19" s="1"/>
      <c r="V19" s="1"/>
    </row>
    <row r="20" spans="1:22" ht="13.5" customHeight="1" x14ac:dyDescent="0.45">
      <c r="A20" s="1"/>
      <c r="B20" s="622"/>
      <c r="C20" s="622"/>
      <c r="D20" s="622"/>
      <c r="E20" s="622"/>
      <c r="F20" s="622"/>
      <c r="G20" s="622"/>
      <c r="H20" s="622"/>
      <c r="I20" s="622"/>
      <c r="J20" s="622"/>
      <c r="K20" s="1"/>
      <c r="L20" s="1"/>
      <c r="M20" s="1"/>
      <c r="N20" s="1"/>
      <c r="O20" s="1"/>
      <c r="P20" s="1"/>
      <c r="Q20" s="1"/>
      <c r="R20" s="1"/>
      <c r="S20" s="1"/>
      <c r="T20" s="1"/>
      <c r="U20" s="1"/>
      <c r="V20" s="1"/>
    </row>
    <row r="21" spans="1:22" ht="13.5" customHeight="1" x14ac:dyDescent="0.45">
      <c r="A21" s="1"/>
      <c r="B21" s="1"/>
      <c r="C21" s="1"/>
      <c r="D21" s="1"/>
      <c r="E21" s="1"/>
      <c r="F21" s="1"/>
      <c r="G21" s="1"/>
      <c r="H21" s="1"/>
      <c r="I21" s="1"/>
      <c r="J21" s="1"/>
      <c r="K21" s="1"/>
      <c r="L21" s="1"/>
      <c r="M21" s="1"/>
      <c r="N21" s="1"/>
      <c r="O21" s="1"/>
      <c r="P21" s="1"/>
      <c r="Q21" s="1"/>
      <c r="R21" s="1"/>
      <c r="S21" s="1"/>
      <c r="T21" s="1"/>
      <c r="U21" s="1"/>
      <c r="V21" s="1"/>
    </row>
    <row r="22" spans="1:22" ht="13.5" customHeight="1" x14ac:dyDescent="0.45">
      <c r="A22" s="1"/>
      <c r="B22" s="1"/>
      <c r="C22" s="1"/>
      <c r="D22" s="1"/>
      <c r="E22" s="1"/>
      <c r="F22" s="1"/>
      <c r="G22" s="1"/>
      <c r="H22" s="1"/>
      <c r="I22" s="1"/>
      <c r="J22" s="1"/>
      <c r="K22" s="1"/>
      <c r="L22" s="1"/>
      <c r="M22" s="1"/>
      <c r="N22" s="1"/>
      <c r="O22" s="1"/>
      <c r="P22" s="1"/>
      <c r="Q22" s="1"/>
      <c r="R22" s="1"/>
      <c r="S22" s="1"/>
      <c r="T22" s="1"/>
      <c r="U22" s="1"/>
      <c r="V22" s="1"/>
    </row>
    <row r="23" spans="1:22" ht="13.5" customHeight="1" x14ac:dyDescent="0.45">
      <c r="A23" s="1"/>
      <c r="B23" s="620" t="s">
        <v>5</v>
      </c>
      <c r="C23" s="621"/>
      <c r="D23" s="621"/>
      <c r="E23" s="621"/>
      <c r="F23" s="621"/>
      <c r="G23" s="621"/>
      <c r="H23" s="621"/>
      <c r="I23" s="621"/>
      <c r="J23" s="621"/>
      <c r="K23" s="1"/>
      <c r="L23" s="1"/>
      <c r="M23" s="1"/>
      <c r="N23" s="1"/>
      <c r="O23" s="1"/>
      <c r="P23" s="1"/>
      <c r="Q23" s="1"/>
      <c r="R23" s="1"/>
      <c r="S23" s="1"/>
      <c r="T23" s="1"/>
      <c r="U23" s="1"/>
      <c r="V23" s="1"/>
    </row>
    <row r="24" spans="1:22" ht="13.5" customHeight="1" x14ac:dyDescent="0.45">
      <c r="A24" s="1"/>
      <c r="B24" s="621"/>
      <c r="C24" s="622"/>
      <c r="D24" s="622"/>
      <c r="E24" s="622"/>
      <c r="F24" s="622"/>
      <c r="G24" s="622"/>
      <c r="H24" s="622"/>
      <c r="I24" s="622"/>
      <c r="J24" s="621"/>
      <c r="K24" s="1"/>
      <c r="L24" s="1"/>
      <c r="M24" s="1"/>
      <c r="N24" s="1"/>
      <c r="O24" s="1"/>
      <c r="P24" s="1"/>
      <c r="Q24" s="1"/>
      <c r="R24" s="1"/>
      <c r="S24" s="1"/>
      <c r="T24" s="1"/>
      <c r="U24" s="1"/>
      <c r="V24" s="1"/>
    </row>
    <row r="25" spans="1:22" ht="13.5" customHeight="1" x14ac:dyDescent="0.45">
      <c r="A25" s="1"/>
      <c r="B25" s="621"/>
      <c r="C25" s="622"/>
      <c r="D25" s="622"/>
      <c r="E25" s="622"/>
      <c r="F25" s="622"/>
      <c r="G25" s="622"/>
      <c r="H25" s="622"/>
      <c r="I25" s="622"/>
      <c r="J25" s="621"/>
      <c r="K25" s="1"/>
      <c r="L25" s="1"/>
      <c r="M25" s="1"/>
      <c r="N25" s="1"/>
      <c r="O25" s="1"/>
      <c r="P25" s="1"/>
      <c r="Q25" s="1"/>
      <c r="R25" s="1"/>
      <c r="S25" s="1"/>
      <c r="T25" s="1"/>
      <c r="U25" s="1"/>
      <c r="V25" s="1"/>
    </row>
    <row r="26" spans="1:22" ht="13.5" customHeight="1" x14ac:dyDescent="0.45">
      <c r="A26" s="1"/>
      <c r="B26" s="621"/>
      <c r="C26" s="622"/>
      <c r="D26" s="622"/>
      <c r="E26" s="622"/>
      <c r="F26" s="622"/>
      <c r="G26" s="622"/>
      <c r="H26" s="622"/>
      <c r="I26" s="622"/>
      <c r="J26" s="621"/>
      <c r="K26" s="1"/>
      <c r="L26" s="1"/>
      <c r="M26" s="1"/>
      <c r="N26" s="1"/>
      <c r="O26" s="1"/>
      <c r="P26" s="1"/>
      <c r="Q26" s="1"/>
      <c r="R26" s="1"/>
      <c r="S26" s="1"/>
      <c r="T26" s="1"/>
      <c r="U26" s="1"/>
      <c r="V26" s="1"/>
    </row>
    <row r="27" spans="1:22" ht="13.5" customHeight="1" x14ac:dyDescent="0.45">
      <c r="A27" s="1"/>
      <c r="B27" s="621"/>
      <c r="C27" s="621"/>
      <c r="D27" s="621"/>
      <c r="E27" s="621"/>
      <c r="F27" s="621"/>
      <c r="G27" s="621"/>
      <c r="H27" s="621"/>
      <c r="I27" s="621"/>
      <c r="J27" s="621"/>
      <c r="K27" s="1"/>
      <c r="L27" s="1"/>
      <c r="M27" s="1"/>
      <c r="N27" s="1"/>
      <c r="O27" s="1"/>
      <c r="P27" s="1"/>
      <c r="Q27" s="1"/>
      <c r="R27" s="1"/>
      <c r="S27" s="1"/>
      <c r="T27" s="1"/>
      <c r="U27" s="1"/>
      <c r="V27" s="1"/>
    </row>
    <row r="28" spans="1:22" ht="13.5" customHeight="1" x14ac:dyDescent="0.45">
      <c r="A28" s="1"/>
      <c r="B28" s="1"/>
      <c r="C28" s="1"/>
      <c r="D28" s="1"/>
      <c r="E28" s="1"/>
      <c r="F28" s="1"/>
      <c r="G28" s="1"/>
      <c r="H28" s="1"/>
      <c r="I28" s="1"/>
      <c r="J28" s="1"/>
      <c r="K28" s="1"/>
      <c r="L28" s="1"/>
      <c r="M28" s="1"/>
      <c r="N28" s="1"/>
      <c r="O28" s="1"/>
      <c r="P28" s="1"/>
      <c r="Q28" s="1"/>
      <c r="R28" s="1"/>
      <c r="S28" s="1"/>
      <c r="T28" s="1"/>
      <c r="U28" s="1"/>
      <c r="V28" s="1"/>
    </row>
    <row r="29" spans="1:22" ht="13.5" customHeight="1" x14ac:dyDescent="0.45">
      <c r="A29" s="1"/>
      <c r="B29" s="1"/>
      <c r="C29" s="1"/>
      <c r="D29" s="1"/>
      <c r="E29" s="1"/>
      <c r="F29" s="1"/>
      <c r="G29" s="1"/>
      <c r="H29" s="1"/>
      <c r="I29" s="1"/>
      <c r="J29" s="1"/>
      <c r="K29" s="1"/>
      <c r="L29" s="1"/>
      <c r="M29" s="1"/>
      <c r="N29" s="1"/>
      <c r="O29" s="1"/>
      <c r="P29" s="1"/>
      <c r="Q29" s="1"/>
      <c r="R29" s="1"/>
      <c r="S29" s="1"/>
      <c r="T29" s="1"/>
      <c r="U29" s="1"/>
      <c r="V29" s="1"/>
    </row>
    <row r="30" spans="1:22" ht="13.5" customHeight="1" x14ac:dyDescent="0.45">
      <c r="A30" s="1"/>
      <c r="B30" s="1"/>
      <c r="C30" s="1"/>
      <c r="D30" s="1"/>
      <c r="E30" s="1"/>
      <c r="F30" s="1"/>
      <c r="G30" s="1"/>
      <c r="H30" s="1"/>
      <c r="I30" s="1"/>
      <c r="J30" s="1"/>
      <c r="K30" s="1"/>
      <c r="L30" s="1"/>
      <c r="M30" s="1"/>
      <c r="N30" s="1"/>
      <c r="O30" s="1"/>
      <c r="P30" s="1"/>
      <c r="Q30" s="1"/>
      <c r="R30" s="1"/>
      <c r="S30" s="1"/>
      <c r="T30" s="1"/>
      <c r="U30" s="1"/>
      <c r="V30" s="1"/>
    </row>
    <row r="31" spans="1:22" ht="13.5" customHeight="1" x14ac:dyDescent="0.45">
      <c r="A31" s="1"/>
      <c r="B31" s="1"/>
      <c r="C31" s="1"/>
      <c r="D31" s="1"/>
      <c r="E31" s="1"/>
      <c r="F31" s="1"/>
      <c r="G31" s="1"/>
      <c r="H31" s="1"/>
      <c r="I31" s="1"/>
      <c r="J31" s="1"/>
      <c r="K31" s="1"/>
      <c r="L31" s="1"/>
      <c r="M31" s="1"/>
      <c r="N31" s="1"/>
      <c r="O31" s="1"/>
      <c r="P31" s="1"/>
      <c r="Q31" s="1"/>
      <c r="R31" s="1"/>
      <c r="S31" s="1"/>
      <c r="T31" s="1"/>
      <c r="U31" s="1"/>
      <c r="V31" s="1"/>
    </row>
    <row r="32" spans="1:22" ht="13.5" customHeight="1" x14ac:dyDescent="0.45">
      <c r="A32" s="1"/>
      <c r="B32" s="1"/>
      <c r="C32" s="1"/>
      <c r="D32" s="1"/>
      <c r="E32" s="1"/>
      <c r="F32" s="1"/>
      <c r="G32" s="1"/>
      <c r="H32" s="1"/>
      <c r="I32" s="1"/>
      <c r="J32" s="1"/>
      <c r="K32" s="1"/>
      <c r="L32" s="1"/>
      <c r="M32" s="1"/>
      <c r="N32" s="1"/>
      <c r="O32" s="1"/>
      <c r="P32" s="1"/>
      <c r="Q32" s="1"/>
      <c r="R32" s="1"/>
      <c r="S32" s="1"/>
      <c r="T32" s="1"/>
      <c r="U32" s="1"/>
      <c r="V32" s="1"/>
    </row>
    <row r="33" spans="1:22" ht="13.5" customHeight="1" x14ac:dyDescent="0.45">
      <c r="A33" s="1"/>
      <c r="B33" s="1"/>
      <c r="C33" s="1"/>
      <c r="D33" s="1"/>
      <c r="E33" s="1"/>
      <c r="F33" s="1"/>
      <c r="G33" s="1"/>
      <c r="H33" s="1"/>
      <c r="I33" s="1"/>
      <c r="J33" s="1"/>
      <c r="K33" s="1"/>
      <c r="L33" s="1"/>
      <c r="M33" s="1"/>
      <c r="N33" s="1"/>
      <c r="O33" s="1"/>
      <c r="P33" s="1"/>
      <c r="Q33" s="1"/>
      <c r="R33" s="1"/>
      <c r="S33" s="1"/>
      <c r="T33" s="1"/>
      <c r="U33" s="1"/>
      <c r="V33" s="1"/>
    </row>
    <row r="34" spans="1:22" ht="13.5" customHeight="1" x14ac:dyDescent="0.45">
      <c r="A34" s="1"/>
      <c r="B34" s="1"/>
      <c r="C34" s="1"/>
      <c r="D34" s="1"/>
      <c r="E34" s="1"/>
      <c r="F34" s="1"/>
      <c r="G34" s="1"/>
      <c r="H34" s="1"/>
      <c r="I34" s="1"/>
      <c r="J34" s="1"/>
      <c r="K34" s="1"/>
      <c r="L34" s="1"/>
      <c r="M34" s="1"/>
      <c r="N34" s="1"/>
      <c r="O34" s="1"/>
      <c r="P34" s="1"/>
      <c r="Q34" s="1"/>
      <c r="R34" s="1"/>
      <c r="S34" s="1"/>
      <c r="T34" s="1"/>
      <c r="U34" s="1"/>
      <c r="V34" s="1"/>
    </row>
    <row r="35" spans="1:22" ht="13.5" customHeight="1" x14ac:dyDescent="0.45">
      <c r="A35" s="1"/>
      <c r="B35" s="1"/>
      <c r="C35" s="1"/>
      <c r="D35" s="1"/>
      <c r="E35" s="1"/>
      <c r="F35" s="1"/>
      <c r="G35" s="1"/>
      <c r="H35" s="1"/>
      <c r="I35" s="1"/>
      <c r="J35" s="1"/>
      <c r="K35" s="1"/>
      <c r="L35" s="1"/>
      <c r="M35" s="1"/>
      <c r="N35" s="1"/>
      <c r="O35" s="1"/>
      <c r="P35" s="1"/>
      <c r="Q35" s="1"/>
      <c r="R35" s="1"/>
      <c r="S35" s="1"/>
      <c r="T35" s="1"/>
      <c r="U35" s="1"/>
      <c r="V35" s="1"/>
    </row>
    <row r="36" spans="1:22" ht="13.5" customHeight="1" x14ac:dyDescent="0.45">
      <c r="A36" s="1"/>
      <c r="B36" s="1"/>
      <c r="C36" s="1"/>
      <c r="D36" s="1"/>
      <c r="E36" s="1"/>
      <c r="F36" s="1"/>
      <c r="G36" s="1"/>
      <c r="H36" s="1"/>
      <c r="I36" s="1"/>
      <c r="J36" s="1"/>
      <c r="K36" s="1"/>
      <c r="L36" s="1"/>
      <c r="M36" s="1"/>
      <c r="N36" s="1"/>
      <c r="O36" s="1"/>
      <c r="P36" s="1"/>
      <c r="Q36" s="1"/>
      <c r="R36" s="1"/>
      <c r="S36" s="1"/>
      <c r="T36" s="1"/>
      <c r="U36" s="1"/>
      <c r="V36" s="1"/>
    </row>
    <row r="37" spans="1:22" ht="13.5" customHeight="1" x14ac:dyDescent="0.45">
      <c r="A37" s="1"/>
      <c r="B37" s="1"/>
      <c r="C37" s="1"/>
      <c r="D37" s="1"/>
      <c r="E37" s="1"/>
      <c r="F37" s="1"/>
      <c r="G37" s="1"/>
      <c r="H37" s="1"/>
      <c r="I37" s="1"/>
      <c r="J37" s="1"/>
      <c r="K37" s="1"/>
      <c r="L37" s="1"/>
      <c r="M37" s="1"/>
      <c r="N37" s="1"/>
      <c r="O37" s="1"/>
      <c r="P37" s="1"/>
      <c r="Q37" s="1"/>
      <c r="R37" s="1"/>
      <c r="S37" s="1"/>
      <c r="T37" s="1"/>
      <c r="U37" s="1"/>
      <c r="V37" s="1"/>
    </row>
    <row r="38" spans="1:22" ht="13.5" customHeight="1" x14ac:dyDescent="0.45">
      <c r="A38" s="1"/>
      <c r="B38" s="1"/>
      <c r="C38" s="1"/>
      <c r="D38" s="1"/>
      <c r="E38" s="1"/>
      <c r="F38" s="1"/>
      <c r="G38" s="1"/>
      <c r="H38" s="1"/>
      <c r="I38" s="1"/>
      <c r="J38" s="1"/>
      <c r="K38" s="1"/>
      <c r="L38" s="1"/>
      <c r="M38" s="1"/>
      <c r="N38" s="1"/>
      <c r="O38" s="1"/>
      <c r="P38" s="1"/>
      <c r="Q38" s="1"/>
      <c r="R38" s="1"/>
      <c r="S38" s="1"/>
      <c r="T38" s="1"/>
      <c r="U38" s="1"/>
      <c r="V38" s="1"/>
    </row>
    <row r="39" spans="1:22" ht="13.5" customHeight="1" x14ac:dyDescent="0.45">
      <c r="A39" s="1"/>
      <c r="B39" s="1"/>
      <c r="C39" s="1"/>
      <c r="D39" s="1"/>
      <c r="E39" s="1"/>
      <c r="F39" s="1"/>
      <c r="G39" s="1"/>
      <c r="H39" s="1"/>
      <c r="I39" s="1"/>
      <c r="J39" s="1"/>
      <c r="K39" s="1"/>
      <c r="L39" s="1"/>
      <c r="M39" s="1"/>
      <c r="N39" s="1"/>
      <c r="O39" s="1"/>
      <c r="P39" s="1"/>
      <c r="Q39" s="1"/>
      <c r="R39" s="1"/>
      <c r="S39" s="1"/>
      <c r="T39" s="1"/>
      <c r="U39" s="1"/>
      <c r="V39" s="1"/>
    </row>
    <row r="40" spans="1:22" ht="13.5" customHeight="1" x14ac:dyDescent="0.45">
      <c r="A40" s="1"/>
      <c r="B40" s="1"/>
      <c r="C40" s="1"/>
      <c r="D40" s="1"/>
      <c r="E40" s="1"/>
      <c r="F40" s="1"/>
      <c r="G40" s="1"/>
      <c r="H40" s="1"/>
      <c r="I40" s="1"/>
      <c r="J40" s="1"/>
      <c r="K40" s="1"/>
      <c r="L40" s="1"/>
      <c r="M40" s="1"/>
      <c r="N40" s="1"/>
      <c r="O40" s="1"/>
      <c r="P40" s="1"/>
      <c r="Q40" s="1"/>
      <c r="R40" s="1"/>
      <c r="S40" s="1"/>
      <c r="T40" s="1"/>
      <c r="U40" s="1"/>
      <c r="V40" s="1"/>
    </row>
    <row r="41" spans="1:22" ht="13.5" customHeight="1" x14ac:dyDescent="0.45">
      <c r="A41" s="1"/>
      <c r="B41" s="1"/>
      <c r="C41" s="1"/>
      <c r="D41" s="1"/>
      <c r="E41" s="1"/>
      <c r="F41" s="1"/>
      <c r="G41" s="1"/>
      <c r="H41" s="1"/>
      <c r="I41" s="1"/>
      <c r="J41" s="1"/>
      <c r="K41" s="1"/>
      <c r="L41" s="1"/>
      <c r="M41" s="1"/>
      <c r="N41" s="1"/>
      <c r="O41" s="1"/>
      <c r="P41" s="1"/>
      <c r="Q41" s="1"/>
      <c r="R41" s="1"/>
      <c r="S41" s="1"/>
      <c r="T41" s="1"/>
      <c r="U41" s="1"/>
      <c r="V41" s="1"/>
    </row>
    <row r="42" spans="1:22" ht="13.5" customHeight="1" x14ac:dyDescent="0.45">
      <c r="A42" s="1"/>
      <c r="B42" s="1"/>
      <c r="C42" s="1"/>
      <c r="D42" s="1"/>
      <c r="E42" s="1"/>
      <c r="F42" s="1"/>
      <c r="G42" s="1"/>
      <c r="H42" s="1"/>
      <c r="I42" s="1"/>
      <c r="J42" s="1"/>
      <c r="K42" s="1"/>
      <c r="L42" s="1"/>
      <c r="M42" s="1"/>
      <c r="N42" s="1"/>
      <c r="O42" s="1"/>
      <c r="P42" s="1"/>
      <c r="Q42" s="1"/>
      <c r="R42" s="1"/>
      <c r="S42" s="1"/>
      <c r="T42" s="1"/>
      <c r="U42" s="1"/>
      <c r="V42" s="1"/>
    </row>
    <row r="43" spans="1:22" ht="13.5" customHeight="1" x14ac:dyDescent="0.45">
      <c r="A43" s="1"/>
      <c r="B43" s="1"/>
      <c r="C43" s="1"/>
      <c r="D43" s="1"/>
      <c r="E43" s="1"/>
      <c r="F43" s="1"/>
      <c r="G43" s="1"/>
      <c r="H43" s="1"/>
      <c r="I43" s="1"/>
      <c r="J43" s="1"/>
      <c r="K43" s="1"/>
      <c r="L43" s="1"/>
      <c r="M43" s="1"/>
      <c r="N43" s="1"/>
      <c r="O43" s="1"/>
      <c r="P43" s="1"/>
      <c r="Q43" s="1"/>
      <c r="R43" s="1"/>
      <c r="S43" s="1"/>
      <c r="T43" s="1"/>
      <c r="U43" s="1"/>
      <c r="V43" s="1"/>
    </row>
    <row r="44" spans="1:22" ht="13.5" customHeight="1" x14ac:dyDescent="0.45">
      <c r="A44" s="1"/>
      <c r="B44" s="1"/>
      <c r="C44" s="1"/>
      <c r="D44" s="1"/>
      <c r="E44" s="1"/>
      <c r="F44" s="1"/>
      <c r="G44" s="1"/>
      <c r="H44" s="1"/>
      <c r="I44" s="1"/>
      <c r="J44" s="1"/>
      <c r="K44" s="1"/>
      <c r="L44" s="1"/>
      <c r="M44" s="1"/>
      <c r="N44" s="1"/>
      <c r="O44" s="1"/>
      <c r="P44" s="1"/>
      <c r="Q44" s="1"/>
      <c r="R44" s="1"/>
      <c r="S44" s="1"/>
      <c r="T44" s="1"/>
      <c r="U44" s="1"/>
      <c r="V44" s="1"/>
    </row>
    <row r="45" spans="1:22" ht="13.5" customHeight="1" x14ac:dyDescent="0.45">
      <c r="A45" s="1"/>
      <c r="B45" s="1"/>
      <c r="C45" s="1"/>
      <c r="D45" s="1"/>
      <c r="E45" s="1"/>
      <c r="F45" s="1"/>
      <c r="G45" s="1"/>
      <c r="H45" s="1"/>
      <c r="I45" s="1"/>
      <c r="J45" s="1"/>
      <c r="K45" s="1"/>
      <c r="L45" s="1"/>
      <c r="M45" s="1"/>
      <c r="N45" s="1"/>
      <c r="O45" s="1"/>
      <c r="P45" s="1"/>
      <c r="Q45" s="1"/>
      <c r="R45" s="1"/>
      <c r="S45" s="1"/>
      <c r="T45" s="1"/>
      <c r="U45" s="1"/>
      <c r="V45" s="1"/>
    </row>
    <row r="46" spans="1:22" ht="13.5" customHeight="1" x14ac:dyDescent="0.45">
      <c r="A46" s="1"/>
      <c r="B46" s="1"/>
      <c r="C46" s="1"/>
      <c r="D46" s="1"/>
      <c r="E46" s="1"/>
      <c r="F46" s="1"/>
      <c r="G46" s="1"/>
      <c r="H46" s="1"/>
      <c r="I46" s="1"/>
      <c r="J46" s="1"/>
      <c r="K46" s="1"/>
      <c r="L46" s="1"/>
      <c r="M46" s="1"/>
      <c r="N46" s="1"/>
      <c r="O46" s="1"/>
      <c r="P46" s="1"/>
      <c r="Q46" s="1"/>
      <c r="R46" s="1"/>
      <c r="S46" s="1"/>
      <c r="T46" s="1"/>
      <c r="U46" s="1"/>
      <c r="V46" s="1"/>
    </row>
    <row r="47" spans="1:22" ht="13.5" customHeight="1" x14ac:dyDescent="0.45">
      <c r="A47" s="1"/>
      <c r="B47" s="1"/>
      <c r="C47" s="1"/>
      <c r="D47" s="1"/>
      <c r="E47" s="1"/>
      <c r="F47" s="1"/>
      <c r="G47" s="1"/>
      <c r="H47" s="1"/>
      <c r="I47" s="1"/>
      <c r="J47" s="1"/>
      <c r="K47" s="1"/>
      <c r="L47" s="1"/>
      <c r="M47" s="1"/>
      <c r="N47" s="1"/>
      <c r="O47" s="1"/>
      <c r="P47" s="1"/>
      <c r="Q47" s="1"/>
      <c r="R47" s="1"/>
      <c r="S47" s="1"/>
      <c r="T47" s="1"/>
      <c r="U47" s="1"/>
      <c r="V47" s="1"/>
    </row>
    <row r="48" spans="1:22" ht="13.5" customHeight="1" x14ac:dyDescent="0.45">
      <c r="A48" s="1"/>
      <c r="B48" s="1"/>
      <c r="C48" s="1"/>
      <c r="D48" s="1"/>
      <c r="E48" s="1"/>
      <c r="F48" s="1"/>
      <c r="G48" s="1"/>
      <c r="H48" s="1"/>
      <c r="I48" s="1"/>
      <c r="J48" s="1"/>
      <c r="K48" s="1"/>
      <c r="L48" s="1"/>
      <c r="M48" s="1"/>
      <c r="N48" s="1"/>
      <c r="O48" s="1"/>
      <c r="P48" s="1"/>
      <c r="Q48" s="1"/>
      <c r="R48" s="1"/>
      <c r="S48" s="1"/>
      <c r="T48" s="1"/>
      <c r="U48" s="1"/>
      <c r="V48" s="1"/>
    </row>
    <row r="49" spans="1:22" ht="13.5" customHeight="1" x14ac:dyDescent="0.45">
      <c r="A49" s="1"/>
      <c r="B49" s="1"/>
      <c r="C49" s="1"/>
      <c r="D49" s="1"/>
      <c r="E49" s="1"/>
      <c r="F49" s="1"/>
      <c r="G49" s="1"/>
      <c r="H49" s="1"/>
      <c r="I49" s="1"/>
      <c r="J49" s="1"/>
      <c r="K49" s="1"/>
      <c r="L49" s="1"/>
      <c r="M49" s="1"/>
      <c r="N49" s="1"/>
      <c r="O49" s="1"/>
      <c r="P49" s="1"/>
      <c r="Q49" s="1"/>
      <c r="R49" s="1"/>
      <c r="S49" s="1"/>
      <c r="T49" s="1"/>
      <c r="U49" s="1"/>
      <c r="V49" s="1"/>
    </row>
    <row r="50" spans="1:22" ht="13.5" customHeight="1" x14ac:dyDescent="0.45">
      <c r="A50" s="1"/>
      <c r="B50" s="1"/>
      <c r="C50" s="1"/>
      <c r="D50" s="1"/>
      <c r="E50" s="1"/>
      <c r="F50" s="1"/>
      <c r="G50" s="1"/>
      <c r="H50" s="1"/>
      <c r="I50" s="1"/>
      <c r="J50" s="1"/>
      <c r="K50" s="1"/>
      <c r="L50" s="1"/>
      <c r="M50" s="1"/>
      <c r="N50" s="1"/>
      <c r="O50" s="1"/>
      <c r="P50" s="1"/>
      <c r="Q50" s="1"/>
      <c r="R50" s="1"/>
      <c r="S50" s="1"/>
      <c r="T50" s="1"/>
      <c r="U50" s="1"/>
      <c r="V50" s="1"/>
    </row>
    <row r="51" spans="1:22" ht="13.5" customHeight="1" x14ac:dyDescent="0.45">
      <c r="A51" s="1"/>
      <c r="B51" s="1"/>
      <c r="C51" s="1"/>
      <c r="D51" s="1"/>
      <c r="E51" s="1"/>
      <c r="F51" s="1"/>
      <c r="G51" s="1"/>
      <c r="H51" s="1"/>
      <c r="I51" s="1"/>
      <c r="J51" s="1"/>
      <c r="K51" s="1"/>
      <c r="L51" s="1"/>
      <c r="M51" s="1"/>
      <c r="N51" s="1"/>
      <c r="O51" s="1"/>
      <c r="P51" s="1"/>
      <c r="Q51" s="1"/>
      <c r="R51" s="1"/>
      <c r="S51" s="1"/>
      <c r="T51" s="1"/>
      <c r="U51" s="1"/>
      <c r="V51" s="1"/>
    </row>
    <row r="52" spans="1:22" ht="13.5" customHeight="1" x14ac:dyDescent="0.45">
      <c r="A52" s="1"/>
      <c r="B52" s="1"/>
      <c r="C52" s="1"/>
      <c r="D52" s="1"/>
      <c r="E52" s="1"/>
      <c r="F52" s="1"/>
      <c r="G52" s="1"/>
      <c r="H52" s="1"/>
      <c r="I52" s="1"/>
      <c r="J52" s="1"/>
      <c r="K52" s="1"/>
      <c r="L52" s="1"/>
      <c r="M52" s="1"/>
      <c r="N52" s="1"/>
      <c r="O52" s="1"/>
      <c r="P52" s="1"/>
      <c r="Q52" s="1"/>
      <c r="R52" s="1"/>
      <c r="S52" s="1"/>
      <c r="T52" s="1"/>
      <c r="U52" s="1"/>
      <c r="V52" s="1"/>
    </row>
    <row r="53" spans="1:22" ht="13.5" customHeight="1" x14ac:dyDescent="0.45">
      <c r="A53" s="1"/>
      <c r="B53" s="1"/>
      <c r="C53" s="1"/>
      <c r="D53" s="1"/>
      <c r="E53" s="1"/>
      <c r="F53" s="1"/>
      <c r="G53" s="1"/>
      <c r="H53" s="1"/>
      <c r="I53" s="1"/>
      <c r="J53" s="1"/>
      <c r="K53" s="1"/>
      <c r="L53" s="1"/>
      <c r="M53" s="1"/>
      <c r="N53" s="1"/>
      <c r="O53" s="1"/>
      <c r="P53" s="1"/>
      <c r="Q53" s="1"/>
      <c r="R53" s="1"/>
      <c r="S53" s="1"/>
      <c r="T53" s="1"/>
      <c r="U53" s="1"/>
      <c r="V53" s="1"/>
    </row>
    <row r="54" spans="1:22" ht="13.5" customHeight="1" x14ac:dyDescent="0.45">
      <c r="A54" s="1"/>
      <c r="B54" s="1"/>
      <c r="C54" s="1"/>
      <c r="D54" s="1"/>
      <c r="E54" s="1"/>
      <c r="F54" s="1"/>
      <c r="G54" s="1"/>
      <c r="H54" s="1"/>
      <c r="I54" s="1"/>
      <c r="J54" s="1"/>
      <c r="K54" s="1"/>
      <c r="L54" s="1"/>
      <c r="M54" s="1"/>
      <c r="N54" s="1"/>
      <c r="O54" s="1"/>
      <c r="P54" s="1"/>
      <c r="Q54" s="1"/>
      <c r="R54" s="1"/>
      <c r="S54" s="1"/>
      <c r="T54" s="1"/>
      <c r="U54" s="1"/>
      <c r="V54" s="1"/>
    </row>
    <row r="55" spans="1:22" ht="13.5" customHeight="1" x14ac:dyDescent="0.45">
      <c r="A55" s="1"/>
      <c r="B55" s="1"/>
      <c r="C55" s="1"/>
      <c r="D55" s="1"/>
      <c r="E55" s="1"/>
      <c r="F55" s="1"/>
      <c r="G55" s="1"/>
      <c r="H55" s="1"/>
      <c r="I55" s="1"/>
      <c r="J55" s="1"/>
      <c r="K55" s="1"/>
      <c r="L55" s="1"/>
      <c r="M55" s="1"/>
      <c r="N55" s="1"/>
      <c r="O55" s="1"/>
      <c r="P55" s="1"/>
      <c r="Q55" s="1"/>
      <c r="R55" s="1"/>
      <c r="S55" s="1"/>
      <c r="T55" s="1"/>
      <c r="U55" s="1"/>
      <c r="V55" s="1"/>
    </row>
    <row r="56" spans="1:22" ht="13.5" customHeight="1" x14ac:dyDescent="0.45">
      <c r="A56" s="1"/>
      <c r="B56" s="1"/>
      <c r="C56" s="1"/>
      <c r="D56" s="1"/>
      <c r="E56" s="1"/>
      <c r="F56" s="1"/>
      <c r="G56" s="1"/>
      <c r="H56" s="1"/>
      <c r="I56" s="1"/>
      <c r="J56" s="1"/>
      <c r="K56" s="1"/>
      <c r="L56" s="1"/>
      <c r="M56" s="1"/>
      <c r="N56" s="1"/>
      <c r="O56" s="1"/>
      <c r="P56" s="1"/>
      <c r="Q56" s="1"/>
      <c r="R56" s="1"/>
      <c r="S56" s="1"/>
      <c r="T56" s="1"/>
      <c r="U56" s="1"/>
      <c r="V56" s="1"/>
    </row>
    <row r="57" spans="1:22" ht="13.5" customHeight="1" x14ac:dyDescent="0.45">
      <c r="A57" s="1"/>
      <c r="B57" s="1"/>
      <c r="C57" s="1"/>
      <c r="D57" s="1"/>
      <c r="E57" s="1"/>
      <c r="F57" s="1"/>
      <c r="G57" s="1"/>
      <c r="H57" s="1"/>
      <c r="I57" s="1"/>
      <c r="J57" s="1"/>
      <c r="K57" s="1"/>
      <c r="L57" s="1"/>
      <c r="M57" s="1"/>
      <c r="N57" s="1"/>
      <c r="O57" s="1"/>
      <c r="P57" s="1"/>
      <c r="Q57" s="1"/>
      <c r="R57" s="1"/>
      <c r="S57" s="1"/>
      <c r="T57" s="1"/>
      <c r="U57" s="1"/>
      <c r="V57" s="1"/>
    </row>
    <row r="58" spans="1:22" ht="13.5" customHeight="1" x14ac:dyDescent="0.45">
      <c r="A58" s="1"/>
      <c r="B58" s="1"/>
      <c r="C58" s="1"/>
      <c r="D58" s="1"/>
      <c r="E58" s="1"/>
      <c r="F58" s="1"/>
      <c r="G58" s="1"/>
      <c r="H58" s="1"/>
      <c r="I58" s="1"/>
      <c r="J58" s="1"/>
      <c r="K58" s="1"/>
      <c r="L58" s="1"/>
      <c r="M58" s="1"/>
      <c r="N58" s="1"/>
      <c r="O58" s="1"/>
      <c r="P58" s="1"/>
      <c r="Q58" s="1"/>
      <c r="R58" s="1"/>
      <c r="S58" s="1"/>
      <c r="T58" s="1"/>
      <c r="U58" s="1"/>
      <c r="V58" s="1"/>
    </row>
    <row r="59" spans="1:22" ht="13.5" customHeight="1" x14ac:dyDescent="0.45">
      <c r="A59" s="1"/>
      <c r="B59" s="1"/>
      <c r="C59" s="1"/>
      <c r="D59" s="1"/>
      <c r="E59" s="1"/>
      <c r="F59" s="1"/>
      <c r="G59" s="1"/>
      <c r="H59" s="1"/>
      <c r="I59" s="1"/>
      <c r="J59" s="1"/>
      <c r="K59" s="1"/>
      <c r="L59" s="1"/>
      <c r="M59" s="1"/>
      <c r="N59" s="1"/>
      <c r="O59" s="1"/>
      <c r="P59" s="1"/>
      <c r="Q59" s="1"/>
      <c r="R59" s="1"/>
      <c r="S59" s="1"/>
      <c r="T59" s="1"/>
      <c r="U59" s="1"/>
      <c r="V59" s="1"/>
    </row>
    <row r="60" spans="1:22" ht="13.5" customHeight="1" x14ac:dyDescent="0.45">
      <c r="A60" s="1"/>
      <c r="B60" s="1"/>
      <c r="C60" s="1"/>
      <c r="D60" s="1"/>
      <c r="E60" s="1"/>
      <c r="F60" s="1"/>
      <c r="G60" s="1"/>
      <c r="H60" s="1"/>
      <c r="I60" s="1"/>
      <c r="J60" s="1"/>
      <c r="K60" s="1"/>
      <c r="L60" s="1"/>
      <c r="M60" s="1"/>
      <c r="N60" s="1"/>
      <c r="O60" s="1"/>
      <c r="P60" s="1"/>
      <c r="Q60" s="1"/>
      <c r="R60" s="1"/>
      <c r="S60" s="1"/>
      <c r="T60" s="1"/>
      <c r="U60" s="1"/>
      <c r="V60" s="1"/>
    </row>
    <row r="61" spans="1:22" ht="13.5" customHeight="1" x14ac:dyDescent="0.45">
      <c r="A61" s="1"/>
      <c r="B61" s="1"/>
      <c r="C61" s="1"/>
      <c r="D61" s="1"/>
      <c r="E61" s="1"/>
      <c r="F61" s="1"/>
      <c r="G61" s="1"/>
      <c r="H61" s="1"/>
      <c r="I61" s="1"/>
      <c r="J61" s="1"/>
      <c r="K61" s="1"/>
      <c r="L61" s="1"/>
      <c r="M61" s="1"/>
      <c r="N61" s="1"/>
      <c r="O61" s="1"/>
      <c r="P61" s="1"/>
      <c r="Q61" s="1"/>
      <c r="R61" s="1"/>
      <c r="S61" s="1"/>
      <c r="T61" s="1"/>
      <c r="U61" s="1"/>
      <c r="V61" s="1"/>
    </row>
    <row r="62" spans="1:22" ht="13.5" customHeight="1" x14ac:dyDescent="0.45">
      <c r="A62" s="1"/>
      <c r="B62" s="1"/>
      <c r="C62" s="1"/>
      <c r="D62" s="1"/>
      <c r="E62" s="1"/>
      <c r="F62" s="1"/>
      <c r="G62" s="1"/>
      <c r="H62" s="1"/>
      <c r="I62" s="1"/>
      <c r="J62" s="1"/>
      <c r="K62" s="1"/>
      <c r="L62" s="1"/>
      <c r="M62" s="1"/>
      <c r="N62" s="1"/>
      <c r="O62" s="1"/>
      <c r="P62" s="1"/>
      <c r="Q62" s="1"/>
      <c r="R62" s="1"/>
      <c r="S62" s="1"/>
      <c r="T62" s="1"/>
      <c r="U62" s="1"/>
      <c r="V62" s="1"/>
    </row>
    <row r="63" spans="1:22" ht="13.5" customHeight="1" x14ac:dyDescent="0.45">
      <c r="A63" s="1"/>
      <c r="B63" s="1"/>
      <c r="C63" s="1"/>
      <c r="D63" s="1"/>
      <c r="E63" s="1"/>
      <c r="F63" s="1"/>
      <c r="G63" s="1"/>
      <c r="H63" s="1"/>
      <c r="I63" s="1"/>
      <c r="J63" s="1"/>
      <c r="K63" s="1"/>
      <c r="L63" s="1"/>
      <c r="M63" s="1"/>
      <c r="N63" s="1"/>
      <c r="O63" s="1"/>
      <c r="P63" s="1"/>
      <c r="Q63" s="1"/>
      <c r="R63" s="1"/>
      <c r="S63" s="1"/>
      <c r="T63" s="1"/>
      <c r="U63" s="1"/>
      <c r="V63" s="1"/>
    </row>
    <row r="64" spans="1:22" ht="13.5" customHeight="1" x14ac:dyDescent="0.45">
      <c r="A64" s="1"/>
      <c r="B64" s="1"/>
      <c r="C64" s="1"/>
      <c r="D64" s="1"/>
      <c r="E64" s="1"/>
      <c r="F64" s="1"/>
      <c r="G64" s="1"/>
      <c r="H64" s="1"/>
      <c r="I64" s="1"/>
      <c r="J64" s="1"/>
      <c r="K64" s="1"/>
      <c r="L64" s="1"/>
      <c r="M64" s="1"/>
      <c r="N64" s="1"/>
      <c r="O64" s="1"/>
      <c r="P64" s="1"/>
      <c r="Q64" s="1"/>
      <c r="R64" s="1"/>
      <c r="S64" s="1"/>
      <c r="T64" s="1"/>
      <c r="U64" s="1"/>
      <c r="V64" s="1"/>
    </row>
    <row r="65" spans="1:22" ht="13.5" customHeight="1" x14ac:dyDescent="0.45">
      <c r="A65" s="1"/>
      <c r="B65" s="1"/>
      <c r="C65" s="1"/>
      <c r="D65" s="1"/>
      <c r="E65" s="1"/>
      <c r="F65" s="1"/>
      <c r="G65" s="1"/>
      <c r="H65" s="1"/>
      <c r="I65" s="1"/>
      <c r="J65" s="1"/>
      <c r="K65" s="1"/>
      <c r="L65" s="1"/>
      <c r="M65" s="1"/>
      <c r="N65" s="1"/>
      <c r="O65" s="1"/>
      <c r="P65" s="1"/>
      <c r="Q65" s="1"/>
      <c r="R65" s="1"/>
      <c r="S65" s="1"/>
      <c r="T65" s="1"/>
      <c r="U65" s="1"/>
      <c r="V65" s="1"/>
    </row>
    <row r="66" spans="1:22" ht="13.5" customHeight="1" x14ac:dyDescent="0.45">
      <c r="A66" s="1"/>
      <c r="B66" s="1"/>
      <c r="C66" s="1"/>
      <c r="D66" s="1"/>
      <c r="E66" s="1"/>
      <c r="F66" s="1"/>
      <c r="G66" s="1"/>
      <c r="H66" s="1"/>
      <c r="I66" s="1"/>
      <c r="J66" s="1"/>
      <c r="K66" s="1"/>
      <c r="L66" s="1"/>
      <c r="M66" s="1"/>
      <c r="N66" s="1"/>
      <c r="O66" s="1"/>
      <c r="P66" s="1"/>
      <c r="Q66" s="1"/>
      <c r="R66" s="1"/>
      <c r="S66" s="1"/>
      <c r="T66" s="1"/>
      <c r="U66" s="1"/>
      <c r="V66" s="1"/>
    </row>
    <row r="67" spans="1:22" ht="13.5" customHeight="1" x14ac:dyDescent="0.45">
      <c r="A67" s="1"/>
      <c r="B67" s="1"/>
      <c r="C67" s="1"/>
      <c r="D67" s="1"/>
      <c r="E67" s="1"/>
      <c r="F67" s="1"/>
      <c r="G67" s="1"/>
      <c r="H67" s="1"/>
      <c r="I67" s="1"/>
      <c r="J67" s="1"/>
      <c r="K67" s="1"/>
      <c r="L67" s="1"/>
      <c r="M67" s="1"/>
      <c r="N67" s="1"/>
      <c r="O67" s="1"/>
      <c r="P67" s="1"/>
      <c r="Q67" s="1"/>
      <c r="R67" s="1"/>
      <c r="S67" s="1"/>
      <c r="T67" s="1"/>
      <c r="U67" s="1"/>
      <c r="V67" s="1"/>
    </row>
    <row r="68" spans="1:22" ht="13.5" customHeight="1" x14ac:dyDescent="0.45">
      <c r="A68" s="1"/>
      <c r="B68" s="1"/>
      <c r="C68" s="1"/>
      <c r="D68" s="1"/>
      <c r="E68" s="1"/>
      <c r="F68" s="1"/>
      <c r="G68" s="1"/>
      <c r="H68" s="1"/>
      <c r="I68" s="1"/>
      <c r="J68" s="1"/>
      <c r="K68" s="1"/>
      <c r="L68" s="1"/>
      <c r="M68" s="1"/>
      <c r="N68" s="1"/>
      <c r="O68" s="1"/>
      <c r="P68" s="1"/>
      <c r="Q68" s="1"/>
      <c r="R68" s="1"/>
      <c r="S68" s="1"/>
      <c r="T68" s="1"/>
      <c r="U68" s="1"/>
      <c r="V68" s="1"/>
    </row>
    <row r="69" spans="1:22" ht="13.5" customHeight="1" x14ac:dyDescent="0.45">
      <c r="A69" s="1"/>
      <c r="B69" s="1"/>
      <c r="C69" s="1"/>
      <c r="D69" s="1"/>
      <c r="E69" s="1"/>
      <c r="F69" s="1"/>
      <c r="G69" s="1"/>
      <c r="H69" s="1"/>
      <c r="I69" s="1"/>
      <c r="J69" s="1"/>
      <c r="K69" s="1"/>
      <c r="L69" s="1"/>
      <c r="M69" s="1"/>
      <c r="N69" s="1"/>
      <c r="O69" s="1"/>
      <c r="P69" s="1"/>
      <c r="Q69" s="1"/>
      <c r="R69" s="1"/>
      <c r="S69" s="1"/>
      <c r="T69" s="1"/>
      <c r="U69" s="1"/>
      <c r="V69" s="1"/>
    </row>
    <row r="70" spans="1:22" ht="13.5" customHeight="1" x14ac:dyDescent="0.45">
      <c r="A70" s="1"/>
      <c r="B70" s="1"/>
      <c r="C70" s="1"/>
      <c r="D70" s="1"/>
      <c r="E70" s="1"/>
      <c r="F70" s="1"/>
      <c r="G70" s="1"/>
      <c r="H70" s="1"/>
      <c r="I70" s="1"/>
      <c r="J70" s="1"/>
      <c r="K70" s="1"/>
      <c r="L70" s="1"/>
      <c r="M70" s="1"/>
      <c r="N70" s="1"/>
      <c r="O70" s="1"/>
      <c r="P70" s="1"/>
      <c r="Q70" s="1"/>
      <c r="R70" s="1"/>
      <c r="S70" s="1"/>
      <c r="T70" s="1"/>
      <c r="U70" s="1"/>
      <c r="V70" s="1"/>
    </row>
    <row r="71" spans="1:22" ht="13.5" customHeight="1" x14ac:dyDescent="0.45">
      <c r="A71" s="1"/>
      <c r="B71" s="1"/>
      <c r="C71" s="1"/>
      <c r="D71" s="1"/>
      <c r="E71" s="1"/>
      <c r="F71" s="1"/>
      <c r="G71" s="1"/>
      <c r="H71" s="1"/>
      <c r="I71" s="1"/>
      <c r="J71" s="1"/>
      <c r="K71" s="1"/>
      <c r="L71" s="1"/>
      <c r="M71" s="1"/>
      <c r="N71" s="1"/>
      <c r="O71" s="1"/>
      <c r="P71" s="1"/>
      <c r="Q71" s="1"/>
      <c r="R71" s="1"/>
      <c r="S71" s="1"/>
      <c r="T71" s="1"/>
      <c r="U71" s="1"/>
      <c r="V71" s="1"/>
    </row>
    <row r="72" spans="1:22" ht="13.5" customHeight="1" x14ac:dyDescent="0.45">
      <c r="A72" s="1"/>
      <c r="B72" s="1"/>
      <c r="C72" s="1"/>
      <c r="D72" s="1"/>
      <c r="E72" s="1"/>
      <c r="F72" s="1"/>
      <c r="G72" s="1"/>
      <c r="H72" s="1"/>
      <c r="I72" s="1"/>
      <c r="J72" s="1"/>
      <c r="K72" s="1"/>
      <c r="L72" s="1"/>
      <c r="M72" s="1"/>
      <c r="N72" s="1"/>
      <c r="O72" s="1"/>
      <c r="P72" s="1"/>
      <c r="Q72" s="1"/>
      <c r="R72" s="1"/>
      <c r="S72" s="1"/>
      <c r="T72" s="1"/>
      <c r="U72" s="1"/>
      <c r="V72" s="1"/>
    </row>
    <row r="73" spans="1:22" ht="13.5" customHeight="1" x14ac:dyDescent="0.45">
      <c r="A73" s="1"/>
      <c r="B73" s="1"/>
      <c r="C73" s="1"/>
      <c r="D73" s="1"/>
      <c r="E73" s="1"/>
      <c r="F73" s="1"/>
      <c r="G73" s="1"/>
      <c r="H73" s="1"/>
      <c r="I73" s="1"/>
      <c r="J73" s="1"/>
      <c r="K73" s="1"/>
      <c r="L73" s="1"/>
      <c r="M73" s="1"/>
      <c r="N73" s="1"/>
      <c r="O73" s="1"/>
      <c r="P73" s="1"/>
      <c r="Q73" s="1"/>
      <c r="R73" s="1"/>
      <c r="S73" s="1"/>
      <c r="T73" s="1"/>
      <c r="U73" s="1"/>
      <c r="V73" s="1"/>
    </row>
    <row r="74" spans="1:22" ht="13.5" customHeight="1" x14ac:dyDescent="0.45">
      <c r="A74" s="1"/>
      <c r="B74" s="1"/>
      <c r="C74" s="1"/>
      <c r="D74" s="1"/>
      <c r="E74" s="1"/>
      <c r="F74" s="1"/>
      <c r="G74" s="1"/>
      <c r="H74" s="1"/>
      <c r="I74" s="1"/>
      <c r="J74" s="1"/>
      <c r="K74" s="1"/>
      <c r="L74" s="1"/>
      <c r="M74" s="1"/>
      <c r="N74" s="1"/>
      <c r="O74" s="1"/>
      <c r="P74" s="1"/>
      <c r="Q74" s="1"/>
      <c r="R74" s="1"/>
      <c r="S74" s="1"/>
      <c r="T74" s="1"/>
      <c r="U74" s="1"/>
      <c r="V74" s="1"/>
    </row>
    <row r="75" spans="1:22" ht="13.5" customHeight="1" x14ac:dyDescent="0.45">
      <c r="A75" s="1"/>
      <c r="B75" s="1"/>
      <c r="C75" s="1"/>
      <c r="D75" s="1"/>
      <c r="E75" s="1"/>
      <c r="F75" s="1"/>
      <c r="G75" s="1"/>
      <c r="H75" s="1"/>
      <c r="I75" s="1"/>
      <c r="J75" s="1"/>
      <c r="K75" s="1"/>
      <c r="L75" s="1"/>
      <c r="M75" s="1"/>
      <c r="N75" s="1"/>
      <c r="O75" s="1"/>
      <c r="P75" s="1"/>
      <c r="Q75" s="1"/>
      <c r="R75" s="1"/>
      <c r="S75" s="1"/>
      <c r="T75" s="1"/>
      <c r="U75" s="1"/>
      <c r="V75" s="1"/>
    </row>
    <row r="76" spans="1:22" ht="13.5" customHeight="1" x14ac:dyDescent="0.45">
      <c r="A76" s="1"/>
      <c r="B76" s="1"/>
      <c r="C76" s="1"/>
      <c r="D76" s="1"/>
      <c r="E76" s="1"/>
      <c r="F76" s="1"/>
      <c r="G76" s="1"/>
      <c r="H76" s="1"/>
      <c r="I76" s="1"/>
      <c r="J76" s="1"/>
      <c r="K76" s="1"/>
      <c r="L76" s="1"/>
      <c r="M76" s="1"/>
      <c r="N76" s="1"/>
      <c r="O76" s="1"/>
      <c r="P76" s="1"/>
      <c r="Q76" s="1"/>
      <c r="R76" s="1"/>
      <c r="S76" s="1"/>
      <c r="T76" s="1"/>
      <c r="U76" s="1"/>
      <c r="V76" s="1"/>
    </row>
    <row r="77" spans="1:22" ht="13.5" customHeight="1" x14ac:dyDescent="0.45">
      <c r="A77" s="1"/>
      <c r="B77" s="1"/>
      <c r="C77" s="1"/>
      <c r="D77" s="1"/>
      <c r="E77" s="1"/>
      <c r="F77" s="1"/>
      <c r="G77" s="1"/>
      <c r="H77" s="1"/>
      <c r="I77" s="1"/>
      <c r="J77" s="1"/>
      <c r="K77" s="1"/>
      <c r="L77" s="1"/>
      <c r="M77" s="1"/>
      <c r="N77" s="1"/>
      <c r="O77" s="1"/>
      <c r="P77" s="1"/>
      <c r="Q77" s="1"/>
      <c r="R77" s="1"/>
      <c r="S77" s="1"/>
      <c r="T77" s="1"/>
      <c r="U77" s="1"/>
      <c r="V77" s="1"/>
    </row>
    <row r="78" spans="1:22" ht="13.5" customHeight="1" x14ac:dyDescent="0.45">
      <c r="A78" s="1"/>
      <c r="B78" s="1"/>
      <c r="C78" s="1"/>
      <c r="D78" s="1"/>
      <c r="E78" s="1"/>
      <c r="F78" s="1"/>
      <c r="G78" s="1"/>
      <c r="H78" s="1"/>
      <c r="I78" s="1"/>
      <c r="J78" s="1"/>
      <c r="K78" s="1"/>
      <c r="L78" s="1"/>
      <c r="M78" s="1"/>
      <c r="N78" s="1"/>
      <c r="O78" s="1"/>
      <c r="P78" s="1"/>
      <c r="Q78" s="1"/>
      <c r="R78" s="1"/>
      <c r="S78" s="1"/>
      <c r="T78" s="1"/>
      <c r="U78" s="1"/>
      <c r="V78" s="1"/>
    </row>
    <row r="79" spans="1:22" ht="13.5" customHeight="1" x14ac:dyDescent="0.45">
      <c r="A79" s="1"/>
      <c r="B79" s="1"/>
      <c r="C79" s="1"/>
      <c r="D79" s="1"/>
      <c r="E79" s="1"/>
      <c r="F79" s="1"/>
      <c r="G79" s="1"/>
      <c r="H79" s="1"/>
      <c r="I79" s="1"/>
      <c r="J79" s="1"/>
      <c r="K79" s="1"/>
      <c r="L79" s="1"/>
      <c r="M79" s="1"/>
      <c r="N79" s="1"/>
      <c r="O79" s="1"/>
      <c r="P79" s="1"/>
      <c r="Q79" s="1"/>
      <c r="R79" s="1"/>
      <c r="S79" s="1"/>
      <c r="T79" s="1"/>
      <c r="U79" s="1"/>
      <c r="V79" s="1"/>
    </row>
    <row r="80" spans="1:22" ht="13.5" customHeight="1" x14ac:dyDescent="0.45">
      <c r="A80" s="1"/>
      <c r="B80" s="1"/>
      <c r="C80" s="1"/>
      <c r="D80" s="1"/>
      <c r="E80" s="1"/>
      <c r="F80" s="1"/>
      <c r="G80" s="1"/>
      <c r="H80" s="1"/>
      <c r="I80" s="1"/>
      <c r="J80" s="1"/>
      <c r="K80" s="1"/>
      <c r="L80" s="1"/>
      <c r="M80" s="1"/>
      <c r="N80" s="1"/>
      <c r="O80" s="1"/>
      <c r="P80" s="1"/>
      <c r="Q80" s="1"/>
      <c r="R80" s="1"/>
      <c r="S80" s="1"/>
      <c r="T80" s="1"/>
      <c r="U80" s="1"/>
      <c r="V80" s="1"/>
    </row>
    <row r="81" spans="1:22" ht="13.5" customHeight="1" x14ac:dyDescent="0.45">
      <c r="A81" s="1"/>
      <c r="B81" s="1"/>
      <c r="C81" s="1"/>
      <c r="D81" s="1"/>
      <c r="E81" s="1"/>
      <c r="F81" s="1"/>
      <c r="G81" s="1"/>
      <c r="H81" s="1"/>
      <c r="I81" s="1"/>
      <c r="J81" s="1"/>
      <c r="K81" s="1"/>
      <c r="L81" s="1"/>
      <c r="M81" s="1"/>
      <c r="N81" s="1"/>
      <c r="O81" s="1"/>
      <c r="P81" s="1"/>
      <c r="Q81" s="1"/>
      <c r="R81" s="1"/>
      <c r="S81" s="1"/>
      <c r="T81" s="1"/>
      <c r="U81" s="1"/>
      <c r="V81" s="1"/>
    </row>
    <row r="82" spans="1:22" ht="13.5" customHeight="1" x14ac:dyDescent="0.45">
      <c r="A82" s="1"/>
      <c r="B82" s="1"/>
      <c r="C82" s="1"/>
      <c r="D82" s="1"/>
      <c r="E82" s="1"/>
      <c r="F82" s="1"/>
      <c r="G82" s="1"/>
      <c r="H82" s="1"/>
      <c r="I82" s="1"/>
      <c r="J82" s="1"/>
      <c r="K82" s="1"/>
      <c r="L82" s="1"/>
      <c r="M82" s="1"/>
      <c r="N82" s="1"/>
      <c r="O82" s="1"/>
      <c r="P82" s="1"/>
      <c r="Q82" s="1"/>
      <c r="R82" s="1"/>
      <c r="S82" s="1"/>
      <c r="T82" s="1"/>
      <c r="U82" s="1"/>
      <c r="V82" s="1"/>
    </row>
    <row r="83" spans="1:22" ht="13.5" customHeight="1" x14ac:dyDescent="0.45">
      <c r="A83" s="1"/>
      <c r="B83" s="1"/>
      <c r="C83" s="1"/>
      <c r="D83" s="1"/>
      <c r="E83" s="1"/>
      <c r="F83" s="1"/>
      <c r="G83" s="1"/>
      <c r="H83" s="1"/>
      <c r="I83" s="1"/>
      <c r="J83" s="1"/>
      <c r="K83" s="1"/>
      <c r="L83" s="1"/>
      <c r="M83" s="1"/>
      <c r="N83" s="1"/>
      <c r="O83" s="1"/>
      <c r="P83" s="1"/>
      <c r="Q83" s="1"/>
      <c r="R83" s="1"/>
      <c r="S83" s="1"/>
      <c r="T83" s="1"/>
      <c r="U83" s="1"/>
      <c r="V83" s="1"/>
    </row>
    <row r="84" spans="1:22" ht="13.5" customHeight="1" x14ac:dyDescent="0.45">
      <c r="A84" s="1"/>
      <c r="B84" s="1"/>
      <c r="C84" s="1"/>
      <c r="D84" s="1"/>
      <c r="E84" s="1"/>
      <c r="F84" s="1"/>
      <c r="G84" s="1"/>
      <c r="H84" s="1"/>
      <c r="I84" s="1"/>
      <c r="J84" s="1"/>
      <c r="K84" s="1"/>
      <c r="L84" s="1"/>
      <c r="M84" s="1"/>
      <c r="N84" s="1"/>
      <c r="O84" s="1"/>
      <c r="P84" s="1"/>
      <c r="Q84" s="1"/>
      <c r="R84" s="1"/>
      <c r="S84" s="1"/>
      <c r="T84" s="1"/>
      <c r="U84" s="1"/>
      <c r="V84" s="1"/>
    </row>
    <row r="85" spans="1:22" ht="13.5" customHeight="1" x14ac:dyDescent="0.45">
      <c r="A85" s="1"/>
      <c r="B85" s="1"/>
      <c r="C85" s="1"/>
      <c r="D85" s="1"/>
      <c r="E85" s="1"/>
      <c r="F85" s="1"/>
      <c r="G85" s="1"/>
      <c r="H85" s="1"/>
      <c r="I85" s="1"/>
      <c r="J85" s="1"/>
      <c r="K85" s="1"/>
      <c r="L85" s="1"/>
      <c r="M85" s="1"/>
      <c r="N85" s="1"/>
      <c r="O85" s="1"/>
      <c r="P85" s="1"/>
      <c r="Q85" s="1"/>
      <c r="R85" s="1"/>
      <c r="S85" s="1"/>
      <c r="T85" s="1"/>
      <c r="U85" s="1"/>
      <c r="V85" s="1"/>
    </row>
    <row r="86" spans="1:22" ht="13.5" customHeight="1" x14ac:dyDescent="0.45">
      <c r="A86" s="1"/>
      <c r="B86" s="1"/>
      <c r="C86" s="1"/>
      <c r="D86" s="1"/>
      <c r="E86" s="1"/>
      <c r="F86" s="1"/>
      <c r="G86" s="1"/>
      <c r="H86" s="1"/>
      <c r="I86" s="1"/>
      <c r="J86" s="1"/>
      <c r="K86" s="1"/>
      <c r="L86" s="1"/>
      <c r="M86" s="1"/>
      <c r="N86" s="1"/>
      <c r="O86" s="1"/>
      <c r="P86" s="1"/>
      <c r="Q86" s="1"/>
      <c r="R86" s="1"/>
      <c r="S86" s="1"/>
      <c r="T86" s="1"/>
      <c r="U86" s="1"/>
      <c r="V86" s="1"/>
    </row>
    <row r="87" spans="1:22" ht="13.5" customHeight="1" x14ac:dyDescent="0.45">
      <c r="A87" s="1"/>
      <c r="B87" s="1"/>
      <c r="C87" s="1"/>
      <c r="D87" s="1"/>
      <c r="E87" s="1"/>
      <c r="F87" s="1"/>
      <c r="G87" s="1"/>
      <c r="H87" s="1"/>
      <c r="I87" s="1"/>
      <c r="J87" s="1"/>
      <c r="K87" s="1"/>
      <c r="L87" s="1"/>
      <c r="M87" s="1"/>
      <c r="N87" s="1"/>
      <c r="O87" s="1"/>
      <c r="P87" s="1"/>
      <c r="Q87" s="1"/>
      <c r="R87" s="1"/>
      <c r="S87" s="1"/>
      <c r="T87" s="1"/>
      <c r="U87" s="1"/>
      <c r="V87" s="1"/>
    </row>
    <row r="88" spans="1:22" ht="13.5" customHeight="1" x14ac:dyDescent="0.45">
      <c r="A88" s="1"/>
      <c r="B88" s="1"/>
      <c r="C88" s="1"/>
      <c r="D88" s="1"/>
      <c r="E88" s="1"/>
      <c r="F88" s="1"/>
      <c r="G88" s="1"/>
      <c r="H88" s="1"/>
      <c r="I88" s="1"/>
      <c r="J88" s="1"/>
      <c r="K88" s="1"/>
      <c r="L88" s="1"/>
      <c r="M88" s="1"/>
      <c r="N88" s="1"/>
      <c r="O88" s="1"/>
      <c r="P88" s="1"/>
      <c r="Q88" s="1"/>
      <c r="R88" s="1"/>
      <c r="S88" s="1"/>
      <c r="T88" s="1"/>
      <c r="U88" s="1"/>
      <c r="V88" s="1"/>
    </row>
    <row r="89" spans="1:22" ht="13.5" customHeight="1" x14ac:dyDescent="0.45">
      <c r="A89" s="1"/>
      <c r="B89" s="1"/>
      <c r="C89" s="1"/>
      <c r="D89" s="1"/>
      <c r="E89" s="1"/>
      <c r="F89" s="1"/>
      <c r="G89" s="1"/>
      <c r="H89" s="1"/>
      <c r="I89" s="1"/>
      <c r="J89" s="1"/>
      <c r="K89" s="1"/>
      <c r="L89" s="1"/>
      <c r="M89" s="1"/>
      <c r="N89" s="1"/>
      <c r="O89" s="1"/>
      <c r="P89" s="1"/>
      <c r="Q89" s="1"/>
      <c r="R89" s="1"/>
      <c r="S89" s="1"/>
      <c r="T89" s="1"/>
      <c r="U89" s="1"/>
      <c r="V89" s="1"/>
    </row>
    <row r="90" spans="1:22" ht="13.5" customHeight="1" x14ac:dyDescent="0.45">
      <c r="A90" s="1"/>
      <c r="B90" s="1"/>
      <c r="C90" s="1"/>
      <c r="D90" s="1"/>
      <c r="E90" s="1"/>
      <c r="F90" s="1"/>
      <c r="G90" s="1"/>
      <c r="H90" s="1"/>
      <c r="I90" s="1"/>
      <c r="J90" s="1"/>
      <c r="K90" s="1"/>
      <c r="L90" s="1"/>
      <c r="M90" s="1"/>
      <c r="N90" s="1"/>
      <c r="O90" s="1"/>
      <c r="P90" s="1"/>
      <c r="Q90" s="1"/>
      <c r="R90" s="1"/>
      <c r="S90" s="1"/>
      <c r="T90" s="1"/>
      <c r="U90" s="1"/>
      <c r="V90" s="1"/>
    </row>
    <row r="91" spans="1:22" ht="13.5" customHeight="1" x14ac:dyDescent="0.45">
      <c r="A91" s="1"/>
      <c r="B91" s="1"/>
      <c r="C91" s="1"/>
      <c r="D91" s="1"/>
      <c r="E91" s="1"/>
      <c r="F91" s="1"/>
      <c r="G91" s="1"/>
      <c r="H91" s="1"/>
      <c r="I91" s="1"/>
      <c r="J91" s="1"/>
      <c r="K91" s="1"/>
      <c r="L91" s="1"/>
      <c r="M91" s="1"/>
      <c r="N91" s="1"/>
      <c r="O91" s="1"/>
      <c r="P91" s="1"/>
      <c r="Q91" s="1"/>
      <c r="R91" s="1"/>
      <c r="S91" s="1"/>
      <c r="T91" s="1"/>
      <c r="U91" s="1"/>
      <c r="V91" s="1"/>
    </row>
    <row r="92" spans="1:22" ht="13.5" customHeight="1" x14ac:dyDescent="0.45">
      <c r="A92" s="1"/>
      <c r="B92" s="1"/>
      <c r="C92" s="1"/>
      <c r="D92" s="1"/>
      <c r="E92" s="1"/>
      <c r="F92" s="1"/>
      <c r="G92" s="1"/>
      <c r="H92" s="1"/>
      <c r="I92" s="1"/>
      <c r="J92" s="1"/>
      <c r="K92" s="1"/>
      <c r="L92" s="1"/>
      <c r="M92" s="1"/>
      <c r="N92" s="1"/>
      <c r="O92" s="1"/>
      <c r="P92" s="1"/>
      <c r="Q92" s="1"/>
      <c r="R92" s="1"/>
      <c r="S92" s="1"/>
      <c r="T92" s="1"/>
      <c r="U92" s="1"/>
      <c r="V92" s="1"/>
    </row>
    <row r="93" spans="1:22" ht="13.5" customHeight="1" x14ac:dyDescent="0.45">
      <c r="A93" s="1"/>
      <c r="B93" s="1"/>
      <c r="C93" s="1"/>
      <c r="D93" s="1"/>
      <c r="E93" s="1"/>
      <c r="F93" s="1"/>
      <c r="G93" s="1"/>
      <c r="H93" s="1"/>
      <c r="I93" s="1"/>
      <c r="J93" s="1"/>
      <c r="K93" s="1"/>
      <c r="L93" s="1"/>
      <c r="M93" s="1"/>
      <c r="N93" s="1"/>
      <c r="O93" s="1"/>
      <c r="P93" s="1"/>
      <c r="Q93" s="1"/>
      <c r="R93" s="1"/>
      <c r="S93" s="1"/>
      <c r="T93" s="1"/>
      <c r="U93" s="1"/>
      <c r="V93" s="1"/>
    </row>
    <row r="94" spans="1:22" ht="13.5" customHeight="1" x14ac:dyDescent="0.45">
      <c r="A94" s="1"/>
      <c r="B94" s="1"/>
      <c r="C94" s="1"/>
      <c r="D94" s="1"/>
      <c r="E94" s="1"/>
      <c r="F94" s="1"/>
      <c r="G94" s="1"/>
      <c r="H94" s="1"/>
      <c r="I94" s="1"/>
      <c r="J94" s="1"/>
      <c r="K94" s="1"/>
      <c r="L94" s="1"/>
      <c r="M94" s="1"/>
      <c r="N94" s="1"/>
      <c r="O94" s="1"/>
      <c r="P94" s="1"/>
      <c r="Q94" s="1"/>
      <c r="R94" s="1"/>
      <c r="S94" s="1"/>
      <c r="T94" s="1"/>
      <c r="U94" s="1"/>
      <c r="V94" s="1"/>
    </row>
    <row r="95" spans="1:22" ht="13.5" customHeight="1" x14ac:dyDescent="0.45">
      <c r="A95" s="1"/>
      <c r="B95" s="1"/>
      <c r="C95" s="1"/>
      <c r="D95" s="1"/>
      <c r="E95" s="1"/>
      <c r="F95" s="1"/>
      <c r="G95" s="1"/>
      <c r="H95" s="1"/>
      <c r="I95" s="1"/>
      <c r="J95" s="1"/>
      <c r="K95" s="1"/>
      <c r="L95" s="1"/>
      <c r="M95" s="1"/>
      <c r="N95" s="1"/>
      <c r="O95" s="1"/>
      <c r="P95" s="1"/>
      <c r="Q95" s="1"/>
      <c r="R95" s="1"/>
      <c r="S95" s="1"/>
      <c r="T95" s="1"/>
      <c r="U95" s="1"/>
      <c r="V95" s="1"/>
    </row>
    <row r="96" spans="1:22" ht="13.5" customHeight="1" x14ac:dyDescent="0.45">
      <c r="A96" s="1"/>
      <c r="B96" s="1"/>
      <c r="C96" s="1"/>
      <c r="D96" s="1"/>
      <c r="E96" s="1"/>
      <c r="F96" s="1"/>
      <c r="G96" s="1"/>
      <c r="H96" s="1"/>
      <c r="I96" s="1"/>
      <c r="J96" s="1"/>
      <c r="K96" s="1"/>
      <c r="L96" s="1"/>
      <c r="M96" s="1"/>
      <c r="N96" s="1"/>
      <c r="O96" s="1"/>
      <c r="P96" s="1"/>
      <c r="Q96" s="1"/>
      <c r="R96" s="1"/>
      <c r="S96" s="1"/>
      <c r="T96" s="1"/>
      <c r="U96" s="1"/>
      <c r="V96" s="1"/>
    </row>
    <row r="97" spans="1:22" ht="13.5" customHeight="1" x14ac:dyDescent="0.45">
      <c r="A97" s="1"/>
      <c r="B97" s="1"/>
      <c r="C97" s="1"/>
      <c r="D97" s="1"/>
      <c r="E97" s="1"/>
      <c r="F97" s="1"/>
      <c r="G97" s="1"/>
      <c r="H97" s="1"/>
      <c r="I97" s="1"/>
      <c r="J97" s="1"/>
      <c r="K97" s="1"/>
      <c r="L97" s="1"/>
      <c r="M97" s="1"/>
      <c r="N97" s="1"/>
      <c r="O97" s="1"/>
      <c r="P97" s="1"/>
      <c r="Q97" s="1"/>
      <c r="R97" s="1"/>
      <c r="S97" s="1"/>
      <c r="T97" s="1"/>
      <c r="U97" s="1"/>
      <c r="V97" s="1"/>
    </row>
    <row r="98" spans="1:22" ht="13.5" customHeight="1" x14ac:dyDescent="0.45">
      <c r="A98" s="1"/>
      <c r="B98" s="1"/>
      <c r="C98" s="1"/>
      <c r="D98" s="1"/>
      <c r="E98" s="1"/>
      <c r="F98" s="1"/>
      <c r="G98" s="1"/>
      <c r="H98" s="1"/>
      <c r="I98" s="1"/>
      <c r="J98" s="1"/>
      <c r="K98" s="1"/>
      <c r="L98" s="1"/>
      <c r="M98" s="1"/>
      <c r="N98" s="1"/>
      <c r="O98" s="1"/>
      <c r="P98" s="1"/>
      <c r="Q98" s="1"/>
      <c r="R98" s="1"/>
      <c r="S98" s="1"/>
      <c r="T98" s="1"/>
      <c r="U98" s="1"/>
      <c r="V98" s="1"/>
    </row>
    <row r="99" spans="1:22" ht="13.5" customHeight="1" x14ac:dyDescent="0.45">
      <c r="A99" s="1"/>
      <c r="B99" s="1"/>
      <c r="C99" s="1"/>
      <c r="D99" s="1"/>
      <c r="E99" s="1"/>
      <c r="F99" s="1"/>
      <c r="G99" s="1"/>
      <c r="H99" s="1"/>
      <c r="I99" s="1"/>
      <c r="J99" s="1"/>
      <c r="K99" s="1"/>
      <c r="L99" s="1"/>
      <c r="M99" s="1"/>
      <c r="N99" s="1"/>
      <c r="O99" s="1"/>
      <c r="P99" s="1"/>
      <c r="Q99" s="1"/>
      <c r="R99" s="1"/>
      <c r="S99" s="1"/>
      <c r="T99" s="1"/>
      <c r="U99" s="1"/>
      <c r="V99" s="1"/>
    </row>
    <row r="100" spans="1:22" ht="13.5" customHeight="1" x14ac:dyDescent="0.45">
      <c r="A100" s="1"/>
      <c r="B100" s="1"/>
      <c r="C100" s="1"/>
      <c r="D100" s="1"/>
      <c r="E100" s="1"/>
      <c r="F100" s="1"/>
      <c r="G100" s="1"/>
      <c r="H100" s="1"/>
      <c r="I100" s="1"/>
      <c r="J100" s="1"/>
      <c r="K100" s="1"/>
      <c r="L100" s="1"/>
      <c r="M100" s="1"/>
      <c r="N100" s="1"/>
      <c r="O100" s="1"/>
      <c r="P100" s="1"/>
      <c r="Q100" s="1"/>
      <c r="R100" s="1"/>
      <c r="S100" s="1"/>
      <c r="T100" s="1"/>
      <c r="U100" s="1"/>
      <c r="V100" s="1"/>
    </row>
    <row r="101" spans="1:22" ht="13.5" customHeight="1" x14ac:dyDescent="0.45">
      <c r="A101" s="1"/>
      <c r="B101" s="1"/>
      <c r="C101" s="1"/>
      <c r="D101" s="1"/>
      <c r="E101" s="1"/>
      <c r="F101" s="1"/>
      <c r="G101" s="1"/>
      <c r="H101" s="1"/>
      <c r="I101" s="1"/>
      <c r="J101" s="1"/>
      <c r="K101" s="1"/>
      <c r="L101" s="1"/>
      <c r="M101" s="1"/>
      <c r="N101" s="1"/>
      <c r="O101" s="1"/>
      <c r="P101" s="1"/>
      <c r="Q101" s="1"/>
      <c r="R101" s="1"/>
      <c r="S101" s="1"/>
      <c r="T101" s="1"/>
      <c r="U101" s="1"/>
      <c r="V101" s="1"/>
    </row>
    <row r="102" spans="1:22" ht="13.5" customHeight="1" x14ac:dyDescent="0.45">
      <c r="A102" s="1"/>
      <c r="B102" s="1"/>
      <c r="C102" s="1"/>
      <c r="D102" s="1"/>
      <c r="E102" s="1"/>
      <c r="F102" s="1"/>
      <c r="G102" s="1"/>
      <c r="H102" s="1"/>
      <c r="I102" s="1"/>
      <c r="J102" s="1"/>
      <c r="K102" s="1"/>
      <c r="L102" s="1"/>
      <c r="M102" s="1"/>
      <c r="N102" s="1"/>
      <c r="O102" s="1"/>
      <c r="P102" s="1"/>
      <c r="Q102" s="1"/>
      <c r="R102" s="1"/>
      <c r="S102" s="1"/>
      <c r="T102" s="1"/>
      <c r="U102" s="1"/>
      <c r="V102" s="1"/>
    </row>
    <row r="103" spans="1:22" ht="13.5" customHeight="1" x14ac:dyDescent="0.45">
      <c r="A103" s="1"/>
      <c r="B103" s="1"/>
      <c r="C103" s="1"/>
      <c r="D103" s="1"/>
      <c r="E103" s="1"/>
      <c r="F103" s="1"/>
      <c r="G103" s="1"/>
      <c r="H103" s="1"/>
      <c r="I103" s="1"/>
      <c r="J103" s="1"/>
      <c r="K103" s="1"/>
      <c r="L103" s="1"/>
      <c r="M103" s="1"/>
      <c r="N103" s="1"/>
      <c r="O103" s="1"/>
      <c r="P103" s="1"/>
      <c r="Q103" s="1"/>
      <c r="R103" s="1"/>
      <c r="S103" s="1"/>
      <c r="T103" s="1"/>
      <c r="U103" s="1"/>
      <c r="V103" s="1"/>
    </row>
    <row r="104" spans="1:22" ht="13.5" customHeight="1" x14ac:dyDescent="0.45">
      <c r="A104" s="1"/>
      <c r="B104" s="1"/>
      <c r="C104" s="1"/>
      <c r="D104" s="1"/>
      <c r="E104" s="1"/>
      <c r="F104" s="1"/>
      <c r="G104" s="1"/>
      <c r="H104" s="1"/>
      <c r="I104" s="1"/>
      <c r="J104" s="1"/>
      <c r="K104" s="1"/>
      <c r="L104" s="1"/>
      <c r="M104" s="1"/>
      <c r="N104" s="1"/>
      <c r="O104" s="1"/>
      <c r="P104" s="1"/>
      <c r="Q104" s="1"/>
      <c r="R104" s="1"/>
      <c r="S104" s="1"/>
      <c r="T104" s="1"/>
      <c r="U104" s="1"/>
      <c r="V104" s="1"/>
    </row>
    <row r="105" spans="1:22" ht="13.5" customHeight="1" x14ac:dyDescent="0.45">
      <c r="A105" s="1"/>
      <c r="B105" s="1"/>
      <c r="C105" s="1"/>
      <c r="D105" s="1"/>
      <c r="E105" s="1"/>
      <c r="F105" s="1"/>
      <c r="G105" s="1"/>
      <c r="H105" s="1"/>
      <c r="I105" s="1"/>
      <c r="J105" s="1"/>
      <c r="K105" s="1"/>
      <c r="L105" s="1"/>
      <c r="M105" s="1"/>
      <c r="N105" s="1"/>
      <c r="O105" s="1"/>
      <c r="P105" s="1"/>
      <c r="Q105" s="1"/>
      <c r="R105" s="1"/>
      <c r="S105" s="1"/>
      <c r="T105" s="1"/>
      <c r="U105" s="1"/>
      <c r="V105" s="1"/>
    </row>
    <row r="106" spans="1:22" ht="13.5" customHeight="1" x14ac:dyDescent="0.45">
      <c r="A106" s="1"/>
      <c r="B106" s="1"/>
      <c r="C106" s="1"/>
      <c r="D106" s="1"/>
      <c r="E106" s="1"/>
      <c r="F106" s="1"/>
      <c r="G106" s="1"/>
      <c r="H106" s="1"/>
      <c r="I106" s="1"/>
      <c r="J106" s="1"/>
      <c r="K106" s="1"/>
      <c r="L106" s="1"/>
      <c r="M106" s="1"/>
      <c r="N106" s="1"/>
      <c r="O106" s="1"/>
      <c r="P106" s="1"/>
      <c r="Q106" s="1"/>
      <c r="R106" s="1"/>
      <c r="S106" s="1"/>
      <c r="T106" s="1"/>
      <c r="U106" s="1"/>
      <c r="V106" s="1"/>
    </row>
    <row r="107" spans="1:22" ht="13.5" customHeight="1" x14ac:dyDescent="0.45">
      <c r="A107" s="1"/>
      <c r="B107" s="1"/>
      <c r="C107" s="1"/>
      <c r="D107" s="1"/>
      <c r="E107" s="1"/>
      <c r="F107" s="1"/>
      <c r="G107" s="1"/>
      <c r="H107" s="1"/>
      <c r="I107" s="1"/>
      <c r="J107" s="1"/>
      <c r="K107" s="1"/>
      <c r="L107" s="1"/>
      <c r="M107" s="1"/>
      <c r="N107" s="1"/>
      <c r="O107" s="1"/>
      <c r="P107" s="1"/>
      <c r="Q107" s="1"/>
      <c r="R107" s="1"/>
      <c r="S107" s="1"/>
      <c r="T107" s="1"/>
      <c r="U107" s="1"/>
      <c r="V107" s="1"/>
    </row>
    <row r="108" spans="1:22" ht="13.5" customHeight="1" x14ac:dyDescent="0.45">
      <c r="A108" s="1"/>
      <c r="B108" s="1"/>
      <c r="C108" s="1"/>
      <c r="D108" s="1"/>
      <c r="E108" s="1"/>
      <c r="F108" s="1"/>
      <c r="G108" s="1"/>
      <c r="H108" s="1"/>
      <c r="I108" s="1"/>
      <c r="J108" s="1"/>
      <c r="K108" s="1"/>
      <c r="L108" s="1"/>
      <c r="M108" s="1"/>
      <c r="N108" s="1"/>
      <c r="O108" s="1"/>
      <c r="P108" s="1"/>
      <c r="Q108" s="1"/>
      <c r="R108" s="1"/>
      <c r="S108" s="1"/>
      <c r="T108" s="1"/>
      <c r="U108" s="1"/>
      <c r="V108" s="1"/>
    </row>
    <row r="109" spans="1:22" ht="13.5" customHeight="1" x14ac:dyDescent="0.45">
      <c r="A109" s="1"/>
      <c r="B109" s="1"/>
      <c r="C109" s="1"/>
      <c r="D109" s="1"/>
      <c r="E109" s="1"/>
      <c r="F109" s="1"/>
      <c r="G109" s="1"/>
      <c r="H109" s="1"/>
      <c r="I109" s="1"/>
      <c r="J109" s="1"/>
      <c r="K109" s="1"/>
      <c r="L109" s="1"/>
      <c r="M109" s="1"/>
      <c r="N109" s="1"/>
      <c r="O109" s="1"/>
      <c r="P109" s="1"/>
      <c r="Q109" s="1"/>
      <c r="R109" s="1"/>
      <c r="S109" s="1"/>
      <c r="T109" s="1"/>
      <c r="U109" s="1"/>
      <c r="V109" s="1"/>
    </row>
    <row r="110" spans="1:22" ht="13.5" customHeight="1" x14ac:dyDescent="0.45">
      <c r="A110" s="1"/>
      <c r="B110" s="1"/>
      <c r="C110" s="1"/>
      <c r="D110" s="1"/>
      <c r="E110" s="1"/>
      <c r="F110" s="1"/>
      <c r="G110" s="1"/>
      <c r="H110" s="1"/>
      <c r="I110" s="1"/>
      <c r="J110" s="1"/>
      <c r="K110" s="1"/>
      <c r="L110" s="1"/>
      <c r="M110" s="1"/>
      <c r="N110" s="1"/>
      <c r="O110" s="1"/>
      <c r="P110" s="1"/>
      <c r="Q110" s="1"/>
      <c r="R110" s="1"/>
      <c r="S110" s="1"/>
      <c r="T110" s="1"/>
      <c r="U110" s="1"/>
      <c r="V110" s="1"/>
    </row>
    <row r="111" spans="1:22" ht="13.5" customHeight="1" x14ac:dyDescent="0.45">
      <c r="A111" s="1"/>
      <c r="B111" s="1"/>
      <c r="C111" s="1"/>
      <c r="D111" s="1"/>
      <c r="E111" s="1"/>
      <c r="F111" s="1"/>
      <c r="G111" s="1"/>
      <c r="H111" s="1"/>
      <c r="I111" s="1"/>
      <c r="J111" s="1"/>
      <c r="K111" s="1"/>
      <c r="L111" s="1"/>
      <c r="M111" s="1"/>
      <c r="N111" s="1"/>
      <c r="O111" s="1"/>
      <c r="P111" s="1"/>
      <c r="Q111" s="1"/>
      <c r="R111" s="1"/>
      <c r="S111" s="1"/>
      <c r="T111" s="1"/>
      <c r="U111" s="1"/>
      <c r="V111" s="1"/>
    </row>
    <row r="112" spans="1:22" ht="13.5" customHeight="1" x14ac:dyDescent="0.45">
      <c r="A112" s="1"/>
      <c r="B112" s="1"/>
      <c r="C112" s="1"/>
      <c r="D112" s="1"/>
      <c r="E112" s="1"/>
      <c r="F112" s="1"/>
      <c r="G112" s="1"/>
      <c r="H112" s="1"/>
      <c r="I112" s="1"/>
      <c r="J112" s="1"/>
      <c r="K112" s="1"/>
      <c r="L112" s="1"/>
      <c r="M112" s="1"/>
      <c r="N112" s="1"/>
      <c r="O112" s="1"/>
      <c r="P112" s="1"/>
      <c r="Q112" s="1"/>
      <c r="R112" s="1"/>
      <c r="S112" s="1"/>
      <c r="T112" s="1"/>
      <c r="U112" s="1"/>
      <c r="V112" s="1"/>
    </row>
    <row r="113" spans="1:22" ht="13.5" customHeight="1" x14ac:dyDescent="0.45">
      <c r="A113" s="1"/>
      <c r="B113" s="1"/>
      <c r="C113" s="1"/>
      <c r="D113" s="1"/>
      <c r="E113" s="1"/>
      <c r="F113" s="1"/>
      <c r="G113" s="1"/>
      <c r="H113" s="1"/>
      <c r="I113" s="1"/>
      <c r="J113" s="1"/>
      <c r="K113" s="1"/>
      <c r="L113" s="1"/>
      <c r="M113" s="1"/>
      <c r="N113" s="1"/>
      <c r="O113" s="1"/>
      <c r="P113" s="1"/>
      <c r="Q113" s="1"/>
      <c r="R113" s="1"/>
      <c r="S113" s="1"/>
      <c r="T113" s="1"/>
      <c r="U113" s="1"/>
      <c r="V113" s="1"/>
    </row>
    <row r="114" spans="1:22" ht="13.5" customHeight="1" x14ac:dyDescent="0.45">
      <c r="A114" s="1"/>
      <c r="B114" s="1"/>
      <c r="C114" s="1"/>
      <c r="D114" s="1"/>
      <c r="E114" s="1"/>
      <c r="F114" s="1"/>
      <c r="G114" s="1"/>
      <c r="H114" s="1"/>
      <c r="I114" s="1"/>
      <c r="J114" s="1"/>
      <c r="K114" s="1"/>
      <c r="L114" s="1"/>
      <c r="M114" s="1"/>
      <c r="N114" s="1"/>
      <c r="O114" s="1"/>
      <c r="P114" s="1"/>
      <c r="Q114" s="1"/>
      <c r="R114" s="1"/>
      <c r="S114" s="1"/>
      <c r="T114" s="1"/>
      <c r="U114" s="1"/>
      <c r="V114" s="1"/>
    </row>
    <row r="115" spans="1:22" ht="13.5" customHeight="1" x14ac:dyDescent="0.45">
      <c r="A115" s="1"/>
      <c r="B115" s="1"/>
      <c r="C115" s="1"/>
      <c r="D115" s="1"/>
      <c r="E115" s="1"/>
      <c r="F115" s="1"/>
      <c r="G115" s="1"/>
      <c r="H115" s="1"/>
      <c r="I115" s="1"/>
      <c r="J115" s="1"/>
      <c r="K115" s="1"/>
      <c r="L115" s="1"/>
      <c r="M115" s="1"/>
      <c r="N115" s="1"/>
      <c r="O115" s="1"/>
      <c r="P115" s="1"/>
      <c r="Q115" s="1"/>
      <c r="R115" s="1"/>
      <c r="S115" s="1"/>
      <c r="T115" s="1"/>
      <c r="U115" s="1"/>
      <c r="V115" s="1"/>
    </row>
    <row r="116" spans="1:22" ht="13.5" customHeight="1" x14ac:dyDescent="0.45">
      <c r="A116" s="1"/>
      <c r="B116" s="1"/>
      <c r="C116" s="1"/>
      <c r="D116" s="1"/>
      <c r="E116" s="1"/>
      <c r="F116" s="1"/>
      <c r="G116" s="1"/>
      <c r="H116" s="1"/>
      <c r="I116" s="1"/>
      <c r="J116" s="1"/>
      <c r="K116" s="1"/>
      <c r="L116" s="1"/>
      <c r="M116" s="1"/>
      <c r="N116" s="1"/>
      <c r="O116" s="1"/>
      <c r="P116" s="1"/>
      <c r="Q116" s="1"/>
      <c r="R116" s="1"/>
      <c r="S116" s="1"/>
      <c r="T116" s="1"/>
      <c r="U116" s="1"/>
      <c r="V116" s="1"/>
    </row>
    <row r="117" spans="1:22" ht="13.5" customHeight="1" x14ac:dyDescent="0.45">
      <c r="A117" s="1"/>
      <c r="B117" s="1"/>
      <c r="C117" s="1"/>
      <c r="D117" s="1"/>
      <c r="E117" s="1"/>
      <c r="F117" s="1"/>
      <c r="G117" s="1"/>
      <c r="H117" s="1"/>
      <c r="I117" s="1"/>
      <c r="J117" s="1"/>
      <c r="K117" s="1"/>
      <c r="L117" s="1"/>
      <c r="M117" s="1"/>
      <c r="N117" s="1"/>
      <c r="O117" s="1"/>
      <c r="P117" s="1"/>
      <c r="Q117" s="1"/>
      <c r="R117" s="1"/>
      <c r="S117" s="1"/>
      <c r="T117" s="1"/>
      <c r="U117" s="1"/>
      <c r="V117" s="1"/>
    </row>
    <row r="118" spans="1:22" ht="13.5" customHeight="1" x14ac:dyDescent="0.45">
      <c r="A118" s="1"/>
      <c r="B118" s="1"/>
      <c r="C118" s="1"/>
      <c r="D118" s="1"/>
      <c r="E118" s="1"/>
      <c r="F118" s="1"/>
      <c r="G118" s="1"/>
      <c r="H118" s="1"/>
      <c r="I118" s="1"/>
      <c r="J118" s="1"/>
      <c r="K118" s="1"/>
      <c r="L118" s="1"/>
      <c r="M118" s="1"/>
      <c r="N118" s="1"/>
      <c r="O118" s="1"/>
      <c r="P118" s="1"/>
      <c r="Q118" s="1"/>
      <c r="R118" s="1"/>
      <c r="S118" s="1"/>
      <c r="T118" s="1"/>
      <c r="U118" s="1"/>
      <c r="V118" s="1"/>
    </row>
    <row r="119" spans="1:22" ht="13.5" customHeight="1" x14ac:dyDescent="0.45">
      <c r="A119" s="1"/>
      <c r="B119" s="1"/>
      <c r="C119" s="1"/>
      <c r="D119" s="1"/>
      <c r="E119" s="1"/>
      <c r="F119" s="1"/>
      <c r="G119" s="1"/>
      <c r="H119" s="1"/>
      <c r="I119" s="1"/>
      <c r="J119" s="1"/>
      <c r="K119" s="1"/>
      <c r="L119" s="1"/>
      <c r="M119" s="1"/>
      <c r="N119" s="1"/>
      <c r="O119" s="1"/>
      <c r="P119" s="1"/>
      <c r="Q119" s="1"/>
      <c r="R119" s="1"/>
      <c r="S119" s="1"/>
      <c r="T119" s="1"/>
      <c r="U119" s="1"/>
      <c r="V119" s="1"/>
    </row>
    <row r="120" spans="1:22" ht="13.5" customHeight="1" x14ac:dyDescent="0.45">
      <c r="A120" s="1"/>
      <c r="B120" s="1"/>
      <c r="C120" s="1"/>
      <c r="D120" s="1"/>
      <c r="E120" s="1"/>
      <c r="F120" s="1"/>
      <c r="G120" s="1"/>
      <c r="H120" s="1"/>
      <c r="I120" s="1"/>
      <c r="J120" s="1"/>
      <c r="K120" s="1"/>
      <c r="L120" s="1"/>
      <c r="M120" s="1"/>
      <c r="N120" s="1"/>
      <c r="O120" s="1"/>
      <c r="P120" s="1"/>
      <c r="Q120" s="1"/>
      <c r="R120" s="1"/>
      <c r="S120" s="1"/>
      <c r="T120" s="1"/>
      <c r="U120" s="1"/>
      <c r="V120" s="1"/>
    </row>
    <row r="121" spans="1:22" ht="13.5" customHeight="1" x14ac:dyDescent="0.45">
      <c r="A121" s="1"/>
      <c r="B121" s="1"/>
      <c r="C121" s="1"/>
      <c r="D121" s="1"/>
      <c r="E121" s="1"/>
      <c r="F121" s="1"/>
      <c r="G121" s="1"/>
      <c r="H121" s="1"/>
      <c r="I121" s="1"/>
      <c r="J121" s="1"/>
      <c r="K121" s="1"/>
      <c r="L121" s="1"/>
      <c r="M121" s="1"/>
      <c r="N121" s="1"/>
      <c r="O121" s="1"/>
      <c r="P121" s="1"/>
      <c r="Q121" s="1"/>
      <c r="R121" s="1"/>
      <c r="S121" s="1"/>
      <c r="T121" s="1"/>
      <c r="U121" s="1"/>
      <c r="V121" s="1"/>
    </row>
    <row r="122" spans="1:22" ht="13.5" customHeight="1" x14ac:dyDescent="0.45">
      <c r="A122" s="1"/>
      <c r="B122" s="1"/>
      <c r="C122" s="1"/>
      <c r="D122" s="1"/>
      <c r="E122" s="1"/>
      <c r="F122" s="1"/>
      <c r="G122" s="1"/>
      <c r="H122" s="1"/>
      <c r="I122" s="1"/>
      <c r="J122" s="1"/>
      <c r="K122" s="1"/>
      <c r="L122" s="1"/>
      <c r="M122" s="1"/>
      <c r="N122" s="1"/>
      <c r="O122" s="1"/>
      <c r="P122" s="1"/>
      <c r="Q122" s="1"/>
      <c r="R122" s="1"/>
      <c r="S122" s="1"/>
      <c r="T122" s="1"/>
      <c r="U122" s="1"/>
      <c r="V122" s="1"/>
    </row>
    <row r="123" spans="1:22" ht="13.5" customHeight="1" x14ac:dyDescent="0.45">
      <c r="A123" s="1"/>
      <c r="B123" s="1"/>
      <c r="C123" s="1"/>
      <c r="D123" s="1"/>
      <c r="E123" s="1"/>
      <c r="F123" s="1"/>
      <c r="G123" s="1"/>
      <c r="H123" s="1"/>
      <c r="I123" s="1"/>
      <c r="J123" s="1"/>
      <c r="K123" s="1"/>
      <c r="L123" s="1"/>
      <c r="M123" s="1"/>
      <c r="N123" s="1"/>
      <c r="O123" s="1"/>
      <c r="P123" s="1"/>
      <c r="Q123" s="1"/>
      <c r="R123" s="1"/>
      <c r="S123" s="1"/>
      <c r="T123" s="1"/>
      <c r="U123" s="1"/>
      <c r="V123" s="1"/>
    </row>
    <row r="124" spans="1:22" ht="13.5" customHeight="1" x14ac:dyDescent="0.45">
      <c r="A124" s="1"/>
      <c r="B124" s="1"/>
      <c r="C124" s="1"/>
      <c r="D124" s="1"/>
      <c r="E124" s="1"/>
      <c r="F124" s="1"/>
      <c r="G124" s="1"/>
      <c r="H124" s="1"/>
      <c r="I124" s="1"/>
      <c r="J124" s="1"/>
      <c r="K124" s="1"/>
      <c r="L124" s="1"/>
      <c r="M124" s="1"/>
      <c r="N124" s="1"/>
      <c r="O124" s="1"/>
      <c r="P124" s="1"/>
      <c r="Q124" s="1"/>
      <c r="R124" s="1"/>
      <c r="S124" s="1"/>
      <c r="T124" s="1"/>
      <c r="U124" s="1"/>
      <c r="V124" s="1"/>
    </row>
    <row r="125" spans="1:22" ht="13.5" customHeight="1" x14ac:dyDescent="0.45">
      <c r="A125" s="1"/>
      <c r="B125" s="1"/>
      <c r="C125" s="1"/>
      <c r="D125" s="1"/>
      <c r="E125" s="1"/>
      <c r="F125" s="1"/>
      <c r="G125" s="1"/>
      <c r="H125" s="1"/>
      <c r="I125" s="1"/>
      <c r="J125" s="1"/>
      <c r="K125" s="1"/>
      <c r="L125" s="1"/>
      <c r="M125" s="1"/>
      <c r="N125" s="1"/>
      <c r="O125" s="1"/>
      <c r="P125" s="1"/>
      <c r="Q125" s="1"/>
      <c r="R125" s="1"/>
      <c r="S125" s="1"/>
      <c r="T125" s="1"/>
      <c r="U125" s="1"/>
      <c r="V125" s="1"/>
    </row>
    <row r="126" spans="1:22" ht="13.5" customHeight="1" x14ac:dyDescent="0.45">
      <c r="A126" s="1"/>
      <c r="B126" s="1"/>
      <c r="C126" s="1"/>
      <c r="D126" s="1"/>
      <c r="E126" s="1"/>
      <c r="F126" s="1"/>
      <c r="G126" s="1"/>
      <c r="H126" s="1"/>
      <c r="I126" s="1"/>
      <c r="J126" s="1"/>
      <c r="K126" s="1"/>
      <c r="L126" s="1"/>
      <c r="M126" s="1"/>
      <c r="N126" s="1"/>
      <c r="O126" s="1"/>
      <c r="P126" s="1"/>
      <c r="Q126" s="1"/>
      <c r="R126" s="1"/>
      <c r="S126" s="1"/>
      <c r="T126" s="1"/>
      <c r="U126" s="1"/>
      <c r="V126" s="1"/>
    </row>
    <row r="127" spans="1:22" ht="13.5" customHeight="1" x14ac:dyDescent="0.45">
      <c r="A127" s="1"/>
      <c r="B127" s="1"/>
      <c r="C127" s="1"/>
      <c r="D127" s="1"/>
      <c r="E127" s="1"/>
      <c r="F127" s="1"/>
      <c r="G127" s="1"/>
      <c r="H127" s="1"/>
      <c r="I127" s="1"/>
      <c r="J127" s="1"/>
      <c r="K127" s="1"/>
      <c r="L127" s="1"/>
      <c r="M127" s="1"/>
      <c r="N127" s="1"/>
      <c r="O127" s="1"/>
      <c r="P127" s="1"/>
      <c r="Q127" s="1"/>
      <c r="R127" s="1"/>
      <c r="S127" s="1"/>
      <c r="T127" s="1"/>
      <c r="U127" s="1"/>
      <c r="V127" s="1"/>
    </row>
    <row r="128" spans="1:22" ht="13.5" customHeight="1" x14ac:dyDescent="0.45">
      <c r="A128" s="1"/>
      <c r="B128" s="1"/>
      <c r="C128" s="1"/>
      <c r="D128" s="1"/>
      <c r="E128" s="1"/>
      <c r="F128" s="1"/>
      <c r="G128" s="1"/>
      <c r="H128" s="1"/>
      <c r="I128" s="1"/>
      <c r="J128" s="1"/>
      <c r="K128" s="1"/>
      <c r="L128" s="1"/>
      <c r="M128" s="1"/>
      <c r="N128" s="1"/>
      <c r="O128" s="1"/>
      <c r="P128" s="1"/>
      <c r="Q128" s="1"/>
      <c r="R128" s="1"/>
      <c r="S128" s="1"/>
      <c r="T128" s="1"/>
      <c r="U128" s="1"/>
      <c r="V128" s="1"/>
    </row>
    <row r="129" spans="1:22" ht="13.5" customHeight="1" x14ac:dyDescent="0.45">
      <c r="A129" s="1"/>
      <c r="B129" s="1"/>
      <c r="C129" s="1"/>
      <c r="D129" s="1"/>
      <c r="E129" s="1"/>
      <c r="F129" s="1"/>
      <c r="G129" s="1"/>
      <c r="H129" s="1"/>
      <c r="I129" s="1"/>
      <c r="J129" s="1"/>
      <c r="K129" s="1"/>
      <c r="L129" s="1"/>
      <c r="M129" s="1"/>
      <c r="N129" s="1"/>
      <c r="O129" s="1"/>
      <c r="P129" s="1"/>
      <c r="Q129" s="1"/>
      <c r="R129" s="1"/>
      <c r="S129" s="1"/>
      <c r="T129" s="1"/>
      <c r="U129" s="1"/>
      <c r="V129" s="1"/>
    </row>
    <row r="130" spans="1:22" ht="13.5" customHeight="1" x14ac:dyDescent="0.45">
      <c r="A130" s="1"/>
      <c r="B130" s="1"/>
      <c r="C130" s="1"/>
      <c r="D130" s="1"/>
      <c r="E130" s="1"/>
      <c r="F130" s="1"/>
      <c r="G130" s="1"/>
      <c r="H130" s="1"/>
      <c r="I130" s="1"/>
      <c r="J130" s="1"/>
      <c r="K130" s="1"/>
      <c r="L130" s="1"/>
      <c r="M130" s="1"/>
      <c r="N130" s="1"/>
      <c r="O130" s="1"/>
      <c r="P130" s="1"/>
      <c r="Q130" s="1"/>
      <c r="R130" s="1"/>
      <c r="S130" s="1"/>
      <c r="T130" s="1"/>
      <c r="U130" s="1"/>
      <c r="V130" s="1"/>
    </row>
    <row r="131" spans="1:22" ht="13.5" customHeight="1" x14ac:dyDescent="0.45">
      <c r="A131" s="1"/>
      <c r="B131" s="1"/>
      <c r="C131" s="1"/>
      <c r="D131" s="1"/>
      <c r="E131" s="1"/>
      <c r="F131" s="1"/>
      <c r="G131" s="1"/>
      <c r="H131" s="1"/>
      <c r="I131" s="1"/>
      <c r="J131" s="1"/>
      <c r="K131" s="1"/>
      <c r="L131" s="1"/>
      <c r="M131" s="1"/>
      <c r="N131" s="1"/>
      <c r="O131" s="1"/>
      <c r="P131" s="1"/>
      <c r="Q131" s="1"/>
      <c r="R131" s="1"/>
      <c r="S131" s="1"/>
      <c r="T131" s="1"/>
      <c r="U131" s="1"/>
      <c r="V131" s="1"/>
    </row>
    <row r="132" spans="1:22" ht="13.5" customHeight="1" x14ac:dyDescent="0.45">
      <c r="A132" s="1"/>
      <c r="B132" s="1"/>
      <c r="C132" s="1"/>
      <c r="D132" s="1"/>
      <c r="E132" s="1"/>
      <c r="F132" s="1"/>
      <c r="G132" s="1"/>
      <c r="H132" s="1"/>
      <c r="I132" s="1"/>
      <c r="J132" s="1"/>
      <c r="K132" s="1"/>
      <c r="L132" s="1"/>
      <c r="M132" s="1"/>
      <c r="N132" s="1"/>
      <c r="O132" s="1"/>
      <c r="P132" s="1"/>
      <c r="Q132" s="1"/>
      <c r="R132" s="1"/>
      <c r="S132" s="1"/>
      <c r="T132" s="1"/>
      <c r="U132" s="1"/>
      <c r="V132" s="1"/>
    </row>
    <row r="133" spans="1:22" ht="13.5" customHeight="1" x14ac:dyDescent="0.45">
      <c r="A133" s="1"/>
      <c r="B133" s="1"/>
      <c r="C133" s="1"/>
      <c r="D133" s="1"/>
      <c r="E133" s="1"/>
      <c r="F133" s="1"/>
      <c r="G133" s="1"/>
      <c r="H133" s="1"/>
      <c r="I133" s="1"/>
      <c r="J133" s="1"/>
      <c r="K133" s="1"/>
      <c r="L133" s="1"/>
      <c r="M133" s="1"/>
      <c r="N133" s="1"/>
      <c r="O133" s="1"/>
      <c r="P133" s="1"/>
      <c r="Q133" s="1"/>
      <c r="R133" s="1"/>
      <c r="S133" s="1"/>
      <c r="T133" s="1"/>
      <c r="U133" s="1"/>
      <c r="V133" s="1"/>
    </row>
    <row r="134" spans="1:22" ht="13.5" customHeight="1" x14ac:dyDescent="0.45">
      <c r="A134" s="1"/>
      <c r="B134" s="1"/>
      <c r="C134" s="1"/>
      <c r="D134" s="1"/>
      <c r="E134" s="1"/>
      <c r="F134" s="1"/>
      <c r="G134" s="1"/>
      <c r="H134" s="1"/>
      <c r="I134" s="1"/>
      <c r="J134" s="1"/>
      <c r="K134" s="1"/>
      <c r="L134" s="1"/>
      <c r="M134" s="1"/>
      <c r="N134" s="1"/>
      <c r="O134" s="1"/>
      <c r="P134" s="1"/>
      <c r="Q134" s="1"/>
      <c r="R134" s="1"/>
      <c r="S134" s="1"/>
      <c r="T134" s="1"/>
      <c r="U134" s="1"/>
      <c r="V134" s="1"/>
    </row>
    <row r="135" spans="1:22" ht="13.5" customHeight="1" x14ac:dyDescent="0.45">
      <c r="A135" s="1"/>
      <c r="B135" s="1"/>
      <c r="C135" s="1"/>
      <c r="D135" s="1"/>
      <c r="E135" s="1"/>
      <c r="F135" s="1"/>
      <c r="G135" s="1"/>
      <c r="H135" s="1"/>
      <c r="I135" s="1"/>
      <c r="J135" s="1"/>
      <c r="K135" s="1"/>
      <c r="L135" s="1"/>
      <c r="M135" s="1"/>
      <c r="N135" s="1"/>
      <c r="O135" s="1"/>
      <c r="P135" s="1"/>
      <c r="Q135" s="1"/>
      <c r="R135" s="1"/>
      <c r="S135" s="1"/>
      <c r="T135" s="1"/>
      <c r="U135" s="1"/>
      <c r="V135" s="1"/>
    </row>
    <row r="136" spans="1:22" ht="13.5" customHeight="1" x14ac:dyDescent="0.45">
      <c r="A136" s="1"/>
      <c r="B136" s="1"/>
      <c r="C136" s="1"/>
      <c r="D136" s="1"/>
      <c r="E136" s="1"/>
      <c r="F136" s="1"/>
      <c r="G136" s="1"/>
      <c r="H136" s="1"/>
      <c r="I136" s="1"/>
      <c r="J136" s="1"/>
      <c r="K136" s="1"/>
      <c r="L136" s="1"/>
      <c r="M136" s="1"/>
      <c r="N136" s="1"/>
      <c r="O136" s="1"/>
      <c r="P136" s="1"/>
      <c r="Q136" s="1"/>
      <c r="R136" s="1"/>
      <c r="S136" s="1"/>
      <c r="T136" s="1"/>
      <c r="U136" s="1"/>
      <c r="V136" s="1"/>
    </row>
    <row r="137" spans="1:22" ht="13.5" customHeight="1" x14ac:dyDescent="0.45">
      <c r="A137" s="1"/>
      <c r="B137" s="1"/>
      <c r="C137" s="1"/>
      <c r="D137" s="1"/>
      <c r="E137" s="1"/>
      <c r="F137" s="1"/>
      <c r="G137" s="1"/>
      <c r="H137" s="1"/>
      <c r="I137" s="1"/>
      <c r="J137" s="1"/>
      <c r="K137" s="1"/>
      <c r="L137" s="1"/>
      <c r="M137" s="1"/>
      <c r="N137" s="1"/>
      <c r="O137" s="1"/>
      <c r="P137" s="1"/>
      <c r="Q137" s="1"/>
      <c r="R137" s="1"/>
      <c r="S137" s="1"/>
      <c r="T137" s="1"/>
      <c r="U137" s="1"/>
      <c r="V137" s="1"/>
    </row>
    <row r="138" spans="1:22" ht="13.5" customHeight="1" x14ac:dyDescent="0.45">
      <c r="A138" s="1"/>
      <c r="B138" s="1"/>
      <c r="C138" s="1"/>
      <c r="D138" s="1"/>
      <c r="E138" s="1"/>
      <c r="F138" s="1"/>
      <c r="G138" s="1"/>
      <c r="H138" s="1"/>
      <c r="I138" s="1"/>
      <c r="J138" s="1"/>
      <c r="K138" s="1"/>
      <c r="L138" s="1"/>
      <c r="M138" s="1"/>
      <c r="N138" s="1"/>
      <c r="O138" s="1"/>
      <c r="P138" s="1"/>
      <c r="Q138" s="1"/>
      <c r="R138" s="1"/>
      <c r="S138" s="1"/>
      <c r="T138" s="1"/>
      <c r="U138" s="1"/>
      <c r="V138" s="1"/>
    </row>
    <row r="139" spans="1:22" ht="13.5" customHeight="1" x14ac:dyDescent="0.45">
      <c r="A139" s="1"/>
      <c r="B139" s="1"/>
      <c r="C139" s="1"/>
      <c r="D139" s="1"/>
      <c r="E139" s="1"/>
      <c r="F139" s="1"/>
      <c r="G139" s="1"/>
      <c r="H139" s="1"/>
      <c r="I139" s="1"/>
      <c r="J139" s="1"/>
      <c r="K139" s="1"/>
      <c r="L139" s="1"/>
      <c r="M139" s="1"/>
      <c r="N139" s="1"/>
      <c r="O139" s="1"/>
      <c r="P139" s="1"/>
      <c r="Q139" s="1"/>
      <c r="R139" s="1"/>
      <c r="S139" s="1"/>
      <c r="T139" s="1"/>
      <c r="U139" s="1"/>
      <c r="V139" s="1"/>
    </row>
    <row r="140" spans="1:22" ht="13.5" customHeight="1" x14ac:dyDescent="0.45">
      <c r="A140" s="1"/>
      <c r="B140" s="1"/>
      <c r="C140" s="1"/>
      <c r="D140" s="1"/>
      <c r="E140" s="1"/>
      <c r="F140" s="1"/>
      <c r="G140" s="1"/>
      <c r="H140" s="1"/>
      <c r="I140" s="1"/>
      <c r="J140" s="1"/>
      <c r="K140" s="1"/>
      <c r="L140" s="1"/>
      <c r="M140" s="1"/>
      <c r="N140" s="1"/>
      <c r="O140" s="1"/>
      <c r="P140" s="1"/>
      <c r="Q140" s="1"/>
      <c r="R140" s="1"/>
      <c r="S140" s="1"/>
      <c r="T140" s="1"/>
      <c r="U140" s="1"/>
      <c r="V140" s="1"/>
    </row>
    <row r="141" spans="1:22" ht="13.5" customHeight="1" x14ac:dyDescent="0.45">
      <c r="A141" s="1"/>
      <c r="B141" s="1"/>
      <c r="C141" s="1"/>
      <c r="D141" s="1"/>
      <c r="E141" s="1"/>
      <c r="F141" s="1"/>
      <c r="G141" s="1"/>
      <c r="H141" s="1"/>
      <c r="I141" s="1"/>
      <c r="J141" s="1"/>
      <c r="K141" s="1"/>
      <c r="L141" s="1"/>
      <c r="M141" s="1"/>
      <c r="N141" s="1"/>
      <c r="O141" s="1"/>
      <c r="P141" s="1"/>
      <c r="Q141" s="1"/>
      <c r="R141" s="1"/>
      <c r="S141" s="1"/>
      <c r="T141" s="1"/>
      <c r="U141" s="1"/>
      <c r="V141" s="1"/>
    </row>
    <row r="142" spans="1:22" ht="13.5" customHeight="1" x14ac:dyDescent="0.45">
      <c r="A142" s="1"/>
      <c r="B142" s="1"/>
      <c r="C142" s="1"/>
      <c r="D142" s="1"/>
      <c r="E142" s="1"/>
      <c r="F142" s="1"/>
      <c r="G142" s="1"/>
      <c r="H142" s="1"/>
      <c r="I142" s="1"/>
      <c r="J142" s="1"/>
      <c r="K142" s="1"/>
      <c r="L142" s="1"/>
      <c r="M142" s="1"/>
      <c r="N142" s="1"/>
      <c r="O142" s="1"/>
      <c r="P142" s="1"/>
      <c r="Q142" s="1"/>
      <c r="R142" s="1"/>
      <c r="S142" s="1"/>
      <c r="T142" s="1"/>
      <c r="U142" s="1"/>
      <c r="V142" s="1"/>
    </row>
    <row r="143" spans="1:22" ht="13.5" customHeight="1" x14ac:dyDescent="0.45">
      <c r="A143" s="1"/>
      <c r="B143" s="1"/>
      <c r="C143" s="1"/>
      <c r="D143" s="1"/>
      <c r="E143" s="1"/>
      <c r="F143" s="1"/>
      <c r="G143" s="1"/>
      <c r="H143" s="1"/>
      <c r="I143" s="1"/>
      <c r="J143" s="1"/>
      <c r="K143" s="1"/>
      <c r="L143" s="1"/>
      <c r="M143" s="1"/>
      <c r="N143" s="1"/>
      <c r="O143" s="1"/>
      <c r="P143" s="1"/>
      <c r="Q143" s="1"/>
      <c r="R143" s="1"/>
      <c r="S143" s="1"/>
      <c r="T143" s="1"/>
      <c r="U143" s="1"/>
      <c r="V143" s="1"/>
    </row>
    <row r="144" spans="1:22" ht="13.5" customHeight="1" x14ac:dyDescent="0.45">
      <c r="A144" s="1"/>
      <c r="B144" s="1"/>
      <c r="C144" s="1"/>
      <c r="D144" s="1"/>
      <c r="E144" s="1"/>
      <c r="F144" s="1"/>
      <c r="G144" s="1"/>
      <c r="H144" s="1"/>
      <c r="I144" s="1"/>
      <c r="J144" s="1"/>
      <c r="K144" s="1"/>
      <c r="L144" s="1"/>
      <c r="M144" s="1"/>
      <c r="N144" s="1"/>
      <c r="O144" s="1"/>
      <c r="P144" s="1"/>
      <c r="Q144" s="1"/>
      <c r="R144" s="1"/>
      <c r="S144" s="1"/>
      <c r="T144" s="1"/>
      <c r="U144" s="1"/>
      <c r="V144" s="1"/>
    </row>
    <row r="145" spans="1:22" ht="13.5" customHeight="1" x14ac:dyDescent="0.45">
      <c r="A145" s="1"/>
      <c r="B145" s="1"/>
      <c r="C145" s="1"/>
      <c r="D145" s="1"/>
      <c r="E145" s="1"/>
      <c r="F145" s="1"/>
      <c r="G145" s="1"/>
      <c r="H145" s="1"/>
      <c r="I145" s="1"/>
      <c r="J145" s="1"/>
      <c r="K145" s="1"/>
      <c r="L145" s="1"/>
      <c r="M145" s="1"/>
      <c r="N145" s="1"/>
      <c r="O145" s="1"/>
      <c r="P145" s="1"/>
      <c r="Q145" s="1"/>
      <c r="R145" s="1"/>
      <c r="S145" s="1"/>
      <c r="T145" s="1"/>
      <c r="U145" s="1"/>
      <c r="V145" s="1"/>
    </row>
    <row r="146" spans="1:22" ht="13.5" customHeight="1" x14ac:dyDescent="0.45">
      <c r="A146" s="1"/>
      <c r="B146" s="1"/>
      <c r="C146" s="1"/>
      <c r="D146" s="1"/>
      <c r="E146" s="1"/>
      <c r="F146" s="1"/>
      <c r="G146" s="1"/>
      <c r="H146" s="1"/>
      <c r="I146" s="1"/>
      <c r="J146" s="1"/>
      <c r="K146" s="1"/>
      <c r="L146" s="1"/>
      <c r="M146" s="1"/>
      <c r="N146" s="1"/>
      <c r="O146" s="1"/>
      <c r="P146" s="1"/>
      <c r="Q146" s="1"/>
      <c r="R146" s="1"/>
      <c r="S146" s="1"/>
      <c r="T146" s="1"/>
      <c r="U146" s="1"/>
      <c r="V146" s="1"/>
    </row>
    <row r="147" spans="1:22" ht="13.5" customHeight="1" x14ac:dyDescent="0.45">
      <c r="A147" s="1"/>
      <c r="B147" s="1"/>
      <c r="C147" s="1"/>
      <c r="D147" s="1"/>
      <c r="E147" s="1"/>
      <c r="F147" s="1"/>
      <c r="G147" s="1"/>
      <c r="H147" s="1"/>
      <c r="I147" s="1"/>
      <c r="J147" s="1"/>
      <c r="K147" s="1"/>
      <c r="L147" s="1"/>
      <c r="M147" s="1"/>
      <c r="N147" s="1"/>
      <c r="O147" s="1"/>
      <c r="P147" s="1"/>
      <c r="Q147" s="1"/>
      <c r="R147" s="1"/>
      <c r="S147" s="1"/>
      <c r="T147" s="1"/>
      <c r="U147" s="1"/>
      <c r="V147" s="1"/>
    </row>
    <row r="148" spans="1:22" ht="13.5" customHeight="1" x14ac:dyDescent="0.45">
      <c r="A148" s="1"/>
      <c r="B148" s="1"/>
      <c r="C148" s="1"/>
      <c r="D148" s="1"/>
      <c r="E148" s="1"/>
      <c r="F148" s="1"/>
      <c r="G148" s="1"/>
      <c r="H148" s="1"/>
      <c r="I148" s="1"/>
      <c r="J148" s="1"/>
      <c r="K148" s="1"/>
      <c r="L148" s="1"/>
      <c r="M148" s="1"/>
      <c r="N148" s="1"/>
      <c r="O148" s="1"/>
      <c r="P148" s="1"/>
      <c r="Q148" s="1"/>
      <c r="R148" s="1"/>
      <c r="S148" s="1"/>
      <c r="T148" s="1"/>
      <c r="U148" s="1"/>
      <c r="V148" s="1"/>
    </row>
    <row r="149" spans="1:22" ht="13.5" customHeight="1" x14ac:dyDescent="0.45">
      <c r="A149" s="1"/>
      <c r="B149" s="1"/>
      <c r="C149" s="1"/>
      <c r="D149" s="1"/>
      <c r="E149" s="1"/>
      <c r="F149" s="1"/>
      <c r="G149" s="1"/>
      <c r="H149" s="1"/>
      <c r="I149" s="1"/>
      <c r="J149" s="1"/>
      <c r="K149" s="1"/>
      <c r="L149" s="1"/>
      <c r="M149" s="1"/>
      <c r="N149" s="1"/>
      <c r="O149" s="1"/>
      <c r="P149" s="1"/>
      <c r="Q149" s="1"/>
      <c r="R149" s="1"/>
      <c r="S149" s="1"/>
      <c r="T149" s="1"/>
      <c r="U149" s="1"/>
      <c r="V149" s="1"/>
    </row>
    <row r="150" spans="1:22" ht="13.5" customHeight="1" x14ac:dyDescent="0.45">
      <c r="A150" s="1"/>
      <c r="B150" s="1"/>
      <c r="C150" s="1"/>
      <c r="D150" s="1"/>
      <c r="E150" s="1"/>
      <c r="F150" s="1"/>
      <c r="G150" s="1"/>
      <c r="H150" s="1"/>
      <c r="I150" s="1"/>
      <c r="J150" s="1"/>
      <c r="K150" s="1"/>
      <c r="L150" s="1"/>
      <c r="M150" s="1"/>
      <c r="N150" s="1"/>
      <c r="O150" s="1"/>
      <c r="P150" s="1"/>
      <c r="Q150" s="1"/>
      <c r="R150" s="1"/>
      <c r="S150" s="1"/>
      <c r="T150" s="1"/>
      <c r="U150" s="1"/>
      <c r="V150" s="1"/>
    </row>
    <row r="151" spans="1:22" ht="13.5" customHeight="1" x14ac:dyDescent="0.45">
      <c r="A151" s="1"/>
      <c r="B151" s="1"/>
      <c r="C151" s="1"/>
      <c r="D151" s="1"/>
      <c r="E151" s="1"/>
      <c r="F151" s="1"/>
      <c r="G151" s="1"/>
      <c r="H151" s="1"/>
      <c r="I151" s="1"/>
      <c r="J151" s="1"/>
      <c r="K151" s="1"/>
      <c r="L151" s="1"/>
      <c r="M151" s="1"/>
      <c r="N151" s="1"/>
      <c r="O151" s="1"/>
      <c r="P151" s="1"/>
      <c r="Q151" s="1"/>
      <c r="R151" s="1"/>
      <c r="S151" s="1"/>
      <c r="T151" s="1"/>
      <c r="U151" s="1"/>
      <c r="V151" s="1"/>
    </row>
    <row r="152" spans="1:22" ht="13.5" customHeight="1" x14ac:dyDescent="0.45">
      <c r="A152" s="1"/>
      <c r="B152" s="1"/>
      <c r="C152" s="1"/>
      <c r="D152" s="1"/>
      <c r="E152" s="1"/>
      <c r="F152" s="1"/>
      <c r="G152" s="1"/>
      <c r="H152" s="1"/>
      <c r="I152" s="1"/>
      <c r="J152" s="1"/>
      <c r="K152" s="1"/>
      <c r="L152" s="1"/>
      <c r="M152" s="1"/>
      <c r="N152" s="1"/>
      <c r="O152" s="1"/>
      <c r="P152" s="1"/>
      <c r="Q152" s="1"/>
      <c r="R152" s="1"/>
      <c r="S152" s="1"/>
      <c r="T152" s="1"/>
      <c r="U152" s="1"/>
      <c r="V152" s="1"/>
    </row>
    <row r="153" spans="1:22" ht="13.5" customHeight="1" x14ac:dyDescent="0.45">
      <c r="A153" s="1"/>
      <c r="B153" s="1"/>
      <c r="C153" s="1"/>
      <c r="D153" s="1"/>
      <c r="E153" s="1"/>
      <c r="F153" s="1"/>
      <c r="G153" s="1"/>
      <c r="H153" s="1"/>
      <c r="I153" s="1"/>
      <c r="J153" s="1"/>
      <c r="K153" s="1"/>
      <c r="L153" s="1"/>
      <c r="M153" s="1"/>
      <c r="N153" s="1"/>
      <c r="O153" s="1"/>
      <c r="P153" s="1"/>
      <c r="Q153" s="1"/>
      <c r="R153" s="1"/>
      <c r="S153" s="1"/>
      <c r="T153" s="1"/>
      <c r="U153" s="1"/>
      <c r="V153" s="1"/>
    </row>
    <row r="154" spans="1:22" ht="13.5" customHeight="1" x14ac:dyDescent="0.45">
      <c r="A154" s="1"/>
      <c r="B154" s="1"/>
      <c r="C154" s="1"/>
      <c r="D154" s="1"/>
      <c r="E154" s="1"/>
      <c r="F154" s="1"/>
      <c r="G154" s="1"/>
      <c r="H154" s="1"/>
      <c r="I154" s="1"/>
      <c r="J154" s="1"/>
      <c r="K154" s="1"/>
      <c r="L154" s="1"/>
      <c r="M154" s="1"/>
      <c r="N154" s="1"/>
      <c r="O154" s="1"/>
      <c r="P154" s="1"/>
      <c r="Q154" s="1"/>
      <c r="R154" s="1"/>
      <c r="S154" s="1"/>
      <c r="T154" s="1"/>
      <c r="U154" s="1"/>
      <c r="V154" s="1"/>
    </row>
    <row r="155" spans="1:22" ht="13.5" customHeight="1" x14ac:dyDescent="0.45">
      <c r="A155" s="1"/>
      <c r="B155" s="1"/>
      <c r="C155" s="1"/>
      <c r="D155" s="1"/>
      <c r="E155" s="1"/>
      <c r="F155" s="1"/>
      <c r="G155" s="1"/>
      <c r="H155" s="1"/>
      <c r="I155" s="1"/>
      <c r="J155" s="1"/>
      <c r="K155" s="1"/>
      <c r="L155" s="1"/>
      <c r="M155" s="1"/>
      <c r="N155" s="1"/>
      <c r="O155" s="1"/>
      <c r="P155" s="1"/>
      <c r="Q155" s="1"/>
      <c r="R155" s="1"/>
      <c r="S155" s="1"/>
      <c r="T155" s="1"/>
      <c r="U155" s="1"/>
      <c r="V155" s="1"/>
    </row>
    <row r="156" spans="1:22" ht="13.5" customHeight="1" x14ac:dyDescent="0.45">
      <c r="A156" s="1"/>
      <c r="B156" s="1"/>
      <c r="C156" s="1"/>
      <c r="D156" s="1"/>
      <c r="E156" s="1"/>
      <c r="F156" s="1"/>
      <c r="G156" s="1"/>
      <c r="H156" s="1"/>
      <c r="I156" s="1"/>
      <c r="J156" s="1"/>
      <c r="K156" s="1"/>
      <c r="L156" s="1"/>
      <c r="M156" s="1"/>
      <c r="N156" s="1"/>
      <c r="O156" s="1"/>
      <c r="P156" s="1"/>
      <c r="Q156" s="1"/>
      <c r="R156" s="1"/>
      <c r="S156" s="1"/>
      <c r="T156" s="1"/>
      <c r="U156" s="1"/>
      <c r="V156" s="1"/>
    </row>
    <row r="157" spans="1:22" ht="13.5" customHeight="1" x14ac:dyDescent="0.45">
      <c r="A157" s="1"/>
      <c r="B157" s="1"/>
      <c r="C157" s="1"/>
      <c r="D157" s="1"/>
      <c r="E157" s="1"/>
      <c r="F157" s="1"/>
      <c r="G157" s="1"/>
      <c r="H157" s="1"/>
      <c r="I157" s="1"/>
      <c r="J157" s="1"/>
      <c r="K157" s="1"/>
      <c r="L157" s="1"/>
      <c r="M157" s="1"/>
      <c r="N157" s="1"/>
      <c r="O157" s="1"/>
      <c r="P157" s="1"/>
      <c r="Q157" s="1"/>
      <c r="R157" s="1"/>
      <c r="S157" s="1"/>
      <c r="T157" s="1"/>
      <c r="U157" s="1"/>
      <c r="V157" s="1"/>
    </row>
    <row r="158" spans="1:22" ht="13.5" customHeight="1" x14ac:dyDescent="0.45">
      <c r="A158" s="1"/>
      <c r="B158" s="1"/>
      <c r="C158" s="1"/>
      <c r="D158" s="1"/>
      <c r="E158" s="1"/>
      <c r="F158" s="1"/>
      <c r="G158" s="1"/>
      <c r="H158" s="1"/>
      <c r="I158" s="1"/>
      <c r="J158" s="1"/>
      <c r="K158" s="1"/>
      <c r="L158" s="1"/>
      <c r="M158" s="1"/>
      <c r="N158" s="1"/>
      <c r="O158" s="1"/>
      <c r="P158" s="1"/>
      <c r="Q158" s="1"/>
      <c r="R158" s="1"/>
      <c r="S158" s="1"/>
      <c r="T158" s="1"/>
      <c r="U158" s="1"/>
      <c r="V158" s="1"/>
    </row>
    <row r="159" spans="1:22" ht="13.5" customHeight="1" x14ac:dyDescent="0.45">
      <c r="A159" s="1"/>
      <c r="B159" s="1"/>
      <c r="C159" s="1"/>
      <c r="D159" s="1"/>
      <c r="E159" s="1"/>
      <c r="F159" s="1"/>
      <c r="G159" s="1"/>
      <c r="H159" s="1"/>
      <c r="I159" s="1"/>
      <c r="J159" s="1"/>
      <c r="K159" s="1"/>
      <c r="L159" s="1"/>
      <c r="M159" s="1"/>
      <c r="N159" s="1"/>
      <c r="O159" s="1"/>
      <c r="P159" s="1"/>
      <c r="Q159" s="1"/>
      <c r="R159" s="1"/>
      <c r="S159" s="1"/>
      <c r="T159" s="1"/>
      <c r="U159" s="1"/>
      <c r="V159" s="1"/>
    </row>
    <row r="160" spans="1:22" ht="13.5" customHeight="1" x14ac:dyDescent="0.45">
      <c r="A160" s="1"/>
      <c r="B160" s="1"/>
      <c r="C160" s="1"/>
      <c r="D160" s="1"/>
      <c r="E160" s="1"/>
      <c r="F160" s="1"/>
      <c r="G160" s="1"/>
      <c r="H160" s="1"/>
      <c r="I160" s="1"/>
      <c r="J160" s="1"/>
      <c r="K160" s="1"/>
      <c r="L160" s="1"/>
      <c r="M160" s="1"/>
      <c r="N160" s="1"/>
      <c r="O160" s="1"/>
      <c r="P160" s="1"/>
      <c r="Q160" s="1"/>
      <c r="R160" s="1"/>
      <c r="S160" s="1"/>
      <c r="T160" s="1"/>
      <c r="U160" s="1"/>
      <c r="V160" s="1"/>
    </row>
    <row r="161" spans="1:22" ht="13.5" customHeight="1" x14ac:dyDescent="0.45">
      <c r="A161" s="1"/>
      <c r="B161" s="1"/>
      <c r="C161" s="1"/>
      <c r="D161" s="1"/>
      <c r="E161" s="1"/>
      <c r="F161" s="1"/>
      <c r="G161" s="1"/>
      <c r="H161" s="1"/>
      <c r="I161" s="1"/>
      <c r="J161" s="1"/>
      <c r="K161" s="1"/>
      <c r="L161" s="1"/>
      <c r="M161" s="1"/>
      <c r="N161" s="1"/>
      <c r="O161" s="1"/>
      <c r="P161" s="1"/>
      <c r="Q161" s="1"/>
      <c r="R161" s="1"/>
      <c r="S161" s="1"/>
      <c r="T161" s="1"/>
      <c r="U161" s="1"/>
      <c r="V161" s="1"/>
    </row>
    <row r="162" spans="1:22" ht="13.5" customHeight="1" x14ac:dyDescent="0.45">
      <c r="A162" s="1"/>
      <c r="B162" s="1"/>
      <c r="C162" s="1"/>
      <c r="D162" s="1"/>
      <c r="E162" s="1"/>
      <c r="F162" s="1"/>
      <c r="G162" s="1"/>
      <c r="H162" s="1"/>
      <c r="I162" s="1"/>
      <c r="J162" s="1"/>
      <c r="K162" s="1"/>
      <c r="L162" s="1"/>
      <c r="M162" s="1"/>
      <c r="N162" s="1"/>
      <c r="O162" s="1"/>
      <c r="P162" s="1"/>
      <c r="Q162" s="1"/>
      <c r="R162" s="1"/>
      <c r="S162" s="1"/>
      <c r="T162" s="1"/>
      <c r="U162" s="1"/>
      <c r="V162" s="1"/>
    </row>
    <row r="163" spans="1:22" ht="13.5" customHeight="1" x14ac:dyDescent="0.45">
      <c r="A163" s="1"/>
      <c r="B163" s="1"/>
      <c r="C163" s="1"/>
      <c r="D163" s="1"/>
      <c r="E163" s="1"/>
      <c r="F163" s="1"/>
      <c r="G163" s="1"/>
      <c r="H163" s="1"/>
      <c r="I163" s="1"/>
      <c r="J163" s="1"/>
      <c r="K163" s="1"/>
      <c r="L163" s="1"/>
      <c r="M163" s="1"/>
      <c r="N163" s="1"/>
      <c r="O163" s="1"/>
      <c r="P163" s="1"/>
      <c r="Q163" s="1"/>
      <c r="R163" s="1"/>
      <c r="S163" s="1"/>
      <c r="T163" s="1"/>
      <c r="U163" s="1"/>
      <c r="V163" s="1"/>
    </row>
    <row r="164" spans="1:22" ht="13.5" customHeight="1" x14ac:dyDescent="0.45">
      <c r="A164" s="1"/>
      <c r="B164" s="1"/>
      <c r="C164" s="1"/>
      <c r="D164" s="1"/>
      <c r="E164" s="1"/>
      <c r="F164" s="1"/>
      <c r="G164" s="1"/>
      <c r="H164" s="1"/>
      <c r="I164" s="1"/>
      <c r="J164" s="1"/>
      <c r="K164" s="1"/>
      <c r="L164" s="1"/>
      <c r="M164" s="1"/>
      <c r="N164" s="1"/>
      <c r="O164" s="1"/>
      <c r="P164" s="1"/>
      <c r="Q164" s="1"/>
      <c r="R164" s="1"/>
      <c r="S164" s="1"/>
      <c r="T164" s="1"/>
      <c r="U164" s="1"/>
      <c r="V164" s="1"/>
    </row>
    <row r="165" spans="1:22" ht="13.5" customHeight="1" x14ac:dyDescent="0.45">
      <c r="A165" s="1"/>
      <c r="B165" s="1"/>
      <c r="C165" s="1"/>
      <c r="D165" s="1"/>
      <c r="E165" s="1"/>
      <c r="F165" s="1"/>
      <c r="G165" s="1"/>
      <c r="H165" s="1"/>
      <c r="I165" s="1"/>
      <c r="J165" s="1"/>
      <c r="K165" s="1"/>
      <c r="L165" s="1"/>
      <c r="M165" s="1"/>
      <c r="N165" s="1"/>
      <c r="O165" s="1"/>
      <c r="P165" s="1"/>
      <c r="Q165" s="1"/>
      <c r="R165" s="1"/>
      <c r="S165" s="1"/>
      <c r="T165" s="1"/>
      <c r="U165" s="1"/>
      <c r="V165" s="1"/>
    </row>
    <row r="166" spans="1:22" ht="13.5" customHeight="1" x14ac:dyDescent="0.45">
      <c r="A166" s="1"/>
      <c r="B166" s="1"/>
      <c r="C166" s="1"/>
      <c r="D166" s="1"/>
      <c r="E166" s="1"/>
      <c r="F166" s="1"/>
      <c r="G166" s="1"/>
      <c r="H166" s="1"/>
      <c r="I166" s="1"/>
      <c r="J166" s="1"/>
      <c r="K166" s="1"/>
      <c r="L166" s="1"/>
      <c r="M166" s="1"/>
      <c r="N166" s="1"/>
      <c r="O166" s="1"/>
      <c r="P166" s="1"/>
      <c r="Q166" s="1"/>
      <c r="R166" s="1"/>
      <c r="S166" s="1"/>
      <c r="T166" s="1"/>
      <c r="U166" s="1"/>
      <c r="V166" s="1"/>
    </row>
    <row r="167" spans="1:22" ht="13.5" customHeight="1" x14ac:dyDescent="0.45">
      <c r="A167" s="1"/>
      <c r="B167" s="1"/>
      <c r="C167" s="1"/>
      <c r="D167" s="1"/>
      <c r="E167" s="1"/>
      <c r="F167" s="1"/>
      <c r="G167" s="1"/>
      <c r="H167" s="1"/>
      <c r="I167" s="1"/>
      <c r="J167" s="1"/>
      <c r="K167" s="1"/>
      <c r="L167" s="1"/>
      <c r="M167" s="1"/>
      <c r="N167" s="1"/>
      <c r="O167" s="1"/>
      <c r="P167" s="1"/>
      <c r="Q167" s="1"/>
      <c r="R167" s="1"/>
      <c r="S167" s="1"/>
      <c r="T167" s="1"/>
      <c r="U167" s="1"/>
      <c r="V167" s="1"/>
    </row>
    <row r="168" spans="1:22" ht="13.5" customHeight="1" x14ac:dyDescent="0.45">
      <c r="A168" s="1"/>
      <c r="B168" s="1"/>
      <c r="C168" s="1"/>
      <c r="D168" s="1"/>
      <c r="E168" s="1"/>
      <c r="F168" s="1"/>
      <c r="G168" s="1"/>
      <c r="H168" s="1"/>
      <c r="I168" s="1"/>
      <c r="J168" s="1"/>
      <c r="K168" s="1"/>
      <c r="L168" s="1"/>
      <c r="M168" s="1"/>
      <c r="N168" s="1"/>
      <c r="O168" s="1"/>
      <c r="P168" s="1"/>
      <c r="Q168" s="1"/>
      <c r="R168" s="1"/>
      <c r="S168" s="1"/>
      <c r="T168" s="1"/>
      <c r="U168" s="1"/>
      <c r="V168" s="1"/>
    </row>
    <row r="169" spans="1:22" ht="13.5" customHeight="1" x14ac:dyDescent="0.45">
      <c r="A169" s="1"/>
      <c r="B169" s="1"/>
      <c r="C169" s="1"/>
      <c r="D169" s="1"/>
      <c r="E169" s="1"/>
      <c r="F169" s="1"/>
      <c r="G169" s="1"/>
      <c r="H169" s="1"/>
      <c r="I169" s="1"/>
      <c r="J169" s="1"/>
      <c r="K169" s="1"/>
      <c r="L169" s="1"/>
      <c r="M169" s="1"/>
      <c r="N169" s="1"/>
      <c r="O169" s="1"/>
      <c r="P169" s="1"/>
      <c r="Q169" s="1"/>
      <c r="R169" s="1"/>
      <c r="S169" s="1"/>
      <c r="T169" s="1"/>
      <c r="U169" s="1"/>
      <c r="V169" s="1"/>
    </row>
    <row r="170" spans="1:22" ht="13.5" customHeight="1" x14ac:dyDescent="0.45">
      <c r="A170" s="1"/>
      <c r="B170" s="1"/>
      <c r="C170" s="1"/>
      <c r="D170" s="1"/>
      <c r="E170" s="1"/>
      <c r="F170" s="1"/>
      <c r="G170" s="1"/>
      <c r="H170" s="1"/>
      <c r="I170" s="1"/>
      <c r="J170" s="1"/>
      <c r="K170" s="1"/>
      <c r="L170" s="1"/>
      <c r="M170" s="1"/>
      <c r="N170" s="1"/>
      <c r="O170" s="1"/>
      <c r="P170" s="1"/>
      <c r="Q170" s="1"/>
      <c r="R170" s="1"/>
      <c r="S170" s="1"/>
      <c r="T170" s="1"/>
      <c r="U170" s="1"/>
      <c r="V170" s="1"/>
    </row>
    <row r="171" spans="1:22" ht="13.5" customHeight="1" x14ac:dyDescent="0.45">
      <c r="A171" s="1"/>
      <c r="B171" s="1"/>
      <c r="C171" s="1"/>
      <c r="D171" s="1"/>
      <c r="E171" s="1"/>
      <c r="F171" s="1"/>
      <c r="G171" s="1"/>
      <c r="H171" s="1"/>
      <c r="I171" s="1"/>
      <c r="J171" s="1"/>
      <c r="K171" s="1"/>
      <c r="L171" s="1"/>
      <c r="M171" s="1"/>
      <c r="N171" s="1"/>
      <c r="O171" s="1"/>
      <c r="P171" s="1"/>
      <c r="Q171" s="1"/>
      <c r="R171" s="1"/>
      <c r="S171" s="1"/>
      <c r="T171" s="1"/>
      <c r="U171" s="1"/>
      <c r="V171" s="1"/>
    </row>
    <row r="172" spans="1:22" ht="13.5" customHeight="1" x14ac:dyDescent="0.45">
      <c r="A172" s="1"/>
      <c r="B172" s="1"/>
      <c r="C172" s="1"/>
      <c r="D172" s="1"/>
      <c r="E172" s="1"/>
      <c r="F172" s="1"/>
      <c r="G172" s="1"/>
      <c r="H172" s="1"/>
      <c r="I172" s="1"/>
      <c r="J172" s="1"/>
      <c r="K172" s="1"/>
      <c r="L172" s="1"/>
      <c r="M172" s="1"/>
      <c r="N172" s="1"/>
      <c r="O172" s="1"/>
      <c r="P172" s="1"/>
      <c r="Q172" s="1"/>
      <c r="R172" s="1"/>
      <c r="S172" s="1"/>
      <c r="T172" s="1"/>
      <c r="U172" s="1"/>
      <c r="V172" s="1"/>
    </row>
    <row r="173" spans="1:22" ht="13.5" customHeight="1" x14ac:dyDescent="0.45">
      <c r="A173" s="1"/>
      <c r="B173" s="1"/>
      <c r="C173" s="1"/>
      <c r="D173" s="1"/>
      <c r="E173" s="1"/>
      <c r="F173" s="1"/>
      <c r="G173" s="1"/>
      <c r="H173" s="1"/>
      <c r="I173" s="1"/>
      <c r="J173" s="1"/>
      <c r="K173" s="1"/>
      <c r="L173" s="1"/>
      <c r="M173" s="1"/>
      <c r="N173" s="1"/>
      <c r="O173" s="1"/>
      <c r="P173" s="1"/>
      <c r="Q173" s="1"/>
      <c r="R173" s="1"/>
      <c r="S173" s="1"/>
      <c r="T173" s="1"/>
      <c r="U173" s="1"/>
      <c r="V173" s="1"/>
    </row>
    <row r="174" spans="1:22" ht="13.5" customHeight="1" x14ac:dyDescent="0.45">
      <c r="A174" s="1"/>
      <c r="B174" s="1"/>
      <c r="C174" s="1"/>
      <c r="D174" s="1"/>
      <c r="E174" s="1"/>
      <c r="F174" s="1"/>
      <c r="G174" s="1"/>
      <c r="H174" s="1"/>
      <c r="I174" s="1"/>
      <c r="J174" s="1"/>
      <c r="K174" s="1"/>
      <c r="L174" s="1"/>
      <c r="M174" s="1"/>
      <c r="N174" s="1"/>
      <c r="O174" s="1"/>
      <c r="P174" s="1"/>
      <c r="Q174" s="1"/>
      <c r="R174" s="1"/>
      <c r="S174" s="1"/>
      <c r="T174" s="1"/>
      <c r="U174" s="1"/>
      <c r="V174" s="1"/>
    </row>
    <row r="175" spans="1:22" ht="13.5" customHeight="1" x14ac:dyDescent="0.45">
      <c r="A175" s="1"/>
      <c r="B175" s="1"/>
      <c r="C175" s="1"/>
      <c r="D175" s="1"/>
      <c r="E175" s="1"/>
      <c r="F175" s="1"/>
      <c r="G175" s="1"/>
      <c r="H175" s="1"/>
      <c r="I175" s="1"/>
      <c r="J175" s="1"/>
      <c r="K175" s="1"/>
      <c r="L175" s="1"/>
      <c r="M175" s="1"/>
      <c r="N175" s="1"/>
      <c r="O175" s="1"/>
      <c r="P175" s="1"/>
      <c r="Q175" s="1"/>
      <c r="R175" s="1"/>
      <c r="S175" s="1"/>
      <c r="T175" s="1"/>
      <c r="U175" s="1"/>
      <c r="V175" s="1"/>
    </row>
    <row r="176" spans="1:22" ht="13.5" customHeight="1" x14ac:dyDescent="0.45">
      <c r="A176" s="1"/>
      <c r="B176" s="1"/>
      <c r="C176" s="1"/>
      <c r="D176" s="1"/>
      <c r="E176" s="1"/>
      <c r="F176" s="1"/>
      <c r="G176" s="1"/>
      <c r="H176" s="1"/>
      <c r="I176" s="1"/>
      <c r="J176" s="1"/>
      <c r="K176" s="1"/>
      <c r="L176" s="1"/>
      <c r="M176" s="1"/>
      <c r="N176" s="1"/>
      <c r="O176" s="1"/>
      <c r="P176" s="1"/>
      <c r="Q176" s="1"/>
      <c r="R176" s="1"/>
      <c r="S176" s="1"/>
      <c r="T176" s="1"/>
      <c r="U176" s="1"/>
      <c r="V176" s="1"/>
    </row>
    <row r="177" spans="1:22" ht="13.5" customHeight="1" x14ac:dyDescent="0.45">
      <c r="A177" s="1"/>
      <c r="B177" s="1"/>
      <c r="C177" s="1"/>
      <c r="D177" s="1"/>
      <c r="E177" s="1"/>
      <c r="F177" s="1"/>
      <c r="G177" s="1"/>
      <c r="H177" s="1"/>
      <c r="I177" s="1"/>
      <c r="J177" s="1"/>
      <c r="K177" s="1"/>
      <c r="L177" s="1"/>
      <c r="M177" s="1"/>
      <c r="N177" s="1"/>
      <c r="O177" s="1"/>
      <c r="P177" s="1"/>
      <c r="Q177" s="1"/>
      <c r="R177" s="1"/>
      <c r="S177" s="1"/>
      <c r="T177" s="1"/>
      <c r="U177" s="1"/>
      <c r="V177" s="1"/>
    </row>
    <row r="178" spans="1:22" ht="13.5" customHeight="1" x14ac:dyDescent="0.45">
      <c r="A178" s="1"/>
      <c r="B178" s="1"/>
      <c r="C178" s="1"/>
      <c r="D178" s="1"/>
      <c r="E178" s="1"/>
      <c r="F178" s="1"/>
      <c r="G178" s="1"/>
      <c r="H178" s="1"/>
      <c r="I178" s="1"/>
      <c r="J178" s="1"/>
      <c r="K178" s="1"/>
      <c r="L178" s="1"/>
      <c r="M178" s="1"/>
      <c r="N178" s="1"/>
      <c r="O178" s="1"/>
      <c r="P178" s="1"/>
      <c r="Q178" s="1"/>
      <c r="R178" s="1"/>
      <c r="S178" s="1"/>
      <c r="T178" s="1"/>
      <c r="U178" s="1"/>
      <c r="V178" s="1"/>
    </row>
    <row r="179" spans="1:22" ht="13.5" customHeight="1" x14ac:dyDescent="0.45">
      <c r="A179" s="1"/>
      <c r="B179" s="1"/>
      <c r="C179" s="1"/>
      <c r="D179" s="1"/>
      <c r="E179" s="1"/>
      <c r="F179" s="1"/>
      <c r="G179" s="1"/>
      <c r="H179" s="1"/>
      <c r="I179" s="1"/>
      <c r="J179" s="1"/>
      <c r="K179" s="1"/>
      <c r="L179" s="1"/>
      <c r="M179" s="1"/>
      <c r="N179" s="1"/>
      <c r="O179" s="1"/>
      <c r="P179" s="1"/>
      <c r="Q179" s="1"/>
      <c r="R179" s="1"/>
      <c r="S179" s="1"/>
      <c r="T179" s="1"/>
      <c r="U179" s="1"/>
      <c r="V179" s="1"/>
    </row>
    <row r="180" spans="1:22" ht="13.5" customHeight="1" x14ac:dyDescent="0.45">
      <c r="A180" s="1"/>
      <c r="B180" s="1"/>
      <c r="C180" s="1"/>
      <c r="D180" s="1"/>
      <c r="E180" s="1"/>
      <c r="F180" s="1"/>
      <c r="G180" s="1"/>
      <c r="H180" s="1"/>
      <c r="I180" s="1"/>
      <c r="J180" s="1"/>
      <c r="K180" s="1"/>
      <c r="L180" s="1"/>
      <c r="M180" s="1"/>
      <c r="N180" s="1"/>
      <c r="O180" s="1"/>
      <c r="P180" s="1"/>
      <c r="Q180" s="1"/>
      <c r="R180" s="1"/>
      <c r="S180" s="1"/>
      <c r="T180" s="1"/>
      <c r="U180" s="1"/>
      <c r="V180" s="1"/>
    </row>
    <row r="181" spans="1:22" ht="13.5" customHeight="1" x14ac:dyDescent="0.45">
      <c r="A181" s="1"/>
      <c r="B181" s="1"/>
      <c r="C181" s="1"/>
      <c r="D181" s="1"/>
      <c r="E181" s="1"/>
      <c r="F181" s="1"/>
      <c r="G181" s="1"/>
      <c r="H181" s="1"/>
      <c r="I181" s="1"/>
      <c r="J181" s="1"/>
      <c r="K181" s="1"/>
      <c r="L181" s="1"/>
      <c r="M181" s="1"/>
      <c r="N181" s="1"/>
      <c r="O181" s="1"/>
      <c r="P181" s="1"/>
      <c r="Q181" s="1"/>
      <c r="R181" s="1"/>
      <c r="S181" s="1"/>
      <c r="T181" s="1"/>
      <c r="U181" s="1"/>
      <c r="V181" s="1"/>
    </row>
    <row r="182" spans="1:22" ht="13.5" customHeight="1" x14ac:dyDescent="0.45">
      <c r="A182" s="1"/>
      <c r="B182" s="1"/>
      <c r="C182" s="1"/>
      <c r="D182" s="1"/>
      <c r="E182" s="1"/>
      <c r="F182" s="1"/>
      <c r="G182" s="1"/>
      <c r="H182" s="1"/>
      <c r="I182" s="1"/>
      <c r="J182" s="1"/>
      <c r="K182" s="1"/>
      <c r="L182" s="1"/>
      <c r="M182" s="1"/>
      <c r="N182" s="1"/>
      <c r="O182" s="1"/>
      <c r="P182" s="1"/>
      <c r="Q182" s="1"/>
      <c r="R182" s="1"/>
      <c r="S182" s="1"/>
      <c r="T182" s="1"/>
      <c r="U182" s="1"/>
      <c r="V182" s="1"/>
    </row>
    <row r="183" spans="1:22" ht="13.5" customHeight="1" x14ac:dyDescent="0.45">
      <c r="A183" s="1"/>
      <c r="B183" s="1"/>
      <c r="C183" s="1"/>
      <c r="D183" s="1"/>
      <c r="E183" s="1"/>
      <c r="F183" s="1"/>
      <c r="G183" s="1"/>
      <c r="H183" s="1"/>
      <c r="I183" s="1"/>
      <c r="J183" s="1"/>
      <c r="K183" s="1"/>
      <c r="L183" s="1"/>
      <c r="M183" s="1"/>
      <c r="N183" s="1"/>
      <c r="O183" s="1"/>
      <c r="P183" s="1"/>
      <c r="Q183" s="1"/>
      <c r="R183" s="1"/>
      <c r="S183" s="1"/>
      <c r="T183" s="1"/>
      <c r="U183" s="1"/>
      <c r="V183" s="1"/>
    </row>
    <row r="184" spans="1:22" ht="13.5" customHeight="1" x14ac:dyDescent="0.45">
      <c r="A184" s="1"/>
      <c r="B184" s="1"/>
      <c r="C184" s="1"/>
      <c r="D184" s="1"/>
      <c r="E184" s="1"/>
      <c r="F184" s="1"/>
      <c r="G184" s="1"/>
      <c r="H184" s="1"/>
      <c r="I184" s="1"/>
      <c r="J184" s="1"/>
      <c r="K184" s="1"/>
      <c r="L184" s="1"/>
      <c r="M184" s="1"/>
      <c r="N184" s="1"/>
      <c r="O184" s="1"/>
      <c r="P184" s="1"/>
      <c r="Q184" s="1"/>
      <c r="R184" s="1"/>
      <c r="S184" s="1"/>
      <c r="T184" s="1"/>
      <c r="U184" s="1"/>
      <c r="V184" s="1"/>
    </row>
    <row r="185" spans="1:22" ht="13.5" customHeight="1" x14ac:dyDescent="0.45">
      <c r="A185" s="1"/>
      <c r="B185" s="1"/>
      <c r="C185" s="1"/>
      <c r="D185" s="1"/>
      <c r="E185" s="1"/>
      <c r="F185" s="1"/>
      <c r="G185" s="1"/>
      <c r="H185" s="1"/>
      <c r="I185" s="1"/>
      <c r="J185" s="1"/>
      <c r="K185" s="1"/>
      <c r="L185" s="1"/>
      <c r="M185" s="1"/>
      <c r="N185" s="1"/>
      <c r="O185" s="1"/>
      <c r="P185" s="1"/>
      <c r="Q185" s="1"/>
      <c r="R185" s="1"/>
      <c r="S185" s="1"/>
      <c r="T185" s="1"/>
      <c r="U185" s="1"/>
      <c r="V185" s="1"/>
    </row>
    <row r="186" spans="1:22" ht="13.5" customHeight="1" x14ac:dyDescent="0.45">
      <c r="A186" s="1"/>
      <c r="B186" s="1"/>
      <c r="C186" s="1"/>
      <c r="D186" s="1"/>
      <c r="E186" s="1"/>
      <c r="F186" s="1"/>
      <c r="G186" s="1"/>
      <c r="H186" s="1"/>
      <c r="I186" s="1"/>
      <c r="J186" s="1"/>
      <c r="K186" s="1"/>
      <c r="L186" s="1"/>
      <c r="M186" s="1"/>
      <c r="N186" s="1"/>
      <c r="O186" s="1"/>
      <c r="P186" s="1"/>
      <c r="Q186" s="1"/>
      <c r="R186" s="1"/>
      <c r="S186" s="1"/>
      <c r="T186" s="1"/>
      <c r="U186" s="1"/>
      <c r="V186" s="1"/>
    </row>
    <row r="187" spans="1:22" ht="13.5" customHeight="1" x14ac:dyDescent="0.45">
      <c r="A187" s="1"/>
      <c r="B187" s="1"/>
      <c r="C187" s="1"/>
      <c r="D187" s="1"/>
      <c r="E187" s="1"/>
      <c r="F187" s="1"/>
      <c r="G187" s="1"/>
      <c r="H187" s="1"/>
      <c r="I187" s="1"/>
      <c r="J187" s="1"/>
      <c r="K187" s="1"/>
      <c r="L187" s="1"/>
      <c r="M187" s="1"/>
      <c r="N187" s="1"/>
      <c r="O187" s="1"/>
      <c r="P187" s="1"/>
      <c r="Q187" s="1"/>
      <c r="R187" s="1"/>
      <c r="S187" s="1"/>
      <c r="T187" s="1"/>
      <c r="U187" s="1"/>
      <c r="V187" s="1"/>
    </row>
    <row r="188" spans="1:22" ht="13.5" customHeight="1" x14ac:dyDescent="0.45">
      <c r="A188" s="1"/>
      <c r="B188" s="1"/>
      <c r="C188" s="1"/>
      <c r="D188" s="1"/>
      <c r="E188" s="1"/>
      <c r="F188" s="1"/>
      <c r="G188" s="1"/>
      <c r="H188" s="1"/>
      <c r="I188" s="1"/>
      <c r="J188" s="1"/>
      <c r="K188" s="1"/>
      <c r="L188" s="1"/>
      <c r="M188" s="1"/>
      <c r="N188" s="1"/>
      <c r="O188" s="1"/>
      <c r="P188" s="1"/>
      <c r="Q188" s="1"/>
      <c r="R188" s="1"/>
      <c r="S188" s="1"/>
      <c r="T188" s="1"/>
      <c r="U188" s="1"/>
      <c r="V188" s="1"/>
    </row>
    <row r="189" spans="1:22" ht="13.5" customHeight="1" x14ac:dyDescent="0.45">
      <c r="A189" s="1"/>
      <c r="B189" s="1"/>
      <c r="C189" s="1"/>
      <c r="D189" s="1"/>
      <c r="E189" s="1"/>
      <c r="F189" s="1"/>
      <c r="G189" s="1"/>
      <c r="H189" s="1"/>
      <c r="I189" s="1"/>
      <c r="J189" s="1"/>
      <c r="K189" s="1"/>
      <c r="L189" s="1"/>
      <c r="M189" s="1"/>
      <c r="N189" s="1"/>
      <c r="O189" s="1"/>
      <c r="P189" s="1"/>
      <c r="Q189" s="1"/>
      <c r="R189" s="1"/>
      <c r="S189" s="1"/>
      <c r="T189" s="1"/>
      <c r="U189" s="1"/>
      <c r="V189" s="1"/>
    </row>
    <row r="190" spans="1:22" ht="13.5" customHeight="1" x14ac:dyDescent="0.45">
      <c r="A190" s="1"/>
      <c r="B190" s="1"/>
      <c r="C190" s="1"/>
      <c r="D190" s="1"/>
      <c r="E190" s="1"/>
      <c r="F190" s="1"/>
      <c r="G190" s="1"/>
      <c r="H190" s="1"/>
      <c r="I190" s="1"/>
      <c r="J190" s="1"/>
      <c r="K190" s="1"/>
      <c r="L190" s="1"/>
      <c r="M190" s="1"/>
      <c r="N190" s="1"/>
      <c r="O190" s="1"/>
      <c r="P190" s="1"/>
      <c r="Q190" s="1"/>
      <c r="R190" s="1"/>
      <c r="S190" s="1"/>
      <c r="T190" s="1"/>
      <c r="U190" s="1"/>
      <c r="V190" s="1"/>
    </row>
    <row r="191" spans="1:22" ht="13.5" customHeight="1" x14ac:dyDescent="0.45">
      <c r="A191" s="1"/>
      <c r="B191" s="1"/>
      <c r="C191" s="1"/>
      <c r="D191" s="1"/>
      <c r="E191" s="1"/>
      <c r="F191" s="1"/>
      <c r="G191" s="1"/>
      <c r="H191" s="1"/>
      <c r="I191" s="1"/>
      <c r="J191" s="1"/>
      <c r="K191" s="1"/>
      <c r="L191" s="1"/>
      <c r="M191" s="1"/>
      <c r="N191" s="1"/>
      <c r="O191" s="1"/>
      <c r="P191" s="1"/>
      <c r="Q191" s="1"/>
      <c r="R191" s="1"/>
      <c r="S191" s="1"/>
      <c r="T191" s="1"/>
      <c r="U191" s="1"/>
      <c r="V191" s="1"/>
    </row>
    <row r="192" spans="1:22" ht="13.5" customHeight="1" x14ac:dyDescent="0.45">
      <c r="A192" s="1"/>
      <c r="B192" s="1"/>
      <c r="C192" s="1"/>
      <c r="D192" s="1"/>
      <c r="E192" s="1"/>
      <c r="F192" s="1"/>
      <c r="G192" s="1"/>
      <c r="H192" s="1"/>
      <c r="I192" s="1"/>
      <c r="J192" s="1"/>
      <c r="K192" s="1"/>
      <c r="L192" s="1"/>
      <c r="M192" s="1"/>
      <c r="N192" s="1"/>
      <c r="O192" s="1"/>
      <c r="P192" s="1"/>
      <c r="Q192" s="1"/>
      <c r="R192" s="1"/>
      <c r="S192" s="1"/>
      <c r="T192" s="1"/>
      <c r="U192" s="1"/>
      <c r="V192" s="1"/>
    </row>
    <row r="193" spans="1:22" ht="13.5" customHeight="1" x14ac:dyDescent="0.45">
      <c r="A193" s="1"/>
      <c r="B193" s="1"/>
      <c r="C193" s="1"/>
      <c r="D193" s="1"/>
      <c r="E193" s="1"/>
      <c r="F193" s="1"/>
      <c r="G193" s="1"/>
      <c r="H193" s="1"/>
      <c r="I193" s="1"/>
      <c r="J193" s="1"/>
      <c r="K193" s="1"/>
      <c r="L193" s="1"/>
      <c r="M193" s="1"/>
      <c r="N193" s="1"/>
      <c r="O193" s="1"/>
      <c r="P193" s="1"/>
      <c r="Q193" s="1"/>
      <c r="R193" s="1"/>
      <c r="S193" s="1"/>
      <c r="T193" s="1"/>
      <c r="U193" s="1"/>
      <c r="V193" s="1"/>
    </row>
    <row r="194" spans="1:22" ht="13.5" customHeight="1" x14ac:dyDescent="0.45">
      <c r="A194" s="1"/>
      <c r="B194" s="1"/>
      <c r="C194" s="1"/>
      <c r="D194" s="1"/>
      <c r="E194" s="1"/>
      <c r="F194" s="1"/>
      <c r="G194" s="1"/>
      <c r="H194" s="1"/>
      <c r="I194" s="1"/>
      <c r="J194" s="1"/>
      <c r="K194" s="1"/>
      <c r="L194" s="1"/>
      <c r="M194" s="1"/>
      <c r="N194" s="1"/>
      <c r="O194" s="1"/>
      <c r="P194" s="1"/>
      <c r="Q194" s="1"/>
      <c r="R194" s="1"/>
      <c r="S194" s="1"/>
      <c r="T194" s="1"/>
      <c r="U194" s="1"/>
      <c r="V194" s="1"/>
    </row>
    <row r="195" spans="1:22" ht="13.5" customHeight="1" x14ac:dyDescent="0.45">
      <c r="A195" s="1"/>
      <c r="B195" s="1"/>
      <c r="C195" s="1"/>
      <c r="D195" s="1"/>
      <c r="E195" s="1"/>
      <c r="F195" s="1"/>
      <c r="G195" s="1"/>
      <c r="H195" s="1"/>
      <c r="I195" s="1"/>
      <c r="J195" s="1"/>
      <c r="K195" s="1"/>
      <c r="L195" s="1"/>
      <c r="M195" s="1"/>
      <c r="N195" s="1"/>
      <c r="O195" s="1"/>
      <c r="P195" s="1"/>
      <c r="Q195" s="1"/>
      <c r="R195" s="1"/>
      <c r="S195" s="1"/>
      <c r="T195" s="1"/>
      <c r="U195" s="1"/>
      <c r="V195" s="1"/>
    </row>
    <row r="196" spans="1:22" ht="13.5" customHeight="1" x14ac:dyDescent="0.45">
      <c r="A196" s="1"/>
      <c r="B196" s="1"/>
      <c r="C196" s="1"/>
      <c r="D196" s="1"/>
      <c r="E196" s="1"/>
      <c r="F196" s="1"/>
      <c r="G196" s="1"/>
      <c r="H196" s="1"/>
      <c r="I196" s="1"/>
      <c r="J196" s="1"/>
      <c r="K196" s="1"/>
      <c r="L196" s="1"/>
      <c r="M196" s="1"/>
      <c r="N196" s="1"/>
      <c r="O196" s="1"/>
      <c r="P196" s="1"/>
      <c r="Q196" s="1"/>
      <c r="R196" s="1"/>
      <c r="S196" s="1"/>
      <c r="T196" s="1"/>
      <c r="U196" s="1"/>
      <c r="V196" s="1"/>
    </row>
    <row r="197" spans="1:22" ht="13.5" customHeight="1" x14ac:dyDescent="0.45">
      <c r="A197" s="1"/>
      <c r="B197" s="1"/>
      <c r="C197" s="1"/>
      <c r="D197" s="1"/>
      <c r="E197" s="1"/>
      <c r="F197" s="1"/>
      <c r="G197" s="1"/>
      <c r="H197" s="1"/>
      <c r="I197" s="1"/>
      <c r="J197" s="1"/>
      <c r="K197" s="1"/>
      <c r="L197" s="1"/>
      <c r="M197" s="1"/>
      <c r="N197" s="1"/>
      <c r="O197" s="1"/>
      <c r="P197" s="1"/>
      <c r="Q197" s="1"/>
      <c r="R197" s="1"/>
      <c r="S197" s="1"/>
      <c r="T197" s="1"/>
      <c r="U197" s="1"/>
      <c r="V197" s="1"/>
    </row>
    <row r="198" spans="1:22" ht="13.5" customHeight="1" x14ac:dyDescent="0.45">
      <c r="A198" s="1"/>
      <c r="B198" s="1"/>
      <c r="C198" s="1"/>
      <c r="D198" s="1"/>
      <c r="E198" s="1"/>
      <c r="F198" s="1"/>
      <c r="G198" s="1"/>
      <c r="H198" s="1"/>
      <c r="I198" s="1"/>
      <c r="J198" s="1"/>
      <c r="K198" s="1"/>
      <c r="L198" s="1"/>
      <c r="M198" s="1"/>
      <c r="N198" s="1"/>
      <c r="O198" s="1"/>
      <c r="P198" s="1"/>
      <c r="Q198" s="1"/>
      <c r="R198" s="1"/>
      <c r="S198" s="1"/>
      <c r="T198" s="1"/>
      <c r="U198" s="1"/>
      <c r="V198" s="1"/>
    </row>
    <row r="199" spans="1:22" ht="13.5" customHeight="1" x14ac:dyDescent="0.45">
      <c r="A199" s="1"/>
      <c r="B199" s="1"/>
      <c r="C199" s="1"/>
      <c r="D199" s="1"/>
      <c r="E199" s="1"/>
      <c r="F199" s="1"/>
      <c r="G199" s="1"/>
      <c r="H199" s="1"/>
      <c r="I199" s="1"/>
      <c r="J199" s="1"/>
      <c r="K199" s="1"/>
      <c r="L199" s="1"/>
      <c r="M199" s="1"/>
      <c r="N199" s="1"/>
      <c r="O199" s="1"/>
      <c r="P199" s="1"/>
      <c r="Q199" s="1"/>
      <c r="R199" s="1"/>
      <c r="S199" s="1"/>
      <c r="T199" s="1"/>
      <c r="U199" s="1"/>
      <c r="V199" s="1"/>
    </row>
    <row r="200" spans="1:22" ht="13.5" customHeight="1" x14ac:dyDescent="0.45">
      <c r="A200" s="1"/>
      <c r="B200" s="1"/>
      <c r="C200" s="1"/>
      <c r="D200" s="1"/>
      <c r="E200" s="1"/>
      <c r="F200" s="1"/>
      <c r="G200" s="1"/>
      <c r="H200" s="1"/>
      <c r="I200" s="1"/>
      <c r="J200" s="1"/>
      <c r="K200" s="1"/>
      <c r="L200" s="1"/>
      <c r="M200" s="1"/>
      <c r="N200" s="1"/>
      <c r="O200" s="1"/>
      <c r="P200" s="1"/>
      <c r="Q200" s="1"/>
      <c r="R200" s="1"/>
      <c r="S200" s="1"/>
      <c r="T200" s="1"/>
      <c r="U200" s="1"/>
      <c r="V200" s="1"/>
    </row>
    <row r="201" spans="1:22" ht="13.5" customHeight="1" x14ac:dyDescent="0.45">
      <c r="A201" s="1"/>
      <c r="B201" s="1"/>
      <c r="C201" s="1"/>
      <c r="D201" s="1"/>
      <c r="E201" s="1"/>
      <c r="F201" s="1"/>
      <c r="G201" s="1"/>
      <c r="H201" s="1"/>
      <c r="I201" s="1"/>
      <c r="J201" s="1"/>
      <c r="K201" s="1"/>
      <c r="L201" s="1"/>
      <c r="M201" s="1"/>
      <c r="N201" s="1"/>
      <c r="O201" s="1"/>
      <c r="P201" s="1"/>
      <c r="Q201" s="1"/>
      <c r="R201" s="1"/>
      <c r="S201" s="1"/>
      <c r="T201" s="1"/>
      <c r="U201" s="1"/>
      <c r="V201" s="1"/>
    </row>
    <row r="202" spans="1:22" ht="13.5" customHeight="1" x14ac:dyDescent="0.45">
      <c r="A202" s="1"/>
      <c r="B202" s="1"/>
      <c r="C202" s="1"/>
      <c r="D202" s="1"/>
      <c r="E202" s="1"/>
      <c r="F202" s="1"/>
      <c r="G202" s="1"/>
      <c r="H202" s="1"/>
      <c r="I202" s="1"/>
      <c r="J202" s="1"/>
      <c r="K202" s="1"/>
      <c r="L202" s="1"/>
      <c r="M202" s="1"/>
      <c r="N202" s="1"/>
      <c r="O202" s="1"/>
      <c r="P202" s="1"/>
      <c r="Q202" s="1"/>
      <c r="R202" s="1"/>
      <c r="S202" s="1"/>
      <c r="T202" s="1"/>
      <c r="U202" s="1"/>
      <c r="V202" s="1"/>
    </row>
    <row r="203" spans="1:22" ht="13.5" customHeight="1" x14ac:dyDescent="0.45">
      <c r="A203" s="1"/>
      <c r="B203" s="1"/>
      <c r="C203" s="1"/>
      <c r="D203" s="1"/>
      <c r="E203" s="1"/>
      <c r="F203" s="1"/>
      <c r="G203" s="1"/>
      <c r="H203" s="1"/>
      <c r="I203" s="1"/>
      <c r="J203" s="1"/>
      <c r="K203" s="1"/>
      <c r="L203" s="1"/>
      <c r="M203" s="1"/>
      <c r="N203" s="1"/>
      <c r="O203" s="1"/>
      <c r="P203" s="1"/>
      <c r="Q203" s="1"/>
      <c r="R203" s="1"/>
      <c r="S203" s="1"/>
      <c r="T203" s="1"/>
      <c r="U203" s="1"/>
      <c r="V203" s="1"/>
    </row>
    <row r="204" spans="1:22" ht="13.5" customHeight="1" x14ac:dyDescent="0.45">
      <c r="A204" s="1"/>
      <c r="B204" s="1"/>
      <c r="C204" s="1"/>
      <c r="D204" s="1"/>
      <c r="E204" s="1"/>
      <c r="F204" s="1"/>
      <c r="G204" s="1"/>
      <c r="H204" s="1"/>
      <c r="I204" s="1"/>
      <c r="J204" s="1"/>
      <c r="K204" s="1"/>
      <c r="L204" s="1"/>
      <c r="M204" s="1"/>
      <c r="N204" s="1"/>
      <c r="O204" s="1"/>
      <c r="P204" s="1"/>
      <c r="Q204" s="1"/>
      <c r="R204" s="1"/>
      <c r="S204" s="1"/>
      <c r="T204" s="1"/>
      <c r="U204" s="1"/>
      <c r="V204" s="1"/>
    </row>
    <row r="205" spans="1:22" ht="13.5" customHeight="1" x14ac:dyDescent="0.45">
      <c r="A205" s="1"/>
      <c r="B205" s="1"/>
      <c r="C205" s="1"/>
      <c r="D205" s="1"/>
      <c r="E205" s="1"/>
      <c r="F205" s="1"/>
      <c r="G205" s="1"/>
      <c r="H205" s="1"/>
      <c r="I205" s="1"/>
      <c r="J205" s="1"/>
      <c r="K205" s="1"/>
      <c r="L205" s="1"/>
      <c r="M205" s="1"/>
      <c r="N205" s="1"/>
      <c r="O205" s="1"/>
      <c r="P205" s="1"/>
      <c r="Q205" s="1"/>
      <c r="R205" s="1"/>
      <c r="S205" s="1"/>
      <c r="T205" s="1"/>
      <c r="U205" s="1"/>
      <c r="V205" s="1"/>
    </row>
    <row r="206" spans="1:22" ht="13.5" customHeight="1" x14ac:dyDescent="0.45">
      <c r="A206" s="1"/>
      <c r="B206" s="1"/>
      <c r="C206" s="1"/>
      <c r="D206" s="1"/>
      <c r="E206" s="1"/>
      <c r="F206" s="1"/>
      <c r="G206" s="1"/>
      <c r="H206" s="1"/>
      <c r="I206" s="1"/>
      <c r="J206" s="1"/>
      <c r="K206" s="1"/>
      <c r="L206" s="1"/>
      <c r="M206" s="1"/>
      <c r="N206" s="1"/>
      <c r="O206" s="1"/>
      <c r="P206" s="1"/>
      <c r="Q206" s="1"/>
      <c r="R206" s="1"/>
      <c r="S206" s="1"/>
      <c r="T206" s="1"/>
      <c r="U206" s="1"/>
      <c r="V206" s="1"/>
    </row>
    <row r="207" spans="1:22" ht="13.5" customHeight="1" x14ac:dyDescent="0.45">
      <c r="A207" s="1"/>
      <c r="B207" s="1"/>
      <c r="C207" s="1"/>
      <c r="D207" s="1"/>
      <c r="E207" s="1"/>
      <c r="F207" s="1"/>
      <c r="G207" s="1"/>
      <c r="H207" s="1"/>
      <c r="I207" s="1"/>
      <c r="J207" s="1"/>
      <c r="K207" s="1"/>
      <c r="L207" s="1"/>
      <c r="M207" s="1"/>
      <c r="N207" s="1"/>
      <c r="O207" s="1"/>
      <c r="P207" s="1"/>
      <c r="Q207" s="1"/>
      <c r="R207" s="1"/>
      <c r="S207" s="1"/>
      <c r="T207" s="1"/>
      <c r="U207" s="1"/>
      <c r="V207" s="1"/>
    </row>
    <row r="208" spans="1:22" ht="13.5" customHeight="1" x14ac:dyDescent="0.45">
      <c r="A208" s="1"/>
      <c r="B208" s="1"/>
      <c r="C208" s="1"/>
      <c r="D208" s="1"/>
      <c r="E208" s="1"/>
      <c r="F208" s="1"/>
      <c r="G208" s="1"/>
      <c r="H208" s="1"/>
      <c r="I208" s="1"/>
      <c r="J208" s="1"/>
      <c r="K208" s="1"/>
      <c r="L208" s="1"/>
      <c r="M208" s="1"/>
      <c r="N208" s="1"/>
      <c r="O208" s="1"/>
      <c r="P208" s="1"/>
      <c r="Q208" s="1"/>
      <c r="R208" s="1"/>
      <c r="S208" s="1"/>
      <c r="T208" s="1"/>
      <c r="U208" s="1"/>
      <c r="V208" s="1"/>
    </row>
    <row r="209" spans="1:22" ht="13.5" customHeight="1" x14ac:dyDescent="0.45">
      <c r="A209" s="1"/>
      <c r="B209" s="1"/>
      <c r="C209" s="1"/>
      <c r="D209" s="1"/>
      <c r="E209" s="1"/>
      <c r="F209" s="1"/>
      <c r="G209" s="1"/>
      <c r="H209" s="1"/>
      <c r="I209" s="1"/>
      <c r="J209" s="1"/>
      <c r="K209" s="1"/>
      <c r="L209" s="1"/>
      <c r="M209" s="1"/>
      <c r="N209" s="1"/>
      <c r="O209" s="1"/>
      <c r="P209" s="1"/>
      <c r="Q209" s="1"/>
      <c r="R209" s="1"/>
      <c r="S209" s="1"/>
      <c r="T209" s="1"/>
      <c r="U209" s="1"/>
      <c r="V209" s="1"/>
    </row>
    <row r="210" spans="1:22" ht="13.5" customHeight="1" x14ac:dyDescent="0.45">
      <c r="A210" s="1"/>
      <c r="B210" s="1"/>
      <c r="C210" s="1"/>
      <c r="D210" s="1"/>
      <c r="E210" s="1"/>
      <c r="F210" s="1"/>
      <c r="G210" s="1"/>
      <c r="H210" s="1"/>
      <c r="I210" s="1"/>
      <c r="J210" s="1"/>
      <c r="K210" s="1"/>
      <c r="L210" s="1"/>
      <c r="M210" s="1"/>
      <c r="N210" s="1"/>
      <c r="O210" s="1"/>
      <c r="P210" s="1"/>
      <c r="Q210" s="1"/>
      <c r="R210" s="1"/>
      <c r="S210" s="1"/>
      <c r="T210" s="1"/>
      <c r="U210" s="1"/>
      <c r="V210" s="1"/>
    </row>
    <row r="211" spans="1:22" ht="13.5" customHeight="1" x14ac:dyDescent="0.45">
      <c r="A211" s="1"/>
      <c r="B211" s="1"/>
      <c r="C211" s="1"/>
      <c r="D211" s="1"/>
      <c r="E211" s="1"/>
      <c r="F211" s="1"/>
      <c r="G211" s="1"/>
      <c r="H211" s="1"/>
      <c r="I211" s="1"/>
      <c r="J211" s="1"/>
      <c r="K211" s="1"/>
      <c r="L211" s="1"/>
      <c r="M211" s="1"/>
      <c r="N211" s="1"/>
      <c r="O211" s="1"/>
      <c r="P211" s="1"/>
      <c r="Q211" s="1"/>
      <c r="R211" s="1"/>
      <c r="S211" s="1"/>
      <c r="T211" s="1"/>
      <c r="U211" s="1"/>
      <c r="V211" s="1"/>
    </row>
    <row r="212" spans="1:22" ht="13.5" customHeight="1" x14ac:dyDescent="0.45">
      <c r="A212" s="1"/>
      <c r="B212" s="1"/>
      <c r="C212" s="1"/>
      <c r="D212" s="1"/>
      <c r="E212" s="1"/>
      <c r="F212" s="1"/>
      <c r="G212" s="1"/>
      <c r="H212" s="1"/>
      <c r="I212" s="1"/>
      <c r="J212" s="1"/>
      <c r="K212" s="1"/>
      <c r="L212" s="1"/>
      <c r="M212" s="1"/>
      <c r="N212" s="1"/>
      <c r="O212" s="1"/>
      <c r="P212" s="1"/>
      <c r="Q212" s="1"/>
      <c r="R212" s="1"/>
      <c r="S212" s="1"/>
      <c r="T212" s="1"/>
      <c r="U212" s="1"/>
      <c r="V212" s="1"/>
    </row>
    <row r="213" spans="1:22" ht="13.5" customHeight="1" x14ac:dyDescent="0.45">
      <c r="A213" s="1"/>
      <c r="B213" s="1"/>
      <c r="C213" s="1"/>
      <c r="D213" s="1"/>
      <c r="E213" s="1"/>
      <c r="F213" s="1"/>
      <c r="G213" s="1"/>
      <c r="H213" s="1"/>
      <c r="I213" s="1"/>
      <c r="J213" s="1"/>
      <c r="K213" s="1"/>
      <c r="L213" s="1"/>
      <c r="M213" s="1"/>
      <c r="N213" s="1"/>
      <c r="O213" s="1"/>
      <c r="P213" s="1"/>
      <c r="Q213" s="1"/>
      <c r="R213" s="1"/>
      <c r="S213" s="1"/>
      <c r="T213" s="1"/>
      <c r="U213" s="1"/>
      <c r="V213" s="1"/>
    </row>
    <row r="214" spans="1:22" ht="13.5" customHeight="1" x14ac:dyDescent="0.45">
      <c r="A214" s="1"/>
      <c r="B214" s="1"/>
      <c r="C214" s="1"/>
      <c r="D214" s="1"/>
      <c r="E214" s="1"/>
      <c r="F214" s="1"/>
      <c r="G214" s="1"/>
      <c r="H214" s="1"/>
      <c r="I214" s="1"/>
      <c r="J214" s="1"/>
      <c r="K214" s="1"/>
      <c r="L214" s="1"/>
      <c r="M214" s="1"/>
      <c r="N214" s="1"/>
      <c r="O214" s="1"/>
      <c r="P214" s="1"/>
      <c r="Q214" s="1"/>
      <c r="R214" s="1"/>
      <c r="S214" s="1"/>
      <c r="T214" s="1"/>
      <c r="U214" s="1"/>
      <c r="V214" s="1"/>
    </row>
    <row r="215" spans="1:22" ht="13.5" customHeight="1" x14ac:dyDescent="0.45">
      <c r="A215" s="1"/>
      <c r="B215" s="1"/>
      <c r="C215" s="1"/>
      <c r="D215" s="1"/>
      <c r="E215" s="1"/>
      <c r="F215" s="1"/>
      <c r="G215" s="1"/>
      <c r="H215" s="1"/>
      <c r="I215" s="1"/>
      <c r="J215" s="1"/>
      <c r="K215" s="1"/>
      <c r="L215" s="1"/>
      <c r="M215" s="1"/>
      <c r="N215" s="1"/>
      <c r="O215" s="1"/>
      <c r="P215" s="1"/>
      <c r="Q215" s="1"/>
      <c r="R215" s="1"/>
      <c r="S215" s="1"/>
      <c r="T215" s="1"/>
      <c r="U215" s="1"/>
      <c r="V215" s="1"/>
    </row>
    <row r="216" spans="1:22" ht="13.5" customHeight="1" x14ac:dyDescent="0.45">
      <c r="A216" s="1"/>
      <c r="B216" s="1"/>
      <c r="C216" s="1"/>
      <c r="D216" s="1"/>
      <c r="E216" s="1"/>
      <c r="F216" s="1"/>
      <c r="G216" s="1"/>
      <c r="H216" s="1"/>
      <c r="I216" s="1"/>
      <c r="J216" s="1"/>
      <c r="K216" s="1"/>
      <c r="L216" s="1"/>
      <c r="M216" s="1"/>
      <c r="N216" s="1"/>
      <c r="O216" s="1"/>
      <c r="P216" s="1"/>
      <c r="Q216" s="1"/>
      <c r="R216" s="1"/>
      <c r="S216" s="1"/>
      <c r="T216" s="1"/>
      <c r="U216" s="1"/>
      <c r="V216" s="1"/>
    </row>
    <row r="217" spans="1:22" ht="13.5" customHeight="1" x14ac:dyDescent="0.45">
      <c r="A217" s="1"/>
      <c r="B217" s="1"/>
      <c r="C217" s="1"/>
      <c r="D217" s="1"/>
      <c r="E217" s="1"/>
      <c r="F217" s="1"/>
      <c r="G217" s="1"/>
      <c r="H217" s="1"/>
      <c r="I217" s="1"/>
      <c r="J217" s="1"/>
      <c r="K217" s="1"/>
      <c r="L217" s="1"/>
      <c r="M217" s="1"/>
      <c r="N217" s="1"/>
      <c r="O217" s="1"/>
      <c r="P217" s="1"/>
      <c r="Q217" s="1"/>
      <c r="R217" s="1"/>
      <c r="S217" s="1"/>
      <c r="T217" s="1"/>
      <c r="U217" s="1"/>
      <c r="V217" s="1"/>
    </row>
    <row r="218" spans="1:22" ht="13.5" customHeight="1" x14ac:dyDescent="0.45">
      <c r="A218" s="1"/>
      <c r="B218" s="1"/>
      <c r="C218" s="1"/>
      <c r="D218" s="1"/>
      <c r="E218" s="1"/>
      <c r="F218" s="1"/>
      <c r="G218" s="1"/>
      <c r="H218" s="1"/>
      <c r="I218" s="1"/>
      <c r="J218" s="1"/>
      <c r="K218" s="1"/>
      <c r="L218" s="1"/>
      <c r="M218" s="1"/>
      <c r="N218" s="1"/>
      <c r="O218" s="1"/>
      <c r="P218" s="1"/>
      <c r="Q218" s="1"/>
      <c r="R218" s="1"/>
      <c r="S218" s="1"/>
      <c r="T218" s="1"/>
      <c r="U218" s="1"/>
      <c r="V218" s="1"/>
    </row>
    <row r="219" spans="1:22" ht="13.5" customHeight="1" x14ac:dyDescent="0.45">
      <c r="A219" s="1"/>
      <c r="B219" s="1"/>
      <c r="C219" s="1"/>
      <c r="D219" s="1"/>
      <c r="E219" s="1"/>
      <c r="F219" s="1"/>
      <c r="G219" s="1"/>
      <c r="H219" s="1"/>
      <c r="I219" s="1"/>
      <c r="J219" s="1"/>
      <c r="K219" s="1"/>
      <c r="L219" s="1"/>
      <c r="M219" s="1"/>
      <c r="N219" s="1"/>
      <c r="O219" s="1"/>
      <c r="P219" s="1"/>
      <c r="Q219" s="1"/>
      <c r="R219" s="1"/>
      <c r="S219" s="1"/>
      <c r="T219" s="1"/>
      <c r="U219" s="1"/>
      <c r="V219" s="1"/>
    </row>
    <row r="220" spans="1:22" ht="13.5" customHeight="1" x14ac:dyDescent="0.45">
      <c r="A220" s="1"/>
      <c r="B220" s="1"/>
      <c r="C220" s="1"/>
      <c r="D220" s="1"/>
      <c r="E220" s="1"/>
      <c r="F220" s="1"/>
      <c r="G220" s="1"/>
      <c r="H220" s="1"/>
      <c r="I220" s="1"/>
      <c r="J220" s="1"/>
      <c r="K220" s="1"/>
      <c r="L220" s="1"/>
      <c r="M220" s="1"/>
      <c r="N220" s="1"/>
      <c r="O220" s="1"/>
      <c r="P220" s="1"/>
      <c r="Q220" s="1"/>
      <c r="R220" s="1"/>
      <c r="S220" s="1"/>
      <c r="T220" s="1"/>
      <c r="U220" s="1"/>
      <c r="V220" s="1"/>
    </row>
    <row r="221" spans="1:22" ht="13.5" customHeight="1" x14ac:dyDescent="0.45">
      <c r="A221" s="1"/>
      <c r="B221" s="1"/>
      <c r="C221" s="1"/>
      <c r="D221" s="1"/>
      <c r="E221" s="1"/>
      <c r="F221" s="1"/>
      <c r="G221" s="1"/>
      <c r="H221" s="1"/>
      <c r="I221" s="1"/>
      <c r="J221" s="1"/>
      <c r="K221" s="1"/>
      <c r="L221" s="1"/>
      <c r="M221" s="1"/>
      <c r="N221" s="1"/>
      <c r="O221" s="1"/>
      <c r="P221" s="1"/>
      <c r="Q221" s="1"/>
      <c r="R221" s="1"/>
      <c r="S221" s="1"/>
      <c r="T221" s="1"/>
      <c r="U221" s="1"/>
      <c r="V221" s="1"/>
    </row>
    <row r="222" spans="1:22" ht="13.5" customHeight="1" x14ac:dyDescent="0.45">
      <c r="A222" s="1"/>
      <c r="B222" s="1"/>
      <c r="C222" s="1"/>
      <c r="D222" s="1"/>
      <c r="E222" s="1"/>
      <c r="F222" s="1"/>
      <c r="G222" s="1"/>
      <c r="H222" s="1"/>
      <c r="I222" s="1"/>
      <c r="J222" s="1"/>
      <c r="K222" s="1"/>
      <c r="L222" s="1"/>
      <c r="M222" s="1"/>
      <c r="N222" s="1"/>
      <c r="O222" s="1"/>
      <c r="P222" s="1"/>
      <c r="Q222" s="1"/>
      <c r="R222" s="1"/>
      <c r="S222" s="1"/>
      <c r="T222" s="1"/>
      <c r="U222" s="1"/>
      <c r="V222" s="1"/>
    </row>
    <row r="223" spans="1:22" ht="13.5" customHeight="1" x14ac:dyDescent="0.45">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45">
      <c r="A224" s="3"/>
      <c r="B224" s="3"/>
      <c r="C224" s="3"/>
      <c r="D224" s="3"/>
      <c r="E224" s="3"/>
      <c r="F224" s="3"/>
      <c r="G224" s="3"/>
      <c r="H224" s="3"/>
      <c r="I224" s="3"/>
      <c r="J224" s="3"/>
      <c r="K224" s="3"/>
      <c r="L224" s="3"/>
      <c r="M224" s="3"/>
      <c r="N224" s="3"/>
      <c r="O224" s="3"/>
      <c r="P224" s="3"/>
      <c r="Q224" s="3"/>
      <c r="R224" s="3"/>
      <c r="S224" s="3"/>
      <c r="T224" s="3"/>
      <c r="U224" s="3"/>
      <c r="V224" s="3"/>
    </row>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6">
    <mergeCell ref="B23:J27"/>
    <mergeCell ref="B2:J4"/>
    <mergeCell ref="B6:J8"/>
    <mergeCell ref="B10:J12"/>
    <mergeCell ref="B14:J16"/>
    <mergeCell ref="B18:J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0002-0E50-45FC-974B-0A72546992E9}">
  <dimension ref="A1:O22"/>
  <sheetViews>
    <sheetView workbookViewId="0">
      <selection sqref="A1:XFD1048576"/>
    </sheetView>
  </sheetViews>
  <sheetFormatPr defaultRowHeight="16.5" x14ac:dyDescent="0.45"/>
  <cols>
    <col min="1" max="1" width="25.23046875" bestFit="1" customWidth="1"/>
    <col min="2" max="2" width="9.23046875" bestFit="1" customWidth="1"/>
    <col min="3" max="3" width="22.3046875" style="608" bestFit="1" customWidth="1"/>
    <col min="4" max="4" width="85.07421875" bestFit="1" customWidth="1"/>
  </cols>
  <sheetData>
    <row r="1" spans="1:15" ht="25.5" customHeight="1" x14ac:dyDescent="0.45">
      <c r="A1" s="601" t="s">
        <v>6</v>
      </c>
      <c r="B1" s="602" t="s">
        <v>7</v>
      </c>
      <c r="C1" s="603" t="s">
        <v>8</v>
      </c>
      <c r="D1" s="604" t="s">
        <v>9</v>
      </c>
      <c r="E1" s="594"/>
      <c r="F1" s="588"/>
      <c r="G1" s="588"/>
      <c r="H1" s="588"/>
      <c r="I1" s="588"/>
      <c r="J1" s="588"/>
      <c r="K1" s="588"/>
      <c r="L1" s="588"/>
      <c r="M1" s="588"/>
      <c r="N1" s="588"/>
      <c r="O1" s="588"/>
    </row>
    <row r="2" spans="1:15" x14ac:dyDescent="0.45">
      <c r="A2" s="624" t="s">
        <v>10</v>
      </c>
      <c r="B2" s="625">
        <v>45075</v>
      </c>
      <c r="C2" s="605" t="s">
        <v>11</v>
      </c>
      <c r="D2" s="595" t="s">
        <v>12</v>
      </c>
      <c r="E2" s="594"/>
      <c r="F2" s="588"/>
      <c r="G2" s="588"/>
      <c r="H2" s="588"/>
      <c r="I2" s="588"/>
      <c r="J2" s="588"/>
      <c r="K2" s="588"/>
      <c r="L2" s="588"/>
      <c r="M2" s="588"/>
      <c r="N2" s="588"/>
      <c r="O2" s="588"/>
    </row>
    <row r="3" spans="1:15" ht="95.25" customHeight="1" x14ac:dyDescent="0.45">
      <c r="A3" s="624"/>
      <c r="B3" s="625"/>
      <c r="C3" s="606" t="s">
        <v>13</v>
      </c>
      <c r="D3" s="596" t="s">
        <v>14</v>
      </c>
      <c r="E3" s="594"/>
      <c r="F3" s="588"/>
      <c r="G3" s="588"/>
      <c r="H3" s="588"/>
      <c r="I3" s="588"/>
      <c r="J3" s="588"/>
      <c r="K3" s="588"/>
      <c r="L3" s="588"/>
      <c r="M3" s="588"/>
      <c r="N3" s="588"/>
      <c r="O3" s="588"/>
    </row>
    <row r="4" spans="1:15" x14ac:dyDescent="0.45">
      <c r="A4" s="597"/>
      <c r="B4" s="594"/>
      <c r="C4" s="605"/>
      <c r="D4" s="595"/>
      <c r="E4" s="594"/>
      <c r="F4" s="588"/>
      <c r="G4" s="588"/>
      <c r="H4" s="588"/>
      <c r="I4" s="588"/>
      <c r="J4" s="588"/>
      <c r="K4" s="588"/>
      <c r="L4" s="588"/>
      <c r="M4" s="588"/>
      <c r="N4" s="588"/>
      <c r="O4" s="588"/>
    </row>
    <row r="5" spans="1:15" x14ac:dyDescent="0.45">
      <c r="A5" s="597"/>
      <c r="B5" s="594"/>
      <c r="C5" s="605"/>
      <c r="D5" s="595"/>
      <c r="E5" s="594"/>
      <c r="F5" s="588"/>
      <c r="G5" s="588"/>
      <c r="H5" s="588"/>
      <c r="I5" s="588"/>
      <c r="J5" s="588"/>
      <c r="K5" s="588"/>
      <c r="L5" s="588"/>
      <c r="M5" s="588"/>
      <c r="N5" s="588"/>
      <c r="O5" s="588"/>
    </row>
    <row r="6" spans="1:15" x14ac:dyDescent="0.45">
      <c r="A6" s="597"/>
      <c r="B6" s="594"/>
      <c r="C6" s="605"/>
      <c r="D6" s="595"/>
      <c r="E6" s="594"/>
      <c r="F6" s="588"/>
      <c r="G6" s="588"/>
      <c r="H6" s="588"/>
      <c r="I6" s="588"/>
      <c r="J6" s="588"/>
      <c r="K6" s="588"/>
      <c r="L6" s="588"/>
      <c r="M6" s="588"/>
      <c r="N6" s="588"/>
      <c r="O6" s="588"/>
    </row>
    <row r="7" spans="1:15" x14ac:dyDescent="0.45">
      <c r="A7" s="597"/>
      <c r="B7" s="594"/>
      <c r="C7" s="605"/>
      <c r="D7" s="595"/>
      <c r="E7" s="594"/>
      <c r="F7" s="588"/>
      <c r="G7" s="588"/>
      <c r="H7" s="588"/>
      <c r="I7" s="588"/>
      <c r="J7" s="588"/>
      <c r="K7" s="588"/>
      <c r="L7" s="588"/>
      <c r="M7" s="588"/>
      <c r="N7" s="588"/>
      <c r="O7" s="588"/>
    </row>
    <row r="8" spans="1:15" x14ac:dyDescent="0.45">
      <c r="A8" s="597"/>
      <c r="B8" s="594"/>
      <c r="C8" s="605"/>
      <c r="D8" s="595"/>
      <c r="E8" s="594"/>
      <c r="F8" s="588"/>
      <c r="G8" s="588"/>
      <c r="H8" s="588"/>
      <c r="I8" s="588"/>
      <c r="J8" s="588"/>
      <c r="K8" s="588"/>
      <c r="L8" s="588"/>
      <c r="M8" s="588"/>
      <c r="N8" s="588"/>
      <c r="O8" s="588"/>
    </row>
    <row r="9" spans="1:15" x14ac:dyDescent="0.45">
      <c r="A9" s="597"/>
      <c r="B9" s="594"/>
      <c r="C9" s="605"/>
      <c r="D9" s="595"/>
      <c r="E9" s="594"/>
      <c r="F9" s="588"/>
      <c r="G9" s="588"/>
      <c r="H9" s="588"/>
      <c r="I9" s="588"/>
      <c r="J9" s="588"/>
      <c r="K9" s="588"/>
      <c r="L9" s="588"/>
      <c r="M9" s="588"/>
      <c r="N9" s="588"/>
      <c r="O9" s="588"/>
    </row>
    <row r="10" spans="1:15" x14ac:dyDescent="0.45">
      <c r="A10" s="597"/>
      <c r="B10" s="594"/>
      <c r="C10" s="605"/>
      <c r="D10" s="595"/>
      <c r="E10" s="594"/>
      <c r="F10" s="588"/>
      <c r="G10" s="588"/>
      <c r="H10" s="588"/>
      <c r="I10" s="588"/>
      <c r="J10" s="588"/>
      <c r="K10" s="588"/>
      <c r="L10" s="588"/>
      <c r="M10" s="588"/>
      <c r="N10" s="588"/>
      <c r="O10" s="588"/>
    </row>
    <row r="11" spans="1:15" x14ac:dyDescent="0.45">
      <c r="A11" s="597"/>
      <c r="B11" s="594"/>
      <c r="C11" s="605"/>
      <c r="D11" s="595"/>
      <c r="E11" s="594"/>
      <c r="F11" s="588"/>
      <c r="G11" s="588"/>
      <c r="H11" s="588"/>
      <c r="I11" s="588"/>
      <c r="J11" s="588"/>
      <c r="K11" s="588"/>
      <c r="L11" s="588"/>
      <c r="M11" s="588"/>
      <c r="N11" s="588"/>
      <c r="O11" s="588"/>
    </row>
    <row r="12" spans="1:15" x14ac:dyDescent="0.45">
      <c r="A12" s="597"/>
      <c r="B12" s="594"/>
      <c r="C12" s="605"/>
      <c r="D12" s="595"/>
      <c r="E12" s="594"/>
      <c r="F12" s="588"/>
      <c r="G12" s="588"/>
      <c r="H12" s="588"/>
      <c r="I12" s="588"/>
      <c r="J12" s="588"/>
      <c r="K12" s="588"/>
      <c r="L12" s="588"/>
      <c r="M12" s="588"/>
      <c r="N12" s="588"/>
      <c r="O12" s="588"/>
    </row>
    <row r="13" spans="1:15" x14ac:dyDescent="0.45">
      <c r="A13" s="597"/>
      <c r="B13" s="594"/>
      <c r="C13" s="605"/>
      <c r="D13" s="595"/>
      <c r="E13" s="594"/>
      <c r="F13" s="588"/>
      <c r="G13" s="588"/>
      <c r="H13" s="588"/>
      <c r="I13" s="588"/>
      <c r="J13" s="588"/>
      <c r="K13" s="588"/>
      <c r="L13" s="588"/>
      <c r="M13" s="588"/>
      <c r="N13" s="588"/>
      <c r="O13" s="588"/>
    </row>
    <row r="14" spans="1:15" x14ac:dyDescent="0.45">
      <c r="A14" s="597"/>
      <c r="B14" s="594"/>
      <c r="C14" s="605"/>
      <c r="D14" s="595"/>
      <c r="E14" s="594"/>
      <c r="F14" s="588"/>
      <c r="G14" s="588"/>
      <c r="H14" s="588"/>
      <c r="I14" s="588"/>
      <c r="J14" s="588"/>
      <c r="K14" s="588"/>
      <c r="L14" s="588"/>
      <c r="M14" s="588"/>
      <c r="N14" s="588"/>
      <c r="O14" s="588"/>
    </row>
    <row r="15" spans="1:15" x14ac:dyDescent="0.45">
      <c r="A15" s="597"/>
      <c r="B15" s="594"/>
      <c r="C15" s="605"/>
      <c r="D15" s="595"/>
      <c r="E15" s="594"/>
      <c r="F15" s="588"/>
      <c r="G15" s="588"/>
      <c r="H15" s="588"/>
      <c r="I15" s="588"/>
      <c r="J15" s="588"/>
      <c r="K15" s="588"/>
      <c r="L15" s="588"/>
      <c r="M15" s="588"/>
      <c r="N15" s="588"/>
      <c r="O15" s="588"/>
    </row>
    <row r="16" spans="1:15" x14ac:dyDescent="0.45">
      <c r="A16" s="597"/>
      <c r="B16" s="594"/>
      <c r="C16" s="605"/>
      <c r="D16" s="595"/>
      <c r="E16" s="594"/>
      <c r="F16" s="588"/>
      <c r="G16" s="588"/>
      <c r="H16" s="588"/>
      <c r="I16" s="588"/>
      <c r="J16" s="588"/>
      <c r="K16" s="588"/>
      <c r="L16" s="588"/>
      <c r="M16" s="588"/>
      <c r="N16" s="588"/>
      <c r="O16" s="588"/>
    </row>
    <row r="17" spans="1:15" x14ac:dyDescent="0.45">
      <c r="A17" s="597"/>
      <c r="B17" s="594"/>
      <c r="C17" s="605"/>
      <c r="D17" s="595"/>
      <c r="E17" s="594"/>
      <c r="F17" s="588"/>
      <c r="G17" s="588"/>
      <c r="H17" s="588"/>
      <c r="I17" s="588"/>
      <c r="J17" s="588"/>
      <c r="K17" s="588"/>
      <c r="L17" s="588"/>
      <c r="M17" s="588"/>
      <c r="N17" s="588"/>
      <c r="O17" s="588"/>
    </row>
    <row r="18" spans="1:15" x14ac:dyDescent="0.45">
      <c r="A18" s="598"/>
      <c r="B18" s="599"/>
      <c r="C18" s="607"/>
      <c r="D18" s="600"/>
      <c r="E18" s="594"/>
      <c r="F18" s="588"/>
      <c r="G18" s="588"/>
      <c r="H18" s="588"/>
      <c r="I18" s="588"/>
      <c r="J18" s="588"/>
      <c r="K18" s="588"/>
      <c r="L18" s="588"/>
      <c r="M18" s="588"/>
      <c r="N18" s="588"/>
      <c r="O18" s="588"/>
    </row>
    <row r="19" spans="1:15" x14ac:dyDescent="0.45">
      <c r="A19" s="594"/>
      <c r="B19" s="594"/>
      <c r="C19" s="605"/>
      <c r="D19" s="594"/>
      <c r="E19" s="588"/>
      <c r="F19" s="588"/>
      <c r="G19" s="588"/>
      <c r="H19" s="588"/>
      <c r="I19" s="588"/>
      <c r="J19" s="588"/>
      <c r="K19" s="588"/>
      <c r="L19" s="588"/>
      <c r="M19" s="588"/>
      <c r="N19" s="588"/>
      <c r="O19" s="588"/>
    </row>
    <row r="20" spans="1:15" x14ac:dyDescent="0.45">
      <c r="A20" s="588"/>
      <c r="B20" s="588"/>
      <c r="C20" s="589"/>
      <c r="D20" s="588"/>
      <c r="E20" s="588"/>
      <c r="F20" s="588"/>
      <c r="G20" s="588"/>
      <c r="H20" s="588"/>
      <c r="I20" s="588"/>
      <c r="J20" s="588"/>
      <c r="K20" s="588"/>
      <c r="L20" s="588"/>
      <c r="M20" s="588"/>
      <c r="N20" s="588"/>
      <c r="O20" s="588"/>
    </row>
    <row r="21" spans="1:15" x14ac:dyDescent="0.45">
      <c r="A21" s="588"/>
      <c r="B21" s="588"/>
      <c r="C21" s="589"/>
      <c r="D21" s="588"/>
      <c r="E21" s="588"/>
      <c r="F21" s="588"/>
      <c r="G21" s="588"/>
      <c r="H21" s="588"/>
      <c r="I21" s="588"/>
      <c r="J21" s="588"/>
      <c r="K21" s="588"/>
      <c r="L21" s="588"/>
      <c r="M21" s="588"/>
      <c r="N21" s="588"/>
      <c r="O21" s="588"/>
    </row>
    <row r="22" spans="1:15" x14ac:dyDescent="0.45">
      <c r="A22" s="588"/>
      <c r="B22" s="588"/>
      <c r="C22" s="589"/>
      <c r="D22" s="588"/>
      <c r="E22" s="588"/>
      <c r="F22" s="588"/>
      <c r="G22" s="588"/>
      <c r="H22" s="588"/>
      <c r="I22" s="588"/>
      <c r="J22" s="588"/>
      <c r="K22" s="588"/>
      <c r="L22" s="588"/>
      <c r="M22" s="588"/>
      <c r="N22" s="588"/>
      <c r="O22" s="588"/>
    </row>
  </sheetData>
  <mergeCells count="2">
    <mergeCell ref="A2:A3"/>
    <mergeCell ref="B2: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35C9-56A0-47B6-AA96-4EBADF91EFD6}">
  <dimension ref="A1:O22"/>
  <sheetViews>
    <sheetView workbookViewId="0">
      <selection activeCell="C15" sqref="C15"/>
    </sheetView>
  </sheetViews>
  <sheetFormatPr defaultColWidth="8.921875" defaultRowHeight="16.5" x14ac:dyDescent="0.45"/>
  <cols>
    <col min="1" max="1" width="3.61328125" customWidth="1"/>
    <col min="2" max="2" width="9.23046875" bestFit="1" customWidth="1"/>
    <col min="3" max="3" width="92.3828125" style="608" bestFit="1" customWidth="1"/>
    <col min="4" max="4" width="28.61328125" customWidth="1"/>
  </cols>
  <sheetData>
    <row r="1" spans="1:15" ht="25.5" customHeight="1" x14ac:dyDescent="0.45">
      <c r="A1" s="601" t="s">
        <v>15</v>
      </c>
      <c r="B1" s="602" t="s">
        <v>16</v>
      </c>
      <c r="C1" s="603"/>
      <c r="D1" s="604"/>
      <c r="E1" s="594"/>
      <c r="F1" s="588"/>
      <c r="G1" s="588"/>
      <c r="H1" s="588"/>
      <c r="I1" s="588"/>
      <c r="J1" s="588"/>
      <c r="K1" s="588"/>
      <c r="L1" s="588"/>
      <c r="M1" s="588"/>
      <c r="N1" s="588"/>
      <c r="O1" s="588"/>
    </row>
    <row r="2" spans="1:15" x14ac:dyDescent="0.45">
      <c r="A2" s="597">
        <v>1</v>
      </c>
      <c r="B2" s="594" t="s">
        <v>17</v>
      </c>
      <c r="C2" s="605" t="s">
        <v>18</v>
      </c>
      <c r="D2" s="595"/>
      <c r="E2" s="594"/>
      <c r="F2" s="588"/>
      <c r="G2" s="588"/>
      <c r="H2" s="588"/>
      <c r="I2" s="588"/>
      <c r="J2" s="588"/>
      <c r="K2" s="588"/>
      <c r="L2" s="588"/>
      <c r="M2" s="588"/>
      <c r="N2" s="588"/>
      <c r="O2" s="588"/>
    </row>
    <row r="3" spans="1:15" ht="95.25" customHeight="1" x14ac:dyDescent="0.45">
      <c r="A3" s="597"/>
      <c r="B3" s="594"/>
      <c r="C3" s="605"/>
      <c r="D3" s="595"/>
      <c r="E3" s="594"/>
      <c r="F3" s="588"/>
      <c r="G3" s="588"/>
      <c r="H3" s="588"/>
      <c r="I3" s="588"/>
      <c r="J3" s="588"/>
      <c r="K3" s="588"/>
      <c r="L3" s="588"/>
      <c r="M3" s="588"/>
      <c r="N3" s="588"/>
      <c r="O3" s="588"/>
    </row>
    <row r="4" spans="1:15" x14ac:dyDescent="0.45">
      <c r="A4" s="597"/>
      <c r="B4" s="594"/>
      <c r="C4" s="605"/>
      <c r="D4" s="595"/>
      <c r="E4" s="594"/>
      <c r="F4" s="588"/>
      <c r="G4" s="588"/>
      <c r="H4" s="588"/>
      <c r="I4" s="588"/>
      <c r="J4" s="588"/>
      <c r="K4" s="588"/>
      <c r="L4" s="588"/>
      <c r="M4" s="588"/>
      <c r="N4" s="588"/>
      <c r="O4" s="588"/>
    </row>
    <row r="5" spans="1:15" x14ac:dyDescent="0.45">
      <c r="A5" s="597"/>
      <c r="B5" s="594"/>
      <c r="C5" s="605"/>
      <c r="D5" s="595"/>
      <c r="E5" s="594"/>
      <c r="F5" s="588"/>
      <c r="G5" s="588"/>
      <c r="H5" s="588"/>
      <c r="I5" s="588"/>
      <c r="J5" s="588"/>
      <c r="K5" s="588"/>
      <c r="L5" s="588"/>
      <c r="M5" s="588"/>
      <c r="N5" s="588"/>
      <c r="O5" s="588"/>
    </row>
    <row r="6" spans="1:15" x14ac:dyDescent="0.45">
      <c r="A6" s="597"/>
      <c r="B6" s="594"/>
      <c r="C6" s="605"/>
      <c r="D6" s="595"/>
      <c r="E6" s="594"/>
      <c r="F6" s="588"/>
      <c r="G6" s="588"/>
      <c r="H6" s="588"/>
      <c r="I6" s="588"/>
      <c r="J6" s="588"/>
      <c r="K6" s="588"/>
      <c r="L6" s="588"/>
      <c r="M6" s="588"/>
      <c r="N6" s="588"/>
      <c r="O6" s="588"/>
    </row>
    <row r="7" spans="1:15" x14ac:dyDescent="0.45">
      <c r="A7" s="597"/>
      <c r="B7" s="594"/>
      <c r="C7" s="605"/>
      <c r="D7" s="595"/>
      <c r="E7" s="594"/>
      <c r="F7" s="588"/>
      <c r="G7" s="588"/>
      <c r="H7" s="588"/>
      <c r="I7" s="588"/>
      <c r="J7" s="588"/>
      <c r="K7" s="588"/>
      <c r="L7" s="588"/>
      <c r="M7" s="588"/>
      <c r="N7" s="588"/>
      <c r="O7" s="588"/>
    </row>
    <row r="8" spans="1:15" x14ac:dyDescent="0.45">
      <c r="A8" s="597"/>
      <c r="B8" s="594"/>
      <c r="C8" s="605"/>
      <c r="D8" s="595"/>
      <c r="E8" s="594"/>
      <c r="F8" s="588"/>
      <c r="G8" s="588"/>
      <c r="H8" s="588"/>
      <c r="I8" s="588"/>
      <c r="J8" s="588"/>
      <c r="K8" s="588"/>
      <c r="L8" s="588"/>
      <c r="M8" s="588"/>
      <c r="N8" s="588"/>
      <c r="O8" s="588"/>
    </row>
    <row r="9" spans="1:15" x14ac:dyDescent="0.45">
      <c r="A9" s="597"/>
      <c r="B9" s="594"/>
      <c r="C9" s="605"/>
      <c r="D9" s="595"/>
      <c r="E9" s="594"/>
      <c r="F9" s="588"/>
      <c r="G9" s="588"/>
      <c r="H9" s="588"/>
      <c r="I9" s="588"/>
      <c r="J9" s="588"/>
      <c r="K9" s="588"/>
      <c r="L9" s="588"/>
      <c r="M9" s="588"/>
      <c r="N9" s="588"/>
      <c r="O9" s="588"/>
    </row>
    <row r="10" spans="1:15" x14ac:dyDescent="0.45">
      <c r="A10" s="597"/>
      <c r="B10" s="594"/>
      <c r="C10" s="605"/>
      <c r="D10" s="595"/>
      <c r="E10" s="594"/>
      <c r="F10" s="588"/>
      <c r="G10" s="588"/>
      <c r="H10" s="588"/>
      <c r="I10" s="588"/>
      <c r="J10" s="588"/>
      <c r="K10" s="588"/>
      <c r="L10" s="588"/>
      <c r="M10" s="588"/>
      <c r="N10" s="588"/>
      <c r="O10" s="588"/>
    </row>
    <row r="11" spans="1:15" x14ac:dyDescent="0.45">
      <c r="A11" s="597"/>
      <c r="B11" s="594"/>
      <c r="C11" s="605"/>
      <c r="D11" s="595"/>
      <c r="E11" s="594"/>
      <c r="F11" s="588"/>
      <c r="G11" s="588"/>
      <c r="H11" s="588"/>
      <c r="I11" s="588"/>
      <c r="J11" s="588"/>
      <c r="K11" s="588"/>
      <c r="L11" s="588"/>
      <c r="M11" s="588"/>
      <c r="N11" s="588"/>
      <c r="O11" s="588"/>
    </row>
    <row r="12" spans="1:15" x14ac:dyDescent="0.45">
      <c r="A12" s="597"/>
      <c r="B12" s="594"/>
      <c r="C12" s="605"/>
      <c r="D12" s="595"/>
      <c r="E12" s="594"/>
      <c r="F12" s="588"/>
      <c r="G12" s="588"/>
      <c r="H12" s="588"/>
      <c r="I12" s="588"/>
      <c r="J12" s="588"/>
      <c r="K12" s="588"/>
      <c r="L12" s="588"/>
      <c r="M12" s="588"/>
      <c r="N12" s="588"/>
      <c r="O12" s="588"/>
    </row>
    <row r="13" spans="1:15" x14ac:dyDescent="0.45">
      <c r="A13" s="597"/>
      <c r="B13" s="594"/>
      <c r="C13" s="605"/>
      <c r="D13" s="595"/>
      <c r="E13" s="594"/>
      <c r="F13" s="588"/>
      <c r="G13" s="588"/>
      <c r="H13" s="588"/>
      <c r="I13" s="588"/>
      <c r="J13" s="588"/>
      <c r="K13" s="588"/>
      <c r="L13" s="588"/>
      <c r="M13" s="588"/>
      <c r="N13" s="588"/>
      <c r="O13" s="588"/>
    </row>
    <row r="14" spans="1:15" x14ac:dyDescent="0.45">
      <c r="A14" s="597"/>
      <c r="B14" s="594"/>
      <c r="C14" s="605"/>
      <c r="D14" s="595"/>
      <c r="E14" s="594"/>
      <c r="F14" s="588"/>
      <c r="G14" s="588"/>
      <c r="H14" s="588"/>
      <c r="I14" s="588"/>
      <c r="J14" s="588"/>
      <c r="K14" s="588"/>
      <c r="L14" s="588"/>
      <c r="M14" s="588"/>
      <c r="N14" s="588"/>
      <c r="O14" s="588"/>
    </row>
    <row r="15" spans="1:15" x14ac:dyDescent="0.45">
      <c r="A15" s="597"/>
      <c r="B15" s="594"/>
      <c r="C15" s="605"/>
      <c r="D15" s="595"/>
      <c r="E15" s="594"/>
      <c r="F15" s="588"/>
      <c r="G15" s="588"/>
      <c r="H15" s="588"/>
      <c r="I15" s="588"/>
      <c r="J15" s="588"/>
      <c r="K15" s="588"/>
      <c r="L15" s="588"/>
      <c r="M15" s="588"/>
      <c r="N15" s="588"/>
      <c r="O15" s="588"/>
    </row>
    <row r="16" spans="1:15" x14ac:dyDescent="0.45">
      <c r="A16" s="597"/>
      <c r="B16" s="594"/>
      <c r="C16" s="605"/>
      <c r="D16" s="595"/>
      <c r="E16" s="594"/>
      <c r="F16" s="588"/>
      <c r="G16" s="588"/>
      <c r="H16" s="588"/>
      <c r="I16" s="588"/>
      <c r="J16" s="588"/>
      <c r="K16" s="588"/>
      <c r="L16" s="588"/>
      <c r="M16" s="588"/>
      <c r="N16" s="588"/>
      <c r="O16" s="588"/>
    </row>
    <row r="17" spans="1:15" x14ac:dyDescent="0.45">
      <c r="A17" s="597"/>
      <c r="B17" s="594"/>
      <c r="C17" s="605"/>
      <c r="D17" s="595"/>
      <c r="E17" s="594"/>
      <c r="F17" s="588"/>
      <c r="G17" s="588"/>
      <c r="H17" s="588"/>
      <c r="I17" s="588"/>
      <c r="J17" s="588"/>
      <c r="K17" s="588"/>
      <c r="L17" s="588"/>
      <c r="M17" s="588"/>
      <c r="N17" s="588"/>
      <c r="O17" s="588"/>
    </row>
    <row r="18" spans="1:15" x14ac:dyDescent="0.45">
      <c r="A18" s="598"/>
      <c r="B18" s="599"/>
      <c r="C18" s="607"/>
      <c r="D18" s="600"/>
      <c r="E18" s="594"/>
      <c r="F18" s="588"/>
      <c r="G18" s="588"/>
      <c r="H18" s="588"/>
      <c r="I18" s="588"/>
      <c r="J18" s="588"/>
      <c r="K18" s="588"/>
      <c r="L18" s="588"/>
      <c r="M18" s="588"/>
      <c r="N18" s="588"/>
      <c r="O18" s="588"/>
    </row>
    <row r="19" spans="1:15" x14ac:dyDescent="0.45">
      <c r="A19" s="594"/>
      <c r="B19" s="594"/>
      <c r="C19" s="605"/>
      <c r="D19" s="594"/>
      <c r="E19" s="588"/>
      <c r="F19" s="588"/>
      <c r="G19" s="588"/>
      <c r="H19" s="588"/>
      <c r="I19" s="588"/>
      <c r="J19" s="588"/>
      <c r="K19" s="588"/>
      <c r="L19" s="588"/>
      <c r="M19" s="588"/>
      <c r="N19" s="588"/>
      <c r="O19" s="588"/>
    </row>
    <row r="20" spans="1:15" x14ac:dyDescent="0.45">
      <c r="A20" s="588"/>
      <c r="B20" s="588"/>
      <c r="C20" s="589"/>
      <c r="D20" s="588"/>
      <c r="E20" s="588"/>
      <c r="F20" s="588"/>
      <c r="G20" s="588"/>
      <c r="H20" s="588"/>
      <c r="I20" s="588"/>
      <c r="J20" s="588"/>
      <c r="K20" s="588"/>
      <c r="L20" s="588"/>
      <c r="M20" s="588"/>
      <c r="N20" s="588"/>
      <c r="O20" s="588"/>
    </row>
    <row r="21" spans="1:15" x14ac:dyDescent="0.45">
      <c r="A21" s="588"/>
      <c r="B21" s="588"/>
      <c r="C21" s="589"/>
      <c r="D21" s="588"/>
      <c r="E21" s="588"/>
      <c r="F21" s="588"/>
      <c r="G21" s="588"/>
      <c r="H21" s="588"/>
      <c r="I21" s="588"/>
      <c r="J21" s="588"/>
      <c r="K21" s="588"/>
      <c r="L21" s="588"/>
      <c r="M21" s="588"/>
      <c r="N21" s="588"/>
      <c r="O21" s="588"/>
    </row>
    <row r="22" spans="1:15" x14ac:dyDescent="0.45">
      <c r="A22" s="588"/>
      <c r="B22" s="588"/>
      <c r="C22" s="589"/>
      <c r="D22" s="588"/>
      <c r="E22" s="588"/>
      <c r="F22" s="588"/>
      <c r="G22" s="588"/>
      <c r="H22" s="588"/>
      <c r="I22" s="588"/>
      <c r="J22" s="588"/>
      <c r="K22" s="588"/>
      <c r="L22" s="588"/>
      <c r="M22" s="588"/>
      <c r="N22" s="588"/>
      <c r="O22" s="58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3C47D"/>
  </sheetPr>
  <dimension ref="A1:BF592"/>
  <sheetViews>
    <sheetView topLeftCell="A243" zoomScale="85" zoomScaleNormal="85" workbookViewId="0">
      <selection activeCell="D244" sqref="D244"/>
    </sheetView>
  </sheetViews>
  <sheetFormatPr defaultColWidth="12.69140625" defaultRowHeight="15" customHeight="1" x14ac:dyDescent="0.45"/>
  <cols>
    <col min="1" max="1" width="3.23046875" customWidth="1"/>
    <col min="2" max="2" width="13.765625" customWidth="1"/>
    <col min="3" max="3" width="2.3828125" customWidth="1"/>
    <col min="4" max="4" width="60.765625" customWidth="1"/>
    <col min="5" max="6" width="13.765625" customWidth="1"/>
    <col min="7" max="7" width="15.23046875" customWidth="1"/>
    <col min="8" max="8" width="18.765625" customWidth="1"/>
    <col min="9" max="9" width="13.765625" customWidth="1"/>
    <col min="10" max="10" width="7.921875" bestFit="1" customWidth="1"/>
    <col min="11" max="11" width="19.23046875" bestFit="1" customWidth="1"/>
    <col min="12" max="37" width="13.765625" customWidth="1"/>
    <col min="38" max="38" width="11.765625" customWidth="1"/>
    <col min="39" max="46" width="12.3828125" customWidth="1"/>
  </cols>
  <sheetData>
    <row r="1" spans="1:28" ht="14.25" customHeight="1" x14ac:dyDescent="0.45">
      <c r="A1" s="618"/>
      <c r="B1" s="618"/>
      <c r="C1" s="626" t="s">
        <v>19</v>
      </c>
      <c r="D1" s="627"/>
      <c r="E1" s="627"/>
      <c r="F1" s="627"/>
      <c r="G1" s="627"/>
      <c r="H1" s="627"/>
      <c r="I1" s="628"/>
      <c r="J1" s="4"/>
      <c r="K1" s="4"/>
      <c r="L1" s="4"/>
      <c r="M1" s="4"/>
      <c r="N1" s="4"/>
      <c r="O1" s="4"/>
      <c r="P1" s="4"/>
      <c r="Q1" s="4"/>
      <c r="R1" s="4"/>
      <c r="S1" s="4"/>
      <c r="T1" s="4"/>
      <c r="U1" s="4"/>
      <c r="V1" s="4"/>
      <c r="W1" s="4"/>
      <c r="X1" s="4"/>
      <c r="Y1" s="4"/>
      <c r="Z1" s="4"/>
      <c r="AA1" s="4"/>
      <c r="AB1" s="4"/>
    </row>
    <row r="2" spans="1:28" ht="14.25" customHeight="1" x14ac:dyDescent="0.45">
      <c r="A2" s="618"/>
      <c r="B2" s="618"/>
      <c r="C2" s="618"/>
      <c r="D2" s="5"/>
      <c r="E2" s="6"/>
      <c r="F2" s="6"/>
      <c r="G2" s="6"/>
      <c r="H2" s="6"/>
      <c r="I2" s="4"/>
      <c r="J2" s="4"/>
      <c r="K2" s="4"/>
      <c r="L2" s="4"/>
      <c r="M2" s="4"/>
      <c r="N2" s="4"/>
      <c r="O2" s="4"/>
      <c r="P2" s="4"/>
      <c r="Q2" s="4"/>
      <c r="R2" s="4"/>
      <c r="S2" s="4"/>
      <c r="T2" s="4"/>
      <c r="U2" s="4"/>
      <c r="V2" s="4"/>
      <c r="W2" s="4"/>
      <c r="X2" s="4"/>
      <c r="Y2" s="4"/>
      <c r="Z2" s="4"/>
      <c r="AA2" s="4"/>
      <c r="AB2" s="4"/>
    </row>
    <row r="3" spans="1:28" ht="14.25" customHeight="1" x14ac:dyDescent="0.45">
      <c r="A3" s="618"/>
      <c r="B3" s="618"/>
      <c r="C3" s="7"/>
      <c r="D3" s="103"/>
      <c r="E3" s="104"/>
      <c r="F3" s="104"/>
      <c r="G3" s="104"/>
      <c r="H3" s="105"/>
      <c r="I3" s="4"/>
      <c r="J3" s="4"/>
      <c r="K3" s="4"/>
      <c r="L3" s="4"/>
      <c r="M3" s="4"/>
      <c r="N3" s="4"/>
      <c r="O3" s="4"/>
      <c r="P3" s="4"/>
      <c r="Q3" s="4"/>
      <c r="R3" s="4"/>
      <c r="S3" s="4"/>
      <c r="T3" s="4"/>
      <c r="U3" s="4"/>
      <c r="V3" s="4"/>
      <c r="W3" s="4"/>
      <c r="X3" s="4"/>
      <c r="Y3" s="4"/>
      <c r="Z3" s="4"/>
      <c r="AA3" s="4"/>
      <c r="AB3" s="4"/>
    </row>
    <row r="4" spans="1:28" ht="14.25" customHeight="1" x14ac:dyDescent="0.45">
      <c r="A4" s="618"/>
      <c r="B4" s="618"/>
      <c r="C4" s="106"/>
      <c r="D4" s="107" t="s">
        <v>20</v>
      </c>
      <c r="E4" s="108"/>
      <c r="F4" s="108"/>
      <c r="G4" s="108"/>
      <c r="H4" s="109"/>
      <c r="I4" s="4"/>
      <c r="J4" s="4"/>
      <c r="K4" s="4"/>
      <c r="L4" s="4"/>
      <c r="M4" s="4"/>
      <c r="N4" s="4"/>
      <c r="O4" s="4"/>
      <c r="P4" s="4"/>
      <c r="Q4" s="4"/>
      <c r="R4" s="4"/>
      <c r="S4" s="4"/>
      <c r="T4" s="4"/>
      <c r="U4" s="4"/>
      <c r="V4" s="4"/>
      <c r="W4" s="4"/>
      <c r="X4" s="4"/>
      <c r="Y4" s="4"/>
      <c r="Z4" s="4"/>
      <c r="AA4" s="4"/>
      <c r="AB4" s="4"/>
    </row>
    <row r="5" spans="1:28" ht="14.25" customHeight="1" x14ac:dyDescent="0.45">
      <c r="A5" s="4"/>
      <c r="B5" s="4"/>
      <c r="C5" s="110"/>
      <c r="D5" s="111" t="s">
        <v>21</v>
      </c>
      <c r="E5" s="112">
        <v>2018</v>
      </c>
      <c r="F5" s="112">
        <v>2019</v>
      </c>
      <c r="G5" s="112">
        <v>2020</v>
      </c>
      <c r="H5" s="113">
        <v>2021</v>
      </c>
      <c r="I5" s="4"/>
      <c r="J5" s="4"/>
      <c r="K5" s="4"/>
      <c r="L5" s="4"/>
      <c r="M5" s="4"/>
      <c r="N5" s="4"/>
      <c r="O5" s="4"/>
      <c r="P5" s="4"/>
      <c r="Q5" s="4"/>
      <c r="R5" s="4"/>
      <c r="S5" s="4"/>
      <c r="T5" s="4"/>
      <c r="U5" s="4"/>
      <c r="V5" s="4"/>
      <c r="W5" s="4"/>
      <c r="X5" s="4"/>
      <c r="Y5" s="4"/>
      <c r="Z5" s="4"/>
      <c r="AA5" s="4"/>
      <c r="AB5" s="4"/>
    </row>
    <row r="6" spans="1:28" ht="14.25" customHeight="1" x14ac:dyDescent="0.45">
      <c r="A6" s="618">
        <v>1</v>
      </c>
      <c r="B6" s="618"/>
      <c r="C6" s="114"/>
      <c r="D6" s="115" t="s">
        <v>22</v>
      </c>
      <c r="E6" s="116">
        <f>'Copia de Combustibles'!D6*$E$299*$E$305</f>
        <v>9490.5128351380972</v>
      </c>
      <c r="F6" s="116">
        <f>'Copia de Combustibles'!E6*$E$299*$E$305</f>
        <v>7577.2905785446947</v>
      </c>
      <c r="G6" s="116">
        <f>'Copia de Combustibles'!F6*$E$299*$E$305</f>
        <v>7780.8248611610143</v>
      </c>
      <c r="H6" s="117">
        <f>'Copia de Combustibles'!G6*$E$299*$E$305</f>
        <v>7966.9133481245062</v>
      </c>
      <c r="I6" s="4"/>
      <c r="J6" s="4"/>
      <c r="K6" s="4"/>
      <c r="L6" s="4"/>
      <c r="M6" s="4"/>
      <c r="N6" s="4"/>
      <c r="O6" s="4"/>
      <c r="P6" s="4"/>
      <c r="Q6" s="4"/>
      <c r="R6" s="4"/>
      <c r="S6" s="4"/>
      <c r="T6" s="4"/>
      <c r="U6" s="4"/>
      <c r="V6" s="4"/>
      <c r="W6" s="4"/>
      <c r="X6" s="4"/>
      <c r="Y6" s="4"/>
      <c r="Z6" s="4"/>
      <c r="AA6" s="4"/>
      <c r="AB6" s="4"/>
    </row>
    <row r="7" spans="1:28" ht="14.25" customHeight="1" x14ac:dyDescent="0.45">
      <c r="A7" s="618">
        <v>1.2</v>
      </c>
      <c r="B7" s="618"/>
      <c r="C7" s="114"/>
      <c r="D7" s="115" t="s">
        <v>23</v>
      </c>
      <c r="E7" s="116">
        <f>'Copia de Combustibles'!D7*$E$302*$E$305</f>
        <v>162.95572741014428</v>
      </c>
      <c r="F7" s="116">
        <f>'Copia de Combustibles'!E7*$E$302*$E$305</f>
        <v>151.75636235885662</v>
      </c>
      <c r="G7" s="116">
        <f>'Copia de Combustibles'!F7*$E$302*$E$305</f>
        <v>137.36406216650911</v>
      </c>
      <c r="H7" s="117">
        <f>'Copia de Combustibles'!G7*$E$302*$E$305</f>
        <v>146.6301625158184</v>
      </c>
      <c r="I7" s="4"/>
      <c r="J7" s="4"/>
      <c r="K7" s="4"/>
      <c r="L7" s="4"/>
      <c r="M7" s="4"/>
      <c r="N7" s="4"/>
      <c r="O7" s="4"/>
      <c r="P7" s="4"/>
      <c r="Q7" s="4"/>
      <c r="R7" s="4"/>
      <c r="S7" s="4"/>
      <c r="T7" s="4"/>
      <c r="U7" s="4"/>
      <c r="V7" s="4"/>
      <c r="W7" s="4"/>
      <c r="X7" s="4"/>
      <c r="Y7" s="4"/>
      <c r="Z7" s="4"/>
      <c r="AA7" s="4"/>
      <c r="AB7" s="4"/>
    </row>
    <row r="8" spans="1:28" ht="14.25" customHeight="1" x14ac:dyDescent="0.45">
      <c r="A8" s="618"/>
      <c r="B8" s="618"/>
      <c r="C8" s="114"/>
      <c r="D8" s="115" t="s">
        <v>24</v>
      </c>
      <c r="E8" s="116"/>
      <c r="F8" s="116"/>
      <c r="G8" s="116"/>
      <c r="H8" s="117"/>
      <c r="I8" s="4"/>
      <c r="J8" s="4"/>
      <c r="K8" s="4"/>
      <c r="L8" s="4"/>
      <c r="M8" s="4"/>
      <c r="N8" s="4"/>
      <c r="O8" s="4"/>
      <c r="P8" s="4"/>
      <c r="Q8" s="4"/>
      <c r="R8" s="4"/>
      <c r="S8" s="4"/>
      <c r="T8" s="4"/>
      <c r="U8" s="4"/>
      <c r="V8" s="4"/>
      <c r="W8" s="4"/>
      <c r="X8" s="4"/>
      <c r="Y8" s="4"/>
      <c r="Z8" s="4"/>
      <c r="AA8" s="4"/>
      <c r="AB8" s="4"/>
    </row>
    <row r="9" spans="1:28" ht="14.25" customHeight="1" x14ac:dyDescent="0.45">
      <c r="A9" s="618"/>
      <c r="B9" s="618"/>
      <c r="C9" s="106"/>
      <c r="D9" s="115"/>
      <c r="E9" s="116"/>
      <c r="F9" s="116"/>
      <c r="G9" s="116"/>
      <c r="H9" s="117"/>
      <c r="I9" s="4"/>
      <c r="J9" s="4"/>
      <c r="K9" s="4"/>
      <c r="L9" s="4"/>
      <c r="M9" s="4"/>
      <c r="N9" s="4"/>
      <c r="O9" s="4"/>
      <c r="P9" s="4"/>
      <c r="Q9" s="4"/>
      <c r="R9" s="4"/>
      <c r="S9" s="4"/>
      <c r="T9" s="4"/>
      <c r="U9" s="4"/>
      <c r="V9" s="4"/>
      <c r="W9" s="4"/>
      <c r="X9" s="4"/>
      <c r="Y9" s="4"/>
      <c r="Z9" s="4"/>
      <c r="AA9" s="4"/>
      <c r="AB9" s="4"/>
    </row>
    <row r="10" spans="1:28" ht="14.25" customHeight="1" x14ac:dyDescent="0.45">
      <c r="A10" s="618"/>
      <c r="B10" s="618"/>
      <c r="C10" s="118"/>
      <c r="D10" s="119" t="s">
        <v>25</v>
      </c>
      <c r="E10" s="120">
        <f>SUM(E6:E8)</f>
        <v>9653.4685625482416</v>
      </c>
      <c r="F10" s="120">
        <f>SUM(F6:F8)</f>
        <v>7729.0469409035513</v>
      </c>
      <c r="G10" s="120">
        <f>SUM(G6:G8)</f>
        <v>7918.1889233275233</v>
      </c>
      <c r="H10" s="121">
        <f>SUM(H6:H7)</f>
        <v>8113.5435106403247</v>
      </c>
      <c r="I10" s="4"/>
      <c r="J10" s="4"/>
      <c r="K10" s="4"/>
      <c r="L10" s="4"/>
      <c r="M10" s="4"/>
      <c r="N10" s="4"/>
      <c r="O10" s="4"/>
      <c r="P10" s="4"/>
      <c r="Q10" s="4"/>
      <c r="R10" s="4"/>
      <c r="S10" s="4"/>
      <c r="T10" s="4"/>
      <c r="U10" s="4"/>
      <c r="V10" s="4"/>
      <c r="W10" s="4"/>
      <c r="X10" s="4"/>
      <c r="Y10" s="4"/>
      <c r="Z10" s="4"/>
      <c r="AA10" s="4"/>
      <c r="AB10" s="4"/>
    </row>
    <row r="11" spans="1:28" ht="14.25" customHeight="1" x14ac:dyDescent="0.45">
      <c r="A11" s="618"/>
      <c r="B11" s="618"/>
      <c r="C11" s="618"/>
      <c r="D11" s="618"/>
      <c r="E11" s="618"/>
      <c r="F11" s="618"/>
      <c r="G11" s="618"/>
      <c r="H11" s="618"/>
      <c r="I11" s="618"/>
      <c r="J11" s="618"/>
      <c r="K11" s="4"/>
      <c r="L11" s="4"/>
      <c r="M11" s="4"/>
      <c r="N11" s="4"/>
      <c r="O11" s="4"/>
      <c r="P11" s="4"/>
      <c r="Q11" s="4"/>
      <c r="R11" s="4"/>
      <c r="S11" s="4"/>
      <c r="T11" s="4"/>
      <c r="U11" s="4"/>
      <c r="V11" s="4"/>
      <c r="W11" s="4"/>
      <c r="X11" s="4"/>
      <c r="Y11" s="4"/>
      <c r="Z11" s="4"/>
      <c r="AA11" s="4"/>
      <c r="AB11" s="4"/>
    </row>
    <row r="12" spans="1:28" ht="14.25" customHeight="1" x14ac:dyDescent="0.45">
      <c r="A12" s="4"/>
      <c r="B12" s="4"/>
      <c r="C12" s="8"/>
      <c r="D12" s="122" t="s">
        <v>26</v>
      </c>
      <c r="E12" s="123">
        <v>2018</v>
      </c>
      <c r="F12" s="123">
        <v>2019</v>
      </c>
      <c r="G12" s="123">
        <v>2020</v>
      </c>
      <c r="H12" s="124">
        <v>2021</v>
      </c>
      <c r="I12" s="4"/>
      <c r="J12" s="4"/>
      <c r="K12" s="4"/>
      <c r="L12" s="4"/>
      <c r="M12" s="4"/>
      <c r="N12" s="4"/>
      <c r="O12" s="4"/>
      <c r="P12" s="4"/>
      <c r="Q12" s="4"/>
      <c r="R12" s="4"/>
      <c r="S12" s="4"/>
      <c r="T12" s="4"/>
      <c r="U12" s="4"/>
      <c r="V12" s="4"/>
      <c r="W12" s="4"/>
      <c r="X12" s="4"/>
      <c r="Y12" s="4"/>
      <c r="Z12" s="4"/>
      <c r="AA12" s="4"/>
      <c r="AB12" s="4"/>
    </row>
    <row r="13" spans="1:28" ht="14.25" customHeight="1" x14ac:dyDescent="0.45">
      <c r="A13" s="618">
        <v>1</v>
      </c>
      <c r="B13" s="618"/>
      <c r="C13" s="114"/>
      <c r="D13" s="115" t="s">
        <v>27</v>
      </c>
      <c r="E13" s="116">
        <f>'Copia de Combustibles'!D13*$E$299*$E$305</f>
        <v>15672.139761456601</v>
      </c>
      <c r="F13" s="116">
        <f>'Copia de Combustibles'!E13*$E$299*$E$305</f>
        <v>13020.378822226839</v>
      </c>
      <c r="G13" s="116">
        <f>'Copia de Combustibles'!F13*$E$299*$E$305</f>
        <v>13125.053596143804</v>
      </c>
      <c r="H13" s="117">
        <f>'Copia de Combustibles'!G13*$E$299*$E$305</f>
        <v>11985.261613492414</v>
      </c>
      <c r="I13" s="4"/>
      <c r="J13" s="4"/>
      <c r="K13" s="4"/>
      <c r="L13" s="4"/>
      <c r="M13" s="4"/>
      <c r="N13" s="4"/>
      <c r="O13" s="4"/>
      <c r="P13" s="4"/>
      <c r="Q13" s="4"/>
      <c r="R13" s="4"/>
      <c r="S13" s="4"/>
      <c r="T13" s="4"/>
      <c r="U13" s="4"/>
      <c r="V13" s="4"/>
      <c r="W13" s="4"/>
      <c r="X13" s="4"/>
      <c r="Y13" s="4"/>
      <c r="Z13" s="4"/>
      <c r="AA13" s="4"/>
      <c r="AB13" s="4"/>
    </row>
    <row r="14" spans="1:28" ht="14.25" customHeight="1" x14ac:dyDescent="0.45">
      <c r="A14" s="618">
        <v>1</v>
      </c>
      <c r="B14" s="618"/>
      <c r="C14" s="114"/>
      <c r="D14" s="115" t="s">
        <v>28</v>
      </c>
      <c r="E14" s="116">
        <f>'Copia de Combustibles'!D14*$E$299*$E$305</f>
        <v>8594.9619916262927</v>
      </c>
      <c r="F14" s="116">
        <f>'Copia de Combustibles'!E14*$E$299*$E$305</f>
        <v>9891.7661351531278</v>
      </c>
      <c r="G14" s="116">
        <f>'Copia de Combustibles'!F14*$E$299*$E$305</f>
        <v>10258.127843862503</v>
      </c>
      <c r="H14" s="117">
        <f>'Copia de Combustibles'!G14*$E$299*$E$305</f>
        <v>7100.4388307007457</v>
      </c>
      <c r="I14" s="4"/>
      <c r="J14" s="4"/>
      <c r="K14" s="4"/>
      <c r="L14" s="4"/>
      <c r="M14" s="4"/>
      <c r="N14" s="4"/>
      <c r="O14" s="4"/>
      <c r="P14" s="4"/>
      <c r="Q14" s="4"/>
      <c r="R14" s="4"/>
      <c r="S14" s="4"/>
      <c r="T14" s="4"/>
      <c r="U14" s="4"/>
      <c r="V14" s="4"/>
      <c r="W14" s="4"/>
      <c r="X14" s="4"/>
      <c r="Y14" s="4"/>
      <c r="Z14" s="4"/>
      <c r="AA14" s="4"/>
      <c r="AB14" s="4"/>
    </row>
    <row r="15" spans="1:28" ht="14.25" customHeight="1" x14ac:dyDescent="0.45">
      <c r="A15" s="618">
        <v>1</v>
      </c>
      <c r="B15" s="618"/>
      <c r="C15" s="125"/>
      <c r="D15" s="119" t="s">
        <v>29</v>
      </c>
      <c r="E15" s="120">
        <f>'Copia de Combustibles'!D15*$E$299*$E$305</f>
        <v>4425.4168306005467</v>
      </c>
      <c r="F15" s="120">
        <f>'Copia de Combustibles'!E15*$E$299*$E$305</f>
        <v>4483.5694827766383</v>
      </c>
      <c r="G15" s="120">
        <f>'Copia de Combustibles'!F15*$E$299*$E$305</f>
        <v>4425.4168306005467</v>
      </c>
      <c r="H15" s="121">
        <f>'Copia de Combustibles'!G15*$E$299*$E$305</f>
        <v>4855.7464567036222</v>
      </c>
      <c r="I15" s="4"/>
      <c r="J15" s="4"/>
      <c r="K15" s="4"/>
      <c r="L15" s="4"/>
      <c r="M15" s="4"/>
      <c r="N15" s="4"/>
      <c r="O15" s="4"/>
      <c r="P15" s="4"/>
      <c r="Q15" s="4"/>
      <c r="R15" s="4"/>
      <c r="S15" s="4"/>
      <c r="T15" s="4"/>
      <c r="U15" s="4"/>
      <c r="V15" s="4"/>
      <c r="W15" s="4"/>
      <c r="X15" s="4"/>
      <c r="Y15" s="4"/>
      <c r="Z15" s="4"/>
      <c r="AA15" s="4"/>
      <c r="AB15" s="4"/>
    </row>
    <row r="16" spans="1:28" ht="14.25" customHeight="1" x14ac:dyDescent="0.45">
      <c r="A16" s="618"/>
      <c r="B16" s="618"/>
      <c r="C16" s="618"/>
      <c r="D16" s="618"/>
      <c r="E16" s="618"/>
      <c r="F16" s="618"/>
      <c r="G16" s="618"/>
      <c r="H16" s="618"/>
      <c r="I16" s="618"/>
      <c r="J16" s="4"/>
      <c r="K16" s="4"/>
      <c r="L16" s="4"/>
      <c r="M16" s="4"/>
      <c r="N16" s="4"/>
      <c r="O16" s="4"/>
      <c r="P16" s="4"/>
      <c r="Q16" s="4"/>
      <c r="R16" s="4"/>
      <c r="S16" s="4"/>
      <c r="T16" s="4"/>
      <c r="U16" s="4"/>
      <c r="V16" s="4"/>
      <c r="W16" s="4"/>
      <c r="X16" s="4"/>
      <c r="Y16" s="4"/>
      <c r="Z16" s="4"/>
      <c r="AA16" s="4"/>
      <c r="AB16" s="4"/>
    </row>
    <row r="17" spans="1:58" ht="14.25" customHeight="1" x14ac:dyDescent="0.45">
      <c r="A17" s="618"/>
      <c r="B17" s="618"/>
      <c r="C17" s="7"/>
      <c r="D17" s="122" t="s">
        <v>30</v>
      </c>
      <c r="E17" s="123">
        <v>2018</v>
      </c>
      <c r="F17" s="123">
        <v>2019</v>
      </c>
      <c r="G17" s="123">
        <v>2020</v>
      </c>
      <c r="H17" s="124">
        <v>2021</v>
      </c>
      <c r="I17" s="4"/>
      <c r="J17" s="4"/>
      <c r="K17" s="4"/>
      <c r="L17" s="4"/>
      <c r="M17" s="4"/>
      <c r="N17" s="4"/>
      <c r="O17" s="4"/>
      <c r="P17" s="4"/>
      <c r="Q17" s="4"/>
      <c r="R17" s="4"/>
      <c r="S17" s="4"/>
      <c r="T17" s="4"/>
      <c r="U17" s="4"/>
      <c r="V17" s="4"/>
      <c r="W17" s="4"/>
      <c r="X17" s="4"/>
      <c r="Y17" s="4"/>
      <c r="Z17" s="4"/>
      <c r="AA17" s="4"/>
      <c r="AB17" s="4"/>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row>
    <row r="18" spans="1:58" ht="14.25" customHeight="1" x14ac:dyDescent="0.45">
      <c r="A18" s="618" t="s">
        <v>31</v>
      </c>
      <c r="B18" s="618"/>
      <c r="C18" s="114"/>
      <c r="D18" s="115" t="s">
        <v>27</v>
      </c>
      <c r="E18" s="116">
        <f>'Copia de Combustibles'!D18*$E$302*$E$305</f>
        <v>448.87338330156115</v>
      </c>
      <c r="F18" s="116">
        <f>'Copia de Combustibles'!E18*$E$302*$E$305</f>
        <v>424.24835040891514</v>
      </c>
      <c r="G18" s="116">
        <f>'Copia de Combustibles'!F18*$E$302*$E$305</f>
        <v>409.43911011807381</v>
      </c>
      <c r="H18" s="117">
        <f>'Copia de Combustibles'!G18*$E$302*$E$305</f>
        <v>418.7042271180942</v>
      </c>
      <c r="I18" s="4"/>
      <c r="J18" s="4"/>
      <c r="K18" s="4"/>
      <c r="L18" s="4"/>
      <c r="M18" s="4"/>
      <c r="N18" s="4"/>
      <c r="O18" s="4"/>
      <c r="P18" s="4"/>
      <c r="Q18" s="4"/>
      <c r="R18" s="4"/>
      <c r="S18" s="4"/>
      <c r="T18" s="4"/>
      <c r="U18" s="4"/>
      <c r="V18" s="4"/>
      <c r="W18" s="4"/>
      <c r="X18" s="4"/>
      <c r="Y18" s="4"/>
      <c r="Z18" s="4"/>
      <c r="AA18" s="4"/>
      <c r="AB18" s="4"/>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1:58" ht="14.25" customHeight="1" x14ac:dyDescent="0.45">
      <c r="A19" s="618" t="s">
        <v>31</v>
      </c>
      <c r="B19" s="618"/>
      <c r="C19" s="114"/>
      <c r="D19" s="115" t="s">
        <v>28</v>
      </c>
      <c r="E19" s="116">
        <f>'Copia de Combustibles'!D19*$E$302*$E$305</f>
        <v>0</v>
      </c>
      <c r="F19" s="116">
        <f>'Copia de Combustibles'!E19*$E$302*$E$305</f>
        <v>0</v>
      </c>
      <c r="G19" s="116">
        <f>'Copia de Combustibles'!F19*$E$302*$E$305</f>
        <v>0</v>
      </c>
      <c r="H19" s="117">
        <f>'Copia de Combustibles'!G19*$E$302*$E$305</f>
        <v>0</v>
      </c>
      <c r="I19" s="4"/>
      <c r="J19" s="4"/>
      <c r="K19" s="4"/>
      <c r="L19" s="4"/>
      <c r="M19" s="4"/>
      <c r="N19" s="4"/>
      <c r="O19" s="4"/>
      <c r="P19" s="4"/>
      <c r="Q19" s="4"/>
      <c r="R19" s="4"/>
      <c r="S19" s="4"/>
      <c r="T19" s="4"/>
      <c r="U19" s="4"/>
      <c r="V19" s="4"/>
      <c r="W19" s="4"/>
      <c r="X19" s="4"/>
      <c r="Y19" s="4"/>
      <c r="Z19" s="4"/>
      <c r="AA19" s="4"/>
      <c r="AB19" s="4"/>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1:58" ht="13.5" customHeight="1" x14ac:dyDescent="0.45">
      <c r="A20" s="618" t="s">
        <v>31</v>
      </c>
      <c r="B20" s="618"/>
      <c r="C20" s="125"/>
      <c r="D20" s="119" t="s">
        <v>29</v>
      </c>
      <c r="E20" s="120">
        <f>'Copia de Combustibles'!D20*$E$302*$E$305</f>
        <v>0</v>
      </c>
      <c r="F20" s="120">
        <f>'Copia de Combustibles'!E20*$E$302*$E$305</f>
        <v>0</v>
      </c>
      <c r="G20" s="120">
        <f>'Copia de Combustibles'!F20*$E$302*$E$305</f>
        <v>0</v>
      </c>
      <c r="H20" s="121">
        <f>'Copia de Combustibles'!G20*$E$302*$E$305</f>
        <v>0</v>
      </c>
      <c r="I20" s="4"/>
      <c r="J20" s="4"/>
      <c r="K20" s="4"/>
      <c r="L20" s="4"/>
      <c r="M20" s="4"/>
      <c r="N20" s="4"/>
      <c r="O20" s="4"/>
      <c r="P20" s="4"/>
      <c r="Q20" s="4"/>
      <c r="R20" s="4"/>
      <c r="S20" s="4"/>
      <c r="T20" s="4"/>
      <c r="U20" s="4"/>
      <c r="V20" s="4"/>
      <c r="W20" s="4"/>
      <c r="X20" s="4"/>
      <c r="Y20" s="4"/>
      <c r="Z20" s="4"/>
      <c r="AA20" s="4"/>
      <c r="AB20" s="4"/>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1:58" ht="14.25" customHeight="1" x14ac:dyDescent="0.45">
      <c r="A21" s="618"/>
      <c r="B21" s="618"/>
      <c r="C21" s="618"/>
      <c r="D21" s="618"/>
      <c r="E21" s="618"/>
      <c r="F21" s="618"/>
      <c r="G21" s="618"/>
      <c r="H21" s="618"/>
      <c r="I21" s="618"/>
      <c r="J21" s="4"/>
      <c r="K21" s="4"/>
      <c r="L21" s="4"/>
      <c r="M21" s="4"/>
      <c r="N21" s="4"/>
      <c r="O21" s="4"/>
      <c r="P21" s="4"/>
      <c r="Q21" s="4"/>
      <c r="R21" s="4"/>
      <c r="S21" s="4"/>
      <c r="T21" s="4"/>
      <c r="U21" s="4"/>
      <c r="V21" s="4"/>
      <c r="W21" s="4"/>
      <c r="X21" s="4"/>
      <c r="Y21" s="4"/>
      <c r="Z21" s="4"/>
      <c r="AA21" s="4"/>
      <c r="AB21" s="4"/>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1:58" ht="14.25" customHeight="1" x14ac:dyDescent="0.45">
      <c r="A22" s="4"/>
      <c r="B22" s="4"/>
      <c r="C22" s="8"/>
      <c r="D22" s="122" t="s">
        <v>32</v>
      </c>
      <c r="E22" s="123">
        <v>2018</v>
      </c>
      <c r="F22" s="123">
        <v>2019</v>
      </c>
      <c r="G22" s="123">
        <v>2020</v>
      </c>
      <c r="H22" s="124">
        <v>2021</v>
      </c>
      <c r="I22" s="4"/>
      <c r="J22" s="4"/>
      <c r="K22" s="4"/>
      <c r="L22" s="4"/>
      <c r="M22" s="4"/>
      <c r="N22" s="4"/>
      <c r="O22" s="4"/>
      <c r="P22" s="4"/>
      <c r="Q22" s="4"/>
      <c r="R22" s="4"/>
      <c r="S22" s="4"/>
      <c r="T22" s="4"/>
      <c r="U22" s="4"/>
      <c r="V22" s="4"/>
      <c r="W22" s="4"/>
      <c r="X22" s="4"/>
      <c r="Y22" s="4"/>
      <c r="Z22" s="4"/>
      <c r="AA22" s="4"/>
      <c r="AB22" s="4"/>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1:58" ht="14.25" customHeight="1" x14ac:dyDescent="0.45">
      <c r="A23" s="618">
        <v>1</v>
      </c>
      <c r="B23" s="618"/>
      <c r="C23" s="126"/>
      <c r="D23" s="115" t="s">
        <v>33</v>
      </c>
      <c r="E23" s="116">
        <f>'Copia de Combustibles'!D23*$E$305</f>
        <v>1097.878398599383</v>
      </c>
      <c r="F23" s="116">
        <f>'Copia de Combustibles'!E23*$E$305</f>
        <v>1127.0919271240762</v>
      </c>
      <c r="G23" s="116">
        <f>'Copia de Combustibles'!F23*$E$305</f>
        <v>1020.2948788011633</v>
      </c>
      <c r="H23" s="117">
        <f>'Copia de Combustibles'!G23*$E$305</f>
        <v>1003.7064939177933</v>
      </c>
      <c r="I23" s="4"/>
      <c r="J23" s="4"/>
      <c r="K23" s="4"/>
      <c r="L23" s="4"/>
      <c r="M23" s="4"/>
      <c r="N23" s="4"/>
      <c r="O23" s="4"/>
      <c r="P23" s="4"/>
      <c r="Q23" s="4"/>
      <c r="R23" s="4"/>
      <c r="S23" s="4"/>
      <c r="T23" s="4"/>
      <c r="U23" s="4"/>
      <c r="V23" s="4"/>
      <c r="W23" s="4"/>
      <c r="X23" s="4"/>
      <c r="Y23" s="4"/>
      <c r="Z23" s="4"/>
      <c r="AA23" s="4"/>
      <c r="AB23" s="4"/>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1:58" ht="14.25" customHeight="1" x14ac:dyDescent="0.45">
      <c r="A24" s="618">
        <v>1</v>
      </c>
      <c r="B24" s="618"/>
      <c r="C24" s="106"/>
      <c r="D24" s="115" t="s">
        <v>23</v>
      </c>
      <c r="E24" s="116">
        <f>'Copia de Combustibles'!D24*$E$305</f>
        <v>52.855462473874809</v>
      </c>
      <c r="F24" s="116">
        <f>'Copia de Combustibles'!E24*$E$305</f>
        <v>50.38508280529733</v>
      </c>
      <c r="G24" s="116">
        <f>'Copia de Combustibles'!F24*$E$305</f>
        <v>44.910759214997064</v>
      </c>
      <c r="H24" s="117">
        <f>'Copia de Combustibles'!G24*$E$305</f>
        <v>45.345474149915098</v>
      </c>
      <c r="I24" s="4"/>
      <c r="J24" s="4"/>
      <c r="K24" s="4"/>
      <c r="L24" s="4"/>
      <c r="M24" s="4"/>
      <c r="N24" s="4"/>
      <c r="O24" s="4"/>
      <c r="P24" s="4"/>
      <c r="Q24" s="4"/>
      <c r="R24" s="4"/>
      <c r="S24" s="4"/>
      <c r="T24" s="4"/>
      <c r="U24" s="4"/>
      <c r="V24" s="4"/>
      <c r="W24" s="4"/>
      <c r="X24" s="4"/>
      <c r="Y24" s="4"/>
      <c r="Z24" s="4"/>
      <c r="AA24" s="4"/>
      <c r="AB24" s="4"/>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row>
    <row r="25" spans="1:58" ht="14.25" customHeight="1" x14ac:dyDescent="0.45">
      <c r="A25" s="618">
        <v>1</v>
      </c>
      <c r="B25" s="618"/>
      <c r="C25" s="106"/>
      <c r="D25" s="115" t="s">
        <v>24</v>
      </c>
      <c r="E25" s="116"/>
      <c r="F25" s="116"/>
      <c r="G25" s="116"/>
      <c r="H25" s="117"/>
      <c r="I25" s="4"/>
      <c r="J25" s="4"/>
      <c r="K25" s="4"/>
      <c r="L25" s="4"/>
      <c r="M25" s="4"/>
      <c r="N25" s="4"/>
      <c r="O25" s="4"/>
      <c r="P25" s="4"/>
      <c r="Q25" s="4"/>
      <c r="R25" s="4"/>
      <c r="S25" s="4"/>
      <c r="T25" s="4"/>
      <c r="U25" s="4"/>
      <c r="V25" s="4"/>
      <c r="W25" s="4"/>
      <c r="X25" s="4"/>
      <c r="Y25" s="4"/>
      <c r="Z25" s="4"/>
      <c r="AA25" s="4"/>
      <c r="AB25" s="4"/>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spans="1:58" ht="14.25" customHeight="1" x14ac:dyDescent="0.45">
      <c r="A26" s="618"/>
      <c r="B26" s="618"/>
      <c r="C26" s="106"/>
      <c r="D26" s="115"/>
      <c r="E26" s="116"/>
      <c r="F26" s="116"/>
      <c r="G26" s="116"/>
      <c r="H26" s="117"/>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3"/>
      <c r="AO26" s="3"/>
      <c r="AP26" s="3"/>
      <c r="AQ26" s="3"/>
      <c r="AR26" s="3"/>
      <c r="AS26" s="3"/>
      <c r="AT26" s="3"/>
      <c r="AU26" s="3"/>
      <c r="AV26" s="3"/>
      <c r="AW26" s="3"/>
      <c r="AX26" s="3"/>
      <c r="AY26" s="3"/>
      <c r="AZ26" s="3"/>
      <c r="BA26" s="3"/>
      <c r="BB26" s="3"/>
      <c r="BC26" s="3"/>
      <c r="BD26" s="3"/>
      <c r="BE26" s="3"/>
      <c r="BF26" s="3"/>
    </row>
    <row r="27" spans="1:58" ht="14.25" customHeight="1" x14ac:dyDescent="0.45">
      <c r="A27" s="618"/>
      <c r="B27" s="618"/>
      <c r="C27" s="118"/>
      <c r="D27" s="119" t="s">
        <v>25</v>
      </c>
      <c r="E27" s="127">
        <f>SUM(E23:E24)</f>
        <v>1150.7338610732577</v>
      </c>
      <c r="F27" s="127">
        <f>SUM(F23:F24)</f>
        <v>1177.4770099293735</v>
      </c>
      <c r="G27" s="127">
        <f>SUM(G23:G24)</f>
        <v>1065.2056380161605</v>
      </c>
      <c r="H27" s="128">
        <f>SUM(H23:H24)</f>
        <v>1049.0519680677085</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3"/>
      <c r="AO27" s="3"/>
      <c r="AP27" s="3"/>
      <c r="AQ27" s="3"/>
      <c r="AR27" s="3"/>
      <c r="AS27" s="3"/>
      <c r="AT27" s="3"/>
      <c r="AU27" s="3"/>
      <c r="AV27" s="3"/>
      <c r="AW27" s="3"/>
      <c r="AX27" s="3"/>
      <c r="AY27" s="3"/>
      <c r="AZ27" s="3"/>
      <c r="BA27" s="3"/>
      <c r="BB27" s="3"/>
      <c r="BC27" s="3"/>
      <c r="BD27" s="3"/>
      <c r="BE27" s="3"/>
      <c r="BF27" s="3"/>
    </row>
    <row r="28" spans="1:58" ht="14.25" customHeight="1" x14ac:dyDescent="0.4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3"/>
      <c r="AO28" s="3"/>
      <c r="AP28" s="3"/>
      <c r="AQ28" s="3"/>
      <c r="AR28" s="3"/>
      <c r="AS28" s="3"/>
      <c r="AT28" s="3"/>
      <c r="AU28" s="3"/>
      <c r="AV28" s="3"/>
      <c r="AW28" s="3"/>
      <c r="AX28" s="3"/>
      <c r="AY28" s="3"/>
      <c r="AZ28" s="3"/>
      <c r="BA28" s="3"/>
      <c r="BB28" s="3"/>
      <c r="BC28" s="3"/>
      <c r="BD28" s="3"/>
      <c r="BE28" s="3"/>
      <c r="BF28" s="3"/>
    </row>
    <row r="29" spans="1:58" ht="14.25" customHeight="1" x14ac:dyDescent="0.45">
      <c r="A29" s="4"/>
      <c r="B29" s="4"/>
      <c r="C29" s="8"/>
      <c r="D29" s="129" t="s">
        <v>34</v>
      </c>
      <c r="E29" s="123">
        <v>2018</v>
      </c>
      <c r="F29" s="123">
        <v>2019</v>
      </c>
      <c r="G29" s="123">
        <v>2020</v>
      </c>
      <c r="H29" s="124">
        <v>2021</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3"/>
      <c r="AO29" s="3"/>
      <c r="AP29" s="3"/>
      <c r="AQ29" s="3"/>
      <c r="AR29" s="3"/>
      <c r="AS29" s="3"/>
      <c r="AT29" s="3"/>
      <c r="AU29" s="3"/>
      <c r="AV29" s="3"/>
      <c r="AW29" s="3"/>
      <c r="AX29" s="3"/>
      <c r="AY29" s="3"/>
      <c r="AZ29" s="3"/>
      <c r="BA29" s="3"/>
      <c r="BB29" s="3"/>
      <c r="BC29" s="3"/>
      <c r="BD29" s="3"/>
      <c r="BE29" s="3"/>
      <c r="BF29" s="3"/>
    </row>
    <row r="30" spans="1:58" ht="14.25" customHeight="1" x14ac:dyDescent="0.45">
      <c r="A30" s="618"/>
      <c r="B30" s="618"/>
      <c r="C30" s="130"/>
      <c r="D30" s="115" t="s">
        <v>35</v>
      </c>
      <c r="E30" s="131">
        <f>E23+E44+E57+E60+E65+E68-E145</f>
        <v>-14.297740597644747</v>
      </c>
      <c r="F30" s="132">
        <f>F23+F44+F57+F60+F65+F68-F145</f>
        <v>4.3826103667551024</v>
      </c>
      <c r="G30" s="132">
        <f>G23+G44+G57+G60+G65+G68-G145</f>
        <v>17.123448523497018</v>
      </c>
      <c r="H30" s="133">
        <f>H23+H44+H57+H60+H65+H68-H145</f>
        <v>-9.9901907376123518</v>
      </c>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3"/>
      <c r="AO30" s="3"/>
      <c r="AP30" s="3"/>
      <c r="AQ30" s="3"/>
      <c r="AR30" s="3"/>
      <c r="AS30" s="3"/>
      <c r="AT30" s="3"/>
      <c r="AU30" s="3"/>
      <c r="AV30" s="3"/>
      <c r="AW30" s="3"/>
      <c r="AX30" s="3"/>
      <c r="AY30" s="3"/>
      <c r="AZ30" s="3"/>
      <c r="BA30" s="3"/>
      <c r="BB30" s="3"/>
      <c r="BC30" s="3"/>
      <c r="BD30" s="3"/>
      <c r="BE30" s="3"/>
      <c r="BF30" s="3"/>
    </row>
    <row r="31" spans="1:58" ht="14.25" customHeight="1" x14ac:dyDescent="0.45">
      <c r="A31" s="618"/>
      <c r="B31" s="618"/>
      <c r="C31" s="106"/>
      <c r="D31" s="115" t="s">
        <v>23</v>
      </c>
      <c r="E31" s="132">
        <f>E24+E61+E69+E124+E125-E255</f>
        <v>20.964402192685281</v>
      </c>
      <c r="F31" s="132">
        <f>F24+F61+F69+F124+F125-F255</f>
        <v>21.180981872095582</v>
      </c>
      <c r="G31" s="132">
        <f>G24+G61+G69+G124+G125-G255</f>
        <v>18.895590992896707</v>
      </c>
      <c r="H31" s="134">
        <f>H24+H61+H69+H124+H125-H255</f>
        <v>18.469240046856676</v>
      </c>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3"/>
      <c r="AO31" s="3"/>
      <c r="AP31" s="3"/>
      <c r="AQ31" s="3"/>
      <c r="AR31" s="3"/>
      <c r="AS31" s="3"/>
      <c r="AT31" s="3"/>
      <c r="AU31" s="3"/>
      <c r="AV31" s="3"/>
      <c r="AW31" s="3"/>
      <c r="AX31" s="3"/>
      <c r="AY31" s="3"/>
      <c r="AZ31" s="3"/>
      <c r="BA31" s="3"/>
      <c r="BB31" s="3"/>
      <c r="BC31" s="3"/>
      <c r="BD31" s="3"/>
      <c r="BE31" s="3"/>
      <c r="BF31" s="3"/>
    </row>
    <row r="32" spans="1:58" ht="14.25" customHeight="1" x14ac:dyDescent="0.45">
      <c r="A32" s="618"/>
      <c r="B32" s="618"/>
      <c r="C32" s="106"/>
      <c r="D32" s="115" t="s">
        <v>24</v>
      </c>
      <c r="E32" s="132">
        <f>E61+E69+E124+E125</f>
        <v>-12.015221199935358</v>
      </c>
      <c r="F32" s="132"/>
      <c r="G32" s="132"/>
      <c r="H32" s="13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3"/>
      <c r="AO32" s="3"/>
      <c r="AP32" s="3"/>
      <c r="AQ32" s="3"/>
      <c r="AR32" s="3"/>
      <c r="AS32" s="3"/>
      <c r="AT32" s="3"/>
      <c r="AU32" s="3"/>
      <c r="AV32" s="3"/>
      <c r="AW32" s="3"/>
      <c r="AX32" s="3"/>
      <c r="AY32" s="3"/>
      <c r="AZ32" s="3"/>
      <c r="BA32" s="3"/>
      <c r="BB32" s="3"/>
      <c r="BC32" s="3"/>
      <c r="BD32" s="3"/>
      <c r="BE32" s="3"/>
      <c r="BF32" s="3"/>
    </row>
    <row r="33" spans="1:58" ht="14.25" customHeight="1" x14ac:dyDescent="0.45">
      <c r="A33" s="618"/>
      <c r="B33" s="618"/>
      <c r="C33" s="106"/>
      <c r="D33" s="115"/>
      <c r="E33" s="132"/>
      <c r="F33" s="132"/>
      <c r="G33" s="132"/>
      <c r="H33" s="13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3"/>
      <c r="AO33" s="3"/>
      <c r="AP33" s="3"/>
      <c r="AQ33" s="3"/>
      <c r="AR33" s="3"/>
      <c r="AS33" s="3"/>
      <c r="AT33" s="3"/>
      <c r="AU33" s="3"/>
      <c r="AV33" s="3"/>
      <c r="AW33" s="3"/>
      <c r="AX33" s="3"/>
      <c r="AY33" s="3"/>
      <c r="AZ33" s="3"/>
      <c r="BA33" s="3"/>
      <c r="BB33" s="3"/>
      <c r="BC33" s="3"/>
      <c r="BD33" s="3"/>
      <c r="BE33" s="3"/>
      <c r="BF33" s="3"/>
    </row>
    <row r="34" spans="1:58" ht="14.25" customHeight="1" x14ac:dyDescent="0.45">
      <c r="A34" s="618"/>
      <c r="B34" s="618"/>
      <c r="C34" s="118"/>
      <c r="D34" s="119" t="s">
        <v>25</v>
      </c>
      <c r="E34" s="127">
        <f>SUM(E30:E31)</f>
        <v>6.6666615950405337</v>
      </c>
      <c r="F34" s="127">
        <f>SUM(F30:F31)</f>
        <v>25.563592238850685</v>
      </c>
      <c r="G34" s="127">
        <f>SUM(G30:G31)</f>
        <v>36.019039516393725</v>
      </c>
      <c r="H34" s="128">
        <f>SUM(H30:H31)</f>
        <v>8.4790493092443242</v>
      </c>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3"/>
      <c r="AO34" s="3"/>
      <c r="AP34" s="3"/>
      <c r="AQ34" s="3"/>
      <c r="AR34" s="3"/>
      <c r="AS34" s="3"/>
      <c r="AT34" s="3"/>
      <c r="AU34" s="3"/>
      <c r="AV34" s="3"/>
      <c r="AW34" s="3"/>
      <c r="AX34" s="3"/>
      <c r="AY34" s="3"/>
      <c r="AZ34" s="3"/>
      <c r="BA34" s="3"/>
      <c r="BB34" s="3"/>
      <c r="BC34" s="3"/>
      <c r="BD34" s="3"/>
      <c r="BE34" s="3"/>
      <c r="BF34" s="3"/>
    </row>
    <row r="35" spans="1:58" ht="14.25" customHeight="1" x14ac:dyDescent="0.45">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4"/>
      <c r="AM35" s="1"/>
      <c r="AN35" s="3"/>
      <c r="AO35" s="3"/>
      <c r="AP35" s="3"/>
      <c r="AQ35" s="3"/>
      <c r="AR35" s="3"/>
      <c r="AS35" s="3"/>
      <c r="AT35" s="3"/>
      <c r="AU35" s="3"/>
      <c r="AV35" s="3"/>
      <c r="AW35" s="3"/>
      <c r="AX35" s="3"/>
      <c r="AY35" s="3"/>
      <c r="AZ35" s="3"/>
      <c r="BA35" s="3"/>
      <c r="BB35" s="3"/>
      <c r="BC35" s="3"/>
      <c r="BD35" s="3"/>
      <c r="BE35" s="3"/>
      <c r="BF35" s="3"/>
    </row>
    <row r="36" spans="1:58" ht="14.25" customHeight="1" x14ac:dyDescent="0.45">
      <c r="A36" s="4"/>
      <c r="B36" s="4"/>
      <c r="C36" s="8"/>
      <c r="D36" s="135" t="s">
        <v>36</v>
      </c>
      <c r="E36" s="123">
        <v>2018</v>
      </c>
      <c r="F36" s="123">
        <v>2019</v>
      </c>
      <c r="G36" s="123">
        <v>2020</v>
      </c>
      <c r="H36" s="123">
        <v>2021</v>
      </c>
      <c r="I36" s="136" t="s">
        <v>37</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1"/>
      <c r="AN36" s="3"/>
      <c r="AO36" s="3"/>
      <c r="AP36" s="3"/>
      <c r="AQ36" s="3"/>
      <c r="AR36" s="3"/>
      <c r="AS36" s="3"/>
      <c r="AT36" s="3"/>
      <c r="AU36" s="3"/>
      <c r="AV36" s="3"/>
      <c r="AW36" s="3"/>
      <c r="AX36" s="3"/>
      <c r="AY36" s="3"/>
      <c r="AZ36" s="3"/>
      <c r="BA36" s="3"/>
      <c r="BB36" s="3"/>
      <c r="BC36" s="3"/>
      <c r="BD36" s="3"/>
      <c r="BE36" s="3"/>
      <c r="BF36" s="3"/>
    </row>
    <row r="37" spans="1:58" ht="14.25" customHeight="1" x14ac:dyDescent="0.45">
      <c r="A37" s="618"/>
      <c r="B37" s="618"/>
      <c r="C37" s="130"/>
      <c r="D37" s="115" t="s">
        <v>33</v>
      </c>
      <c r="E37" s="131">
        <f>(E23-E30)/E23</f>
        <v>1.0130230639530615</v>
      </c>
      <c r="F37" s="131">
        <f>(F23-F30)/F23</f>
        <v>0.99611157682768803</v>
      </c>
      <c r="G37" s="131">
        <f>(G23-G30)/G23</f>
        <v>0.98321715723633063</v>
      </c>
      <c r="H37" s="131">
        <f>(H23-H30)/H23</f>
        <v>1.0099532988957931</v>
      </c>
      <c r="I37" s="137">
        <f>AVERAGE(E37:H37)</f>
        <v>1.0005762742282183</v>
      </c>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4"/>
      <c r="AM37" s="1"/>
      <c r="AN37" s="3"/>
      <c r="AO37" s="3"/>
      <c r="AP37" s="3"/>
      <c r="AQ37" s="3"/>
      <c r="AR37" s="3"/>
      <c r="AS37" s="3"/>
      <c r="AT37" s="3"/>
      <c r="AU37" s="3"/>
      <c r="AV37" s="3"/>
      <c r="AW37" s="3"/>
      <c r="AX37" s="3"/>
      <c r="AY37" s="3"/>
      <c r="AZ37" s="3"/>
      <c r="BA37" s="3"/>
      <c r="BB37" s="3"/>
      <c r="BC37" s="3"/>
      <c r="BD37" s="3"/>
      <c r="BE37" s="3"/>
      <c r="BF37" s="3"/>
    </row>
    <row r="38" spans="1:58" ht="14.25" customHeight="1" x14ac:dyDescent="0.45">
      <c r="A38" s="618"/>
      <c r="B38" s="618"/>
      <c r="C38" s="118"/>
      <c r="D38" s="119" t="s">
        <v>23</v>
      </c>
      <c r="E38" s="127">
        <f>(E24)/(E24-E31)</f>
        <v>1.657375515515576</v>
      </c>
      <c r="F38" s="127">
        <f>(F24)/(F24-F31)</f>
        <v>1.7252742318807428</v>
      </c>
      <c r="G38" s="127">
        <f>(G24)/(G24-G31)</f>
        <v>1.7263297639122919</v>
      </c>
      <c r="H38" s="127">
        <f>(H24)/(H24-H31)</f>
        <v>1.687195980509596</v>
      </c>
      <c r="I38" s="138">
        <f>AVERAGE(E38:H38)</f>
        <v>1.6990438729545518</v>
      </c>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4"/>
      <c r="AM38" s="1"/>
      <c r="AN38" s="3"/>
      <c r="AO38" s="3"/>
      <c r="AP38" s="3"/>
      <c r="AQ38" s="3"/>
      <c r="AR38" s="3"/>
      <c r="AS38" s="3"/>
      <c r="AT38" s="3"/>
      <c r="AU38" s="3"/>
      <c r="AV38" s="3"/>
      <c r="AW38" s="3"/>
      <c r="AX38" s="3"/>
      <c r="AY38" s="3"/>
      <c r="AZ38" s="3"/>
      <c r="BA38" s="3"/>
      <c r="BB38" s="3"/>
      <c r="BC38" s="3"/>
      <c r="BD38" s="3"/>
      <c r="BE38" s="3"/>
      <c r="BF38" s="3"/>
    </row>
    <row r="39" spans="1:58" ht="14.25" customHeight="1" x14ac:dyDescent="0.45">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4"/>
      <c r="AM39" s="1"/>
      <c r="AN39" s="3"/>
      <c r="AO39" s="3"/>
      <c r="AP39" s="3"/>
      <c r="AQ39" s="3"/>
      <c r="AR39" s="3"/>
      <c r="AS39" s="3"/>
      <c r="AT39" s="3"/>
      <c r="AU39" s="3"/>
      <c r="AV39" s="3"/>
      <c r="AW39" s="3"/>
      <c r="AX39" s="3"/>
      <c r="AY39" s="3"/>
      <c r="AZ39" s="3"/>
      <c r="BA39" s="3"/>
      <c r="BB39" s="3"/>
      <c r="BC39" s="3"/>
      <c r="BD39" s="3"/>
      <c r="BE39" s="3"/>
      <c r="BF39" s="3"/>
    </row>
    <row r="40" spans="1:58" ht="14.25" customHeight="1" x14ac:dyDescent="0.45">
      <c r="A40" s="4"/>
      <c r="B40" s="4"/>
      <c r="C40" s="8"/>
      <c r="D40" s="122" t="s">
        <v>38</v>
      </c>
      <c r="E40" s="123">
        <v>2018</v>
      </c>
      <c r="F40" s="123">
        <v>2019</v>
      </c>
      <c r="G40" s="123">
        <v>2020</v>
      </c>
      <c r="H40" s="124">
        <v>2021</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1"/>
      <c r="AN40" s="3"/>
      <c r="AO40" s="3"/>
      <c r="AP40" s="3"/>
      <c r="AQ40" s="3"/>
      <c r="AR40" s="3"/>
      <c r="AS40" s="3"/>
      <c r="AT40" s="3"/>
      <c r="AU40" s="3"/>
      <c r="AV40" s="3"/>
      <c r="AW40" s="3"/>
      <c r="AX40" s="3"/>
      <c r="AY40" s="3"/>
      <c r="AZ40" s="3"/>
      <c r="BA40" s="3"/>
      <c r="BB40" s="3"/>
      <c r="BC40" s="3"/>
      <c r="BD40" s="3"/>
      <c r="BE40" s="3"/>
      <c r="BF40" s="3"/>
    </row>
    <row r="41" spans="1:58" ht="14.25" customHeight="1" x14ac:dyDescent="0.45">
      <c r="A41" s="618">
        <v>1</v>
      </c>
      <c r="B41" s="618"/>
      <c r="C41" s="139"/>
      <c r="D41" s="119" t="s">
        <v>23</v>
      </c>
      <c r="E41" s="120">
        <f>'Copia de Combustibles'!D39*$E$305</f>
        <v>25.245741500869666</v>
      </c>
      <c r="F41" s="120">
        <f>'Copia de Combustibles'!E39*$E$305</f>
        <v>25.731169531016565</v>
      </c>
      <c r="G41" s="120">
        <f>'Copia de Combustibles'!F39*$E$305</f>
        <v>23.967718660734096</v>
      </c>
      <c r="H41" s="121">
        <f>'Copia de Combustibles'!G39*$E$305</f>
        <v>23.255254315051982</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1"/>
      <c r="AN41" s="3"/>
      <c r="AO41" s="3"/>
      <c r="AP41" s="3"/>
      <c r="AQ41" s="3"/>
      <c r="AR41" s="3"/>
      <c r="AS41" s="3"/>
      <c r="AT41" s="3"/>
      <c r="AU41" s="3"/>
      <c r="AV41" s="3"/>
      <c r="AW41" s="3"/>
      <c r="AX41" s="3"/>
      <c r="AY41" s="3"/>
      <c r="AZ41" s="3"/>
      <c r="BA41" s="3"/>
      <c r="BB41" s="3"/>
      <c r="BC41" s="3"/>
      <c r="BD41" s="3"/>
      <c r="BE41" s="3"/>
      <c r="BF41" s="3"/>
    </row>
    <row r="42" spans="1:58" ht="14.25" customHeight="1" x14ac:dyDescent="0.45">
      <c r="A42" s="618"/>
      <c r="B42" s="618"/>
      <c r="C42" s="618"/>
      <c r="D42" s="618"/>
      <c r="E42" s="618"/>
      <c r="F42" s="618"/>
      <c r="G42" s="618"/>
      <c r="H42" s="618"/>
      <c r="I42" s="140" t="s">
        <v>39</v>
      </c>
      <c r="J42" s="140"/>
      <c r="K42" s="140"/>
      <c r="L42" s="140"/>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4"/>
      <c r="AM42" s="1"/>
      <c r="AN42" s="3"/>
      <c r="AO42" s="3"/>
      <c r="AP42" s="3"/>
      <c r="AQ42" s="3"/>
      <c r="AR42" s="3"/>
      <c r="AS42" s="3"/>
      <c r="AT42" s="3"/>
      <c r="AU42" s="3"/>
      <c r="AV42" s="3"/>
      <c r="AW42" s="3"/>
      <c r="AX42" s="3"/>
      <c r="AY42" s="3"/>
      <c r="AZ42" s="3"/>
      <c r="BA42" s="3"/>
      <c r="BB42" s="3"/>
      <c r="BC42" s="3"/>
      <c r="BD42" s="3"/>
      <c r="BE42" s="3"/>
      <c r="BF42" s="3"/>
    </row>
    <row r="43" spans="1:58" ht="14.25" customHeight="1" x14ac:dyDescent="0.45">
      <c r="A43" s="4"/>
      <c r="B43" s="4"/>
      <c r="C43" s="8"/>
      <c r="D43" s="122" t="s">
        <v>40</v>
      </c>
      <c r="E43" s="123">
        <v>2018</v>
      </c>
      <c r="F43" s="123">
        <v>2019</v>
      </c>
      <c r="G43" s="123">
        <v>2020</v>
      </c>
      <c r="H43" s="123">
        <v>2021</v>
      </c>
      <c r="I43" s="141">
        <v>2022</v>
      </c>
      <c r="J43" s="141">
        <v>2023</v>
      </c>
      <c r="K43" s="141">
        <v>2024</v>
      </c>
      <c r="L43" s="141">
        <v>2025</v>
      </c>
      <c r="M43" s="141">
        <v>2026</v>
      </c>
      <c r="N43" s="141">
        <v>2027</v>
      </c>
      <c r="O43" s="141">
        <v>2028</v>
      </c>
      <c r="P43" s="141">
        <v>2029</v>
      </c>
      <c r="Q43" s="141">
        <v>2030</v>
      </c>
      <c r="R43" s="141">
        <v>2031</v>
      </c>
      <c r="S43" s="141">
        <v>2032</v>
      </c>
      <c r="T43" s="141">
        <v>2033</v>
      </c>
      <c r="U43" s="141">
        <v>2034</v>
      </c>
      <c r="V43" s="141">
        <v>2035</v>
      </c>
      <c r="W43" s="141">
        <v>2036</v>
      </c>
      <c r="X43" s="141">
        <v>2037</v>
      </c>
      <c r="Y43" s="141">
        <v>2038</v>
      </c>
      <c r="Z43" s="141">
        <v>2039</v>
      </c>
      <c r="AA43" s="141">
        <v>2040</v>
      </c>
      <c r="AB43" s="141">
        <v>2041</v>
      </c>
      <c r="AC43" s="141">
        <v>2042</v>
      </c>
      <c r="AD43" s="141">
        <v>2043</v>
      </c>
      <c r="AE43" s="141">
        <v>2044</v>
      </c>
      <c r="AF43" s="141">
        <v>2045</v>
      </c>
      <c r="AG43" s="141">
        <v>2046</v>
      </c>
      <c r="AH43" s="141">
        <v>2047</v>
      </c>
      <c r="AI43" s="141">
        <v>2048</v>
      </c>
      <c r="AJ43" s="141">
        <v>2049</v>
      </c>
      <c r="AK43" s="141">
        <v>2050</v>
      </c>
      <c r="AL43" s="141">
        <v>2051</v>
      </c>
      <c r="AM43" s="141">
        <v>2052</v>
      </c>
      <c r="AN43" s="141">
        <v>2053</v>
      </c>
      <c r="AO43" s="141">
        <v>2054</v>
      </c>
      <c r="AP43" s="141">
        <v>2055</v>
      </c>
      <c r="AQ43" s="141">
        <v>2056</v>
      </c>
      <c r="AR43" s="141">
        <v>2057</v>
      </c>
      <c r="AS43" s="141">
        <v>2058</v>
      </c>
      <c r="AT43" s="141">
        <v>2059</v>
      </c>
      <c r="AU43" s="141">
        <v>2060</v>
      </c>
      <c r="AV43" s="141">
        <v>2061</v>
      </c>
      <c r="AW43" s="141">
        <v>2062</v>
      </c>
      <c r="AX43" s="141">
        <v>2063</v>
      </c>
      <c r="AY43" s="141">
        <v>2064</v>
      </c>
      <c r="AZ43" s="141">
        <v>2065</v>
      </c>
      <c r="BA43" s="141">
        <v>2066</v>
      </c>
      <c r="BB43" s="141">
        <v>2067</v>
      </c>
      <c r="BC43" s="141">
        <v>2068</v>
      </c>
      <c r="BD43" s="141">
        <v>2069</v>
      </c>
      <c r="BE43" s="142">
        <v>2070</v>
      </c>
      <c r="BF43" s="3"/>
    </row>
    <row r="44" spans="1:58" ht="14.25" customHeight="1" x14ac:dyDescent="0.45">
      <c r="A44" s="618"/>
      <c r="B44" s="618"/>
      <c r="C44" s="130"/>
      <c r="D44" s="115" t="s">
        <v>41</v>
      </c>
      <c r="E44" s="116"/>
      <c r="F44" s="116"/>
      <c r="G44" s="116"/>
      <c r="H44" s="116"/>
      <c r="I44" s="116">
        <v>0</v>
      </c>
      <c r="J44" s="116">
        <v>0</v>
      </c>
      <c r="K44" s="116">
        <v>0</v>
      </c>
      <c r="L44" s="116">
        <v>0</v>
      </c>
      <c r="M44" s="116">
        <v>0</v>
      </c>
      <c r="N44" s="116">
        <v>0</v>
      </c>
      <c r="O44" s="116">
        <v>0</v>
      </c>
      <c r="P44" s="116">
        <v>0</v>
      </c>
      <c r="Q44" s="143" t="s">
        <v>42</v>
      </c>
      <c r="R44" s="143" t="s">
        <v>43</v>
      </c>
      <c r="S44" s="143" t="s">
        <v>44</v>
      </c>
      <c r="T44" s="143" t="s">
        <v>45</v>
      </c>
      <c r="U44" s="143" t="s">
        <v>46</v>
      </c>
      <c r="V44" s="143" t="s">
        <v>47</v>
      </c>
      <c r="W44" s="143" t="s">
        <v>48</v>
      </c>
      <c r="X44" s="143" t="s">
        <v>48</v>
      </c>
      <c r="Y44" s="143">
        <v>379.11</v>
      </c>
      <c r="Z44" s="143">
        <v>379.11</v>
      </c>
      <c r="AA44" s="143">
        <v>379.11</v>
      </c>
      <c r="AB44" s="143">
        <v>379.11</v>
      </c>
      <c r="AC44" s="143">
        <v>379.11</v>
      </c>
      <c r="AD44" s="143">
        <v>379.11</v>
      </c>
      <c r="AE44" s="143">
        <v>379.11</v>
      </c>
      <c r="AF44" s="143">
        <v>379.11</v>
      </c>
      <c r="AG44" s="143">
        <v>379.11</v>
      </c>
      <c r="AH44" s="143">
        <v>379.11</v>
      </c>
      <c r="AI44" s="143">
        <v>379.11</v>
      </c>
      <c r="AJ44" s="143">
        <v>379.11</v>
      </c>
      <c r="AK44" s="143">
        <v>379.11</v>
      </c>
      <c r="AL44" s="144">
        <v>379.11</v>
      </c>
      <c r="AM44" s="144">
        <v>379.11</v>
      </c>
      <c r="AN44" s="144">
        <v>379.11</v>
      </c>
      <c r="AO44" s="144">
        <v>379.11</v>
      </c>
      <c r="AP44" s="144">
        <v>379.11</v>
      </c>
      <c r="AQ44" s="144">
        <v>379.11</v>
      </c>
      <c r="AR44" s="144">
        <v>379.11</v>
      </c>
      <c r="AS44" s="144">
        <v>379.11</v>
      </c>
      <c r="AT44" s="144">
        <v>379.11</v>
      </c>
      <c r="AU44" s="144">
        <v>379.11</v>
      </c>
      <c r="AV44" s="144">
        <v>379.11</v>
      </c>
      <c r="AW44" s="144">
        <v>379.11</v>
      </c>
      <c r="AX44" s="144">
        <v>379.11</v>
      </c>
      <c r="AY44" s="144">
        <v>379.11</v>
      </c>
      <c r="AZ44" s="144">
        <v>379.11</v>
      </c>
      <c r="BA44" s="144">
        <v>379.11</v>
      </c>
      <c r="BB44" s="144">
        <v>379.11</v>
      </c>
      <c r="BC44" s="144">
        <v>379.11</v>
      </c>
      <c r="BD44" s="144">
        <v>379.11</v>
      </c>
      <c r="BE44" s="145">
        <v>379.11</v>
      </c>
      <c r="BF44" s="3"/>
    </row>
    <row r="45" spans="1:58" ht="14.25" customHeight="1" x14ac:dyDescent="0.45">
      <c r="A45" s="618">
        <v>1</v>
      </c>
      <c r="B45" s="618"/>
      <c r="C45" s="130"/>
      <c r="D45" s="115" t="s">
        <v>49</v>
      </c>
      <c r="E45" s="116">
        <f>'Copia de Combustibles'!D43*$E$305</f>
        <v>117.76053434755926</v>
      </c>
      <c r="F45" s="116">
        <f>'Copia de Combustibles'!E43*$E$305</f>
        <v>124.42923183837271</v>
      </c>
      <c r="G45" s="116">
        <f>'Copia de Combustibles'!F43*$E$305</f>
        <v>108.25917569387438</v>
      </c>
      <c r="H45" s="116">
        <f>'Copia de Combustibles'!G43*$E$305</f>
        <v>136.77355671196315</v>
      </c>
      <c r="I45" s="116">
        <v>134.38999999999999</v>
      </c>
      <c r="J45" s="116">
        <v>144.65</v>
      </c>
      <c r="K45" s="116">
        <v>143.02000000000001</v>
      </c>
      <c r="L45" s="116">
        <v>152.84</v>
      </c>
      <c r="M45" s="116">
        <v>150.88999999999999</v>
      </c>
      <c r="N45" s="116">
        <v>161.29</v>
      </c>
      <c r="O45" s="116">
        <v>160.72999999999999</v>
      </c>
      <c r="P45" s="116">
        <v>169.45</v>
      </c>
      <c r="Q45" s="116">
        <v>168.68</v>
      </c>
      <c r="R45" s="116">
        <v>178.69</v>
      </c>
      <c r="S45" s="116">
        <v>178.77</v>
      </c>
      <c r="T45" s="116">
        <v>188.05</v>
      </c>
      <c r="U45" s="116">
        <v>188.69</v>
      </c>
      <c r="V45" s="116">
        <v>196.72</v>
      </c>
      <c r="W45" s="116">
        <v>198.44</v>
      </c>
      <c r="X45" s="116">
        <v>206.04</v>
      </c>
      <c r="Y45" s="116">
        <v>208.02</v>
      </c>
      <c r="Z45" s="116">
        <v>215.95</v>
      </c>
      <c r="AA45" s="116">
        <v>218.4</v>
      </c>
      <c r="AB45" s="116">
        <v>225.69</v>
      </c>
      <c r="AC45" s="116">
        <v>228.62</v>
      </c>
      <c r="AD45" s="116">
        <v>234.58</v>
      </c>
      <c r="AE45" s="116">
        <v>237.94</v>
      </c>
      <c r="AF45" s="116">
        <v>244.03</v>
      </c>
      <c r="AG45" s="116">
        <v>248.09</v>
      </c>
      <c r="AH45" s="116">
        <v>254.09</v>
      </c>
      <c r="AI45" s="116">
        <v>257.36</v>
      </c>
      <c r="AJ45" s="116">
        <v>263.26</v>
      </c>
      <c r="AK45" s="116">
        <v>266.93</v>
      </c>
      <c r="AL45" s="144">
        <v>272.14</v>
      </c>
      <c r="AM45" s="144">
        <v>277.64</v>
      </c>
      <c r="AN45" s="144">
        <v>282.91000000000003</v>
      </c>
      <c r="AO45" s="144">
        <v>288.45999999999998</v>
      </c>
      <c r="AP45" s="144">
        <v>293.94</v>
      </c>
      <c r="AQ45" s="144">
        <v>299.64</v>
      </c>
      <c r="AR45" s="144">
        <v>305.27</v>
      </c>
      <c r="AS45" s="144">
        <v>311.07</v>
      </c>
      <c r="AT45" s="144">
        <v>316.86</v>
      </c>
      <c r="AU45" s="144">
        <v>322.91000000000003</v>
      </c>
      <c r="AV45" s="144">
        <v>328.95</v>
      </c>
      <c r="AW45" s="144">
        <v>335.26</v>
      </c>
      <c r="AX45" s="144">
        <v>341.67</v>
      </c>
      <c r="AY45" s="144">
        <v>348.19</v>
      </c>
      <c r="AZ45" s="144">
        <v>354.84</v>
      </c>
      <c r="BA45" s="144">
        <v>361.59</v>
      </c>
      <c r="BB45" s="144">
        <v>368.46</v>
      </c>
      <c r="BC45" s="144">
        <v>375.46</v>
      </c>
      <c r="BD45" s="144">
        <v>382.59</v>
      </c>
      <c r="BE45" s="145">
        <v>389.86</v>
      </c>
      <c r="BF45" s="3"/>
    </row>
    <row r="46" spans="1:58" ht="14.25" customHeight="1" x14ac:dyDescent="0.45">
      <c r="A46" s="618">
        <v>1</v>
      </c>
      <c r="B46" s="618"/>
      <c r="C46" s="130"/>
      <c r="D46" s="115" t="s">
        <v>50</v>
      </c>
      <c r="E46" s="116">
        <f>'Copia de Combustibles'!D44*$E$305</f>
        <v>91.607975457177815</v>
      </c>
      <c r="F46" s="116">
        <f>'Copia de Combustibles'!E44*$E$305</f>
        <v>105.93168609615964</v>
      </c>
      <c r="G46" s="116">
        <f>'Copia de Combustibles'!F44*$E$305</f>
        <v>78.997084172717436</v>
      </c>
      <c r="H46" s="116">
        <f>'Copia de Combustibles'!G44*$E$305</f>
        <v>93.045174562286462</v>
      </c>
      <c r="I46" s="116">
        <v>90.01</v>
      </c>
      <c r="J46" s="116">
        <v>114.02</v>
      </c>
      <c r="K46" s="116">
        <v>78.099999999999994</v>
      </c>
      <c r="L46" s="116">
        <v>99.44</v>
      </c>
      <c r="M46" s="116">
        <v>88.86</v>
      </c>
      <c r="N46" s="116">
        <v>121.88</v>
      </c>
      <c r="O46" s="116">
        <v>77.83</v>
      </c>
      <c r="P46" s="116">
        <v>104.83</v>
      </c>
      <c r="Q46" s="116">
        <v>88.46</v>
      </c>
      <c r="R46" s="116">
        <v>129.11000000000001</v>
      </c>
      <c r="S46" s="116">
        <v>77.87</v>
      </c>
      <c r="T46" s="116">
        <v>110.28</v>
      </c>
      <c r="U46" s="116">
        <v>88.76</v>
      </c>
      <c r="V46" s="116">
        <v>134.61000000000001</v>
      </c>
      <c r="W46" s="116">
        <v>78.55</v>
      </c>
      <c r="X46" s="116">
        <v>114.5</v>
      </c>
      <c r="Y46" s="116">
        <v>89.62</v>
      </c>
      <c r="Z46" s="116">
        <v>139.72999999999999</v>
      </c>
      <c r="AA46" s="116">
        <v>79.44</v>
      </c>
      <c r="AB46" s="116">
        <v>118.32</v>
      </c>
      <c r="AC46" s="116">
        <v>90.78</v>
      </c>
      <c r="AD46" s="116">
        <v>143.38</v>
      </c>
      <c r="AE46" s="116">
        <v>80.58</v>
      </c>
      <c r="AF46" s="116">
        <v>121.35</v>
      </c>
      <c r="AG46" s="116">
        <v>92.29</v>
      </c>
      <c r="AH46" s="116">
        <v>146.84</v>
      </c>
      <c r="AI46" s="116">
        <v>81.61</v>
      </c>
      <c r="AJ46" s="116">
        <v>124.13</v>
      </c>
      <c r="AK46" s="116">
        <v>93.58</v>
      </c>
      <c r="AL46" s="144">
        <v>149.71</v>
      </c>
      <c r="AM46" s="144">
        <v>83.26</v>
      </c>
      <c r="AN46" s="144">
        <v>126.49</v>
      </c>
      <c r="AO46" s="144">
        <v>95.41</v>
      </c>
      <c r="AP46" s="144">
        <v>152.55000000000001</v>
      </c>
      <c r="AQ46" s="144">
        <v>84.88</v>
      </c>
      <c r="AR46" s="144">
        <v>128.87</v>
      </c>
      <c r="AS46" s="144">
        <v>97.22</v>
      </c>
      <c r="AT46" s="144">
        <v>155.38999999999999</v>
      </c>
      <c r="AU46" s="144">
        <v>86.5</v>
      </c>
      <c r="AV46" s="144">
        <v>131.28</v>
      </c>
      <c r="AW46" s="144">
        <v>99.09</v>
      </c>
      <c r="AX46" s="144">
        <v>158.36000000000001</v>
      </c>
      <c r="AY46" s="144">
        <v>88.15</v>
      </c>
      <c r="AZ46" s="144">
        <v>133.79</v>
      </c>
      <c r="BA46" s="144">
        <v>100.97</v>
      </c>
      <c r="BB46" s="144">
        <v>161.36000000000001</v>
      </c>
      <c r="BC46" s="144">
        <v>89.82</v>
      </c>
      <c r="BD46" s="144">
        <v>136.33000000000001</v>
      </c>
      <c r="BE46" s="145">
        <v>102.89</v>
      </c>
      <c r="BF46" s="3"/>
    </row>
    <row r="47" spans="1:58" ht="14.25" customHeight="1" x14ac:dyDescent="0.45">
      <c r="A47" s="618">
        <v>1</v>
      </c>
      <c r="B47" s="618"/>
      <c r="C47" s="130"/>
      <c r="D47" s="115" t="s">
        <v>51</v>
      </c>
      <c r="E47" s="116">
        <f>'Copia de Combustibles'!D45*$E$305</f>
        <v>43.389807172946462</v>
      </c>
      <c r="F47" s="116">
        <f>'Copia de Combustibles'!E45*$E$305</f>
        <v>47.274511929187639</v>
      </c>
      <c r="G47" s="116">
        <f>'Copia de Combustibles'!F45*$E$305</f>
        <v>48.313115125721133</v>
      </c>
      <c r="H47" s="116">
        <f>'Copia de Combustibles'!G45*$E$305</f>
        <v>49.878194601928534</v>
      </c>
      <c r="I47" s="116">
        <v>50.85</v>
      </c>
      <c r="J47" s="116">
        <v>51.85</v>
      </c>
      <c r="K47" s="116">
        <v>52.88</v>
      </c>
      <c r="L47" s="116">
        <v>53.86</v>
      </c>
      <c r="M47" s="116">
        <v>54.75</v>
      </c>
      <c r="N47" s="116">
        <v>55.89</v>
      </c>
      <c r="O47" s="116">
        <v>56.91</v>
      </c>
      <c r="P47" s="116">
        <v>57.87</v>
      </c>
      <c r="Q47" s="116">
        <v>58.81</v>
      </c>
      <c r="R47" s="116">
        <v>60.03</v>
      </c>
      <c r="S47" s="116">
        <v>61.02</v>
      </c>
      <c r="T47" s="116">
        <v>62.2</v>
      </c>
      <c r="U47" s="116">
        <v>63.19</v>
      </c>
      <c r="V47" s="116">
        <v>64.239999999999995</v>
      </c>
      <c r="W47" s="116">
        <v>65.3</v>
      </c>
      <c r="X47" s="116">
        <v>66.33</v>
      </c>
      <c r="Y47" s="116">
        <v>67.34</v>
      </c>
      <c r="Z47" s="116">
        <v>68.42</v>
      </c>
      <c r="AA47" s="116">
        <v>69.41</v>
      </c>
      <c r="AB47" s="116">
        <v>70.42</v>
      </c>
      <c r="AC47" s="116">
        <v>71.400000000000006</v>
      </c>
      <c r="AD47" s="116">
        <v>72.25</v>
      </c>
      <c r="AE47" s="116">
        <v>73.209999999999994</v>
      </c>
      <c r="AF47" s="116">
        <v>74.069999999999993</v>
      </c>
      <c r="AG47" s="116">
        <v>75.05</v>
      </c>
      <c r="AH47" s="116">
        <v>75.91</v>
      </c>
      <c r="AI47" s="116">
        <v>76.739999999999995</v>
      </c>
      <c r="AJ47" s="116">
        <v>77.58</v>
      </c>
      <c r="AK47" s="116">
        <v>78.41</v>
      </c>
      <c r="AL47" s="144">
        <v>79.319999999999993</v>
      </c>
      <c r="AM47" s="144">
        <v>80.12</v>
      </c>
      <c r="AN47" s="144">
        <v>80.89</v>
      </c>
      <c r="AO47" s="144">
        <v>81.680000000000007</v>
      </c>
      <c r="AP47" s="144">
        <v>82.46</v>
      </c>
      <c r="AQ47" s="144">
        <v>83.24</v>
      </c>
      <c r="AR47" s="144">
        <v>83.96</v>
      </c>
      <c r="AS47" s="144">
        <v>84.68</v>
      </c>
      <c r="AT47" s="144">
        <v>85.38</v>
      </c>
      <c r="AU47" s="144">
        <v>86.05</v>
      </c>
      <c r="AV47" s="144">
        <v>86.7</v>
      </c>
      <c r="AW47" s="144">
        <v>87.33</v>
      </c>
      <c r="AX47" s="144">
        <v>87.93</v>
      </c>
      <c r="AY47" s="144">
        <v>88.52</v>
      </c>
      <c r="AZ47" s="144">
        <v>89.08</v>
      </c>
      <c r="BA47" s="144">
        <v>89.62</v>
      </c>
      <c r="BB47" s="144">
        <v>90.13</v>
      </c>
      <c r="BC47" s="144">
        <v>90.61</v>
      </c>
      <c r="BD47" s="144">
        <v>91.07</v>
      </c>
      <c r="BE47" s="145">
        <v>91.49</v>
      </c>
      <c r="BF47" s="3"/>
    </row>
    <row r="48" spans="1:58" ht="14.25" customHeight="1" x14ac:dyDescent="0.45">
      <c r="A48" s="618">
        <v>1</v>
      </c>
      <c r="B48" s="618"/>
      <c r="C48" s="130"/>
      <c r="D48" s="115" t="s">
        <v>52</v>
      </c>
      <c r="E48" s="116">
        <f>'Copia de Combustibles'!D46*$E$305</f>
        <v>24.078345824693489</v>
      </c>
      <c r="F48" s="116">
        <f>'Copia de Combustibles'!E46*$E$305</f>
        <v>25.523331769395305</v>
      </c>
      <c r="G48" s="116">
        <f>'Copia de Combustibles'!F46*$E$305</f>
        <v>17.832534842966325</v>
      </c>
      <c r="H48" s="116">
        <f>'Copia de Combustibles'!G46*$E$305</f>
        <v>13.861502850491931</v>
      </c>
      <c r="I48" s="116">
        <v>14.39</v>
      </c>
      <c r="J48" s="116">
        <v>14.7</v>
      </c>
      <c r="K48" s="116">
        <v>15.28</v>
      </c>
      <c r="L48" s="116">
        <v>15.54</v>
      </c>
      <c r="M48" s="116">
        <v>16.03</v>
      </c>
      <c r="N48" s="116">
        <v>16.38</v>
      </c>
      <c r="O48" s="116">
        <v>16.98</v>
      </c>
      <c r="P48" s="116">
        <v>17.18</v>
      </c>
      <c r="Q48" s="116">
        <v>17.71</v>
      </c>
      <c r="R48" s="116">
        <v>18.12</v>
      </c>
      <c r="S48" s="116">
        <v>18.68</v>
      </c>
      <c r="T48" s="116">
        <v>19.07</v>
      </c>
      <c r="U48" s="116">
        <v>19.63</v>
      </c>
      <c r="V48" s="116">
        <v>19.96</v>
      </c>
      <c r="W48" s="116">
        <v>20.56</v>
      </c>
      <c r="X48" s="116">
        <v>20.9</v>
      </c>
      <c r="Y48" s="116">
        <v>21.47</v>
      </c>
      <c r="Z48" s="116">
        <v>21.9</v>
      </c>
      <c r="AA48" s="116">
        <v>22.46</v>
      </c>
      <c r="AB48" s="116">
        <v>22.87</v>
      </c>
      <c r="AC48" s="116">
        <v>23.43</v>
      </c>
      <c r="AD48" s="116">
        <v>23.75</v>
      </c>
      <c r="AE48" s="116">
        <v>24.31</v>
      </c>
      <c r="AF48" s="116">
        <v>24.68</v>
      </c>
      <c r="AG48" s="116">
        <v>25.27</v>
      </c>
      <c r="AH48" s="116">
        <v>25.66</v>
      </c>
      <c r="AI48" s="116">
        <v>26.15</v>
      </c>
      <c r="AJ48" s="116">
        <v>26.55</v>
      </c>
      <c r="AK48" s="116">
        <v>27.05</v>
      </c>
      <c r="AL48" s="144">
        <v>27.57</v>
      </c>
      <c r="AM48" s="144">
        <v>28.09</v>
      </c>
      <c r="AN48" s="144">
        <v>28.62</v>
      </c>
      <c r="AO48" s="144">
        <v>29.14</v>
      </c>
      <c r="AP48" s="144">
        <v>29.69</v>
      </c>
      <c r="AQ48" s="144">
        <v>30.24</v>
      </c>
      <c r="AR48" s="144">
        <v>30.8</v>
      </c>
      <c r="AS48" s="144">
        <v>31.36</v>
      </c>
      <c r="AT48" s="144">
        <v>31.93</v>
      </c>
      <c r="AU48" s="144">
        <v>32.520000000000003</v>
      </c>
      <c r="AV48" s="144">
        <v>33.119999999999997</v>
      </c>
      <c r="AW48" s="144">
        <v>33.74</v>
      </c>
      <c r="AX48" s="144">
        <v>34.36</v>
      </c>
      <c r="AY48" s="144">
        <v>35</v>
      </c>
      <c r="AZ48" s="144">
        <v>35.65</v>
      </c>
      <c r="BA48" s="144">
        <v>36.31</v>
      </c>
      <c r="BB48" s="144">
        <v>36.979999999999997</v>
      </c>
      <c r="BC48" s="144">
        <v>37.659999999999997</v>
      </c>
      <c r="BD48" s="144">
        <v>38.36</v>
      </c>
      <c r="BE48" s="145">
        <v>39.07</v>
      </c>
      <c r="BF48" s="3"/>
    </row>
    <row r="49" spans="1:58" ht="14.25" customHeight="1" x14ac:dyDescent="0.45">
      <c r="A49" s="618">
        <v>1</v>
      </c>
      <c r="B49" s="618"/>
      <c r="C49" s="130"/>
      <c r="D49" s="115" t="s">
        <v>53</v>
      </c>
      <c r="E49" s="116"/>
      <c r="F49" s="116"/>
      <c r="G49" s="116">
        <f>'Copia de Combustibles'!F47*$E$305</f>
        <v>0.93795160777154696</v>
      </c>
      <c r="H49" s="116"/>
      <c r="I49" s="116">
        <v>1</v>
      </c>
      <c r="J49" s="116">
        <v>1.04</v>
      </c>
      <c r="K49" s="116">
        <v>1.07</v>
      </c>
      <c r="L49" s="116">
        <v>1.1000000000000001</v>
      </c>
      <c r="M49" s="116">
        <v>1.1200000000000001</v>
      </c>
      <c r="N49" s="116">
        <v>1.1599999999999999</v>
      </c>
      <c r="O49" s="116">
        <v>1.19</v>
      </c>
      <c r="P49" s="116">
        <v>1.21</v>
      </c>
      <c r="Q49" s="116">
        <v>1.24</v>
      </c>
      <c r="R49" s="116">
        <v>1.28</v>
      </c>
      <c r="S49" s="116">
        <v>1.31</v>
      </c>
      <c r="T49" s="116">
        <v>1.35</v>
      </c>
      <c r="U49" s="116">
        <v>1.38</v>
      </c>
      <c r="V49" s="116">
        <v>1.42</v>
      </c>
      <c r="W49" s="116">
        <v>1.45</v>
      </c>
      <c r="X49" s="116">
        <v>1.49</v>
      </c>
      <c r="Y49" s="116">
        <v>1.52</v>
      </c>
      <c r="Z49" s="116">
        <v>1.56</v>
      </c>
      <c r="AA49" s="116">
        <v>1.6</v>
      </c>
      <c r="AB49" s="116">
        <v>1.63</v>
      </c>
      <c r="AC49" s="116">
        <v>1.67</v>
      </c>
      <c r="AD49" s="116">
        <v>1.7</v>
      </c>
      <c r="AE49" s="116">
        <v>1.73</v>
      </c>
      <c r="AF49" s="116">
        <v>1.77</v>
      </c>
      <c r="AG49" s="116">
        <v>1.81</v>
      </c>
      <c r="AH49" s="116">
        <v>1.84</v>
      </c>
      <c r="AI49" s="116">
        <v>1.87</v>
      </c>
      <c r="AJ49" s="116">
        <v>1.91</v>
      </c>
      <c r="AK49" s="116">
        <v>1.94</v>
      </c>
      <c r="AL49" s="144">
        <v>1.98</v>
      </c>
      <c r="AM49" s="144">
        <v>2.02</v>
      </c>
      <c r="AN49" s="144">
        <v>2.0499999999999998</v>
      </c>
      <c r="AO49" s="144">
        <v>2.09</v>
      </c>
      <c r="AP49" s="144">
        <v>2.13</v>
      </c>
      <c r="AQ49" s="144">
        <v>2.16</v>
      </c>
      <c r="AR49" s="144">
        <v>2.2000000000000002</v>
      </c>
      <c r="AS49" s="144">
        <v>2.2400000000000002</v>
      </c>
      <c r="AT49" s="144">
        <v>2.2799999999999998</v>
      </c>
      <c r="AU49" s="144">
        <v>2.31</v>
      </c>
      <c r="AV49" s="144">
        <v>2.35</v>
      </c>
      <c r="AW49" s="144">
        <v>2.39</v>
      </c>
      <c r="AX49" s="144">
        <v>2.4300000000000002</v>
      </c>
      <c r="AY49" s="144">
        <v>2.4700000000000002</v>
      </c>
      <c r="AZ49" s="144">
        <v>2.5099999999999998</v>
      </c>
      <c r="BA49" s="144">
        <v>2.54</v>
      </c>
      <c r="BB49" s="144">
        <v>2.58</v>
      </c>
      <c r="BC49" s="144">
        <v>2.62</v>
      </c>
      <c r="BD49" s="144">
        <v>2.66</v>
      </c>
      <c r="BE49" s="145">
        <v>2.7</v>
      </c>
      <c r="BF49" s="3"/>
    </row>
    <row r="50" spans="1:58" ht="14.25" customHeight="1" x14ac:dyDescent="0.45">
      <c r="A50" s="618">
        <v>1</v>
      </c>
      <c r="B50" s="618"/>
      <c r="C50" s="130"/>
      <c r="D50" s="115" t="s">
        <v>54</v>
      </c>
      <c r="E50" s="116">
        <f>'Copia de Combustibles'!D48*$E$305</f>
        <v>5.5666818184799185</v>
      </c>
      <c r="F50" s="116">
        <f>'Copia de Combustibles'!E48*$E$305</f>
        <v>4.4513001057531385</v>
      </c>
      <c r="G50" s="116">
        <f>'Copia de Combustibles'!F48*$E$305</f>
        <v>5.1349054554247653</v>
      </c>
      <c r="H50" s="116">
        <f>'Copia de Combustibles'!G48*$E$305</f>
        <v>5.6722964060314354</v>
      </c>
      <c r="I50" s="116">
        <v>6.17</v>
      </c>
      <c r="J50" s="116">
        <v>5.99</v>
      </c>
      <c r="K50" s="116">
        <v>6.63</v>
      </c>
      <c r="L50" s="116">
        <v>6.37</v>
      </c>
      <c r="M50" s="116">
        <v>7.03</v>
      </c>
      <c r="N50" s="116">
        <v>6.78</v>
      </c>
      <c r="O50" s="116">
        <v>7.5</v>
      </c>
      <c r="P50" s="116">
        <v>7.19</v>
      </c>
      <c r="Q50" s="116">
        <v>7.85</v>
      </c>
      <c r="R50" s="116">
        <v>7.65</v>
      </c>
      <c r="S50" s="116">
        <v>8.27</v>
      </c>
      <c r="T50" s="116">
        <v>8.11</v>
      </c>
      <c r="U50" s="116">
        <v>8.68</v>
      </c>
      <c r="V50" s="116">
        <v>8.5399999999999991</v>
      </c>
      <c r="W50" s="116">
        <v>9.08</v>
      </c>
      <c r="X50" s="116">
        <v>8.99</v>
      </c>
      <c r="Y50" s="116">
        <v>9.4700000000000006</v>
      </c>
      <c r="Z50" s="116">
        <v>9.4600000000000009</v>
      </c>
      <c r="AA50" s="116">
        <v>9.91</v>
      </c>
      <c r="AB50" s="116">
        <v>9.93</v>
      </c>
      <c r="AC50" s="116">
        <v>10.34</v>
      </c>
      <c r="AD50" s="116">
        <v>10.35</v>
      </c>
      <c r="AE50" s="116">
        <v>10.74</v>
      </c>
      <c r="AF50" s="116">
        <v>10.79</v>
      </c>
      <c r="AG50" s="116">
        <v>11.18</v>
      </c>
      <c r="AH50" s="116">
        <v>11.26</v>
      </c>
      <c r="AI50" s="116">
        <v>11.57</v>
      </c>
      <c r="AJ50" s="116">
        <v>11.68</v>
      </c>
      <c r="AK50" s="116">
        <v>11.99</v>
      </c>
      <c r="AL50" s="144">
        <v>12.25</v>
      </c>
      <c r="AM50" s="144">
        <v>12.49</v>
      </c>
      <c r="AN50" s="144">
        <v>12.76</v>
      </c>
      <c r="AO50" s="144">
        <v>13</v>
      </c>
      <c r="AP50" s="144">
        <v>13.28</v>
      </c>
      <c r="AQ50" s="144">
        <v>13.53</v>
      </c>
      <c r="AR50" s="144">
        <v>13.82</v>
      </c>
      <c r="AS50" s="144">
        <v>14.09</v>
      </c>
      <c r="AT50" s="144">
        <v>14.38</v>
      </c>
      <c r="AU50" s="144">
        <v>14.66</v>
      </c>
      <c r="AV50" s="144">
        <v>14.97</v>
      </c>
      <c r="AW50" s="144">
        <v>15.28</v>
      </c>
      <c r="AX50" s="144">
        <v>15.59</v>
      </c>
      <c r="AY50" s="144">
        <v>15.9</v>
      </c>
      <c r="AZ50" s="144">
        <v>16.22</v>
      </c>
      <c r="BA50" s="144">
        <v>16.55</v>
      </c>
      <c r="BB50" s="144">
        <v>16.89</v>
      </c>
      <c r="BC50" s="144">
        <v>17.23</v>
      </c>
      <c r="BD50" s="144">
        <v>17.579999999999998</v>
      </c>
      <c r="BE50" s="145">
        <v>17.940000000000001</v>
      </c>
      <c r="BF50" s="3"/>
    </row>
    <row r="51" spans="1:58" ht="14.25" customHeight="1" x14ac:dyDescent="0.45">
      <c r="A51" s="618"/>
      <c r="B51" s="618"/>
      <c r="C51" s="106"/>
      <c r="D51" s="11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7"/>
      <c r="AM51" s="147"/>
      <c r="AN51" s="147"/>
      <c r="AO51" s="147"/>
      <c r="AP51" s="147"/>
      <c r="AQ51" s="147"/>
      <c r="AR51" s="147"/>
      <c r="AS51" s="147"/>
      <c r="AT51" s="147"/>
      <c r="AU51" s="147"/>
      <c r="AV51" s="147"/>
      <c r="AW51" s="147"/>
      <c r="AX51" s="147"/>
      <c r="AY51" s="147"/>
      <c r="AZ51" s="147"/>
      <c r="BA51" s="147"/>
      <c r="BB51" s="147"/>
      <c r="BC51" s="147"/>
      <c r="BD51" s="147"/>
      <c r="BE51" s="148"/>
      <c r="BF51" s="3"/>
    </row>
    <row r="52" spans="1:58" ht="14.25" customHeight="1" x14ac:dyDescent="0.45">
      <c r="A52" s="618"/>
      <c r="B52" s="618"/>
      <c r="C52" s="118"/>
      <c r="D52" s="119" t="s">
        <v>25</v>
      </c>
      <c r="E52" s="127">
        <f t="shared" ref="E52:BE52" si="0">SUM(E44:E50)</f>
        <v>282.40334462085696</v>
      </c>
      <c r="F52" s="127">
        <f t="shared" si="0"/>
        <v>307.61006173886847</v>
      </c>
      <c r="G52" s="127">
        <f t="shared" si="0"/>
        <v>259.47476689847559</v>
      </c>
      <c r="H52" s="127">
        <f t="shared" si="0"/>
        <v>299.23072513270154</v>
      </c>
      <c r="I52" s="127">
        <f t="shared" si="0"/>
        <v>296.81</v>
      </c>
      <c r="J52" s="127">
        <f t="shared" si="0"/>
        <v>332.25000000000006</v>
      </c>
      <c r="K52" s="127">
        <f t="shared" si="0"/>
        <v>296.97999999999996</v>
      </c>
      <c r="L52" s="127">
        <f t="shared" si="0"/>
        <v>329.15000000000003</v>
      </c>
      <c r="M52" s="127">
        <f t="shared" si="0"/>
        <v>318.67999999999995</v>
      </c>
      <c r="N52" s="127">
        <f t="shared" si="0"/>
        <v>363.37999999999994</v>
      </c>
      <c r="O52" s="127">
        <f t="shared" si="0"/>
        <v>321.14000000000004</v>
      </c>
      <c r="P52" s="127">
        <f t="shared" si="0"/>
        <v>357.72999999999996</v>
      </c>
      <c r="Q52" s="127">
        <f t="shared" si="0"/>
        <v>342.75</v>
      </c>
      <c r="R52" s="127">
        <f t="shared" si="0"/>
        <v>394.88</v>
      </c>
      <c r="S52" s="127">
        <f t="shared" si="0"/>
        <v>345.91999999999996</v>
      </c>
      <c r="T52" s="127">
        <f t="shared" si="0"/>
        <v>389.06000000000006</v>
      </c>
      <c r="U52" s="127">
        <f t="shared" si="0"/>
        <v>370.33</v>
      </c>
      <c r="V52" s="127">
        <f t="shared" si="0"/>
        <v>425.49000000000007</v>
      </c>
      <c r="W52" s="127">
        <f t="shared" si="0"/>
        <v>373.38</v>
      </c>
      <c r="X52" s="127">
        <f t="shared" si="0"/>
        <v>418.24999999999994</v>
      </c>
      <c r="Y52" s="127">
        <f t="shared" si="0"/>
        <v>776.55000000000007</v>
      </c>
      <c r="Z52" s="127">
        <f t="shared" si="0"/>
        <v>836.12999999999988</v>
      </c>
      <c r="AA52" s="127">
        <f t="shared" si="0"/>
        <v>780.33</v>
      </c>
      <c r="AB52" s="127">
        <f t="shared" si="0"/>
        <v>827.9699999999998</v>
      </c>
      <c r="AC52" s="127">
        <f t="shared" si="0"/>
        <v>805.34999999999991</v>
      </c>
      <c r="AD52" s="127">
        <f t="shared" si="0"/>
        <v>865.12000000000012</v>
      </c>
      <c r="AE52" s="127">
        <f t="shared" si="0"/>
        <v>807.62</v>
      </c>
      <c r="AF52" s="127">
        <f t="shared" si="0"/>
        <v>855.79999999999984</v>
      </c>
      <c r="AG52" s="127">
        <f t="shared" si="0"/>
        <v>832.79999999999984</v>
      </c>
      <c r="AH52" s="127">
        <f t="shared" si="0"/>
        <v>894.71</v>
      </c>
      <c r="AI52" s="127">
        <f t="shared" si="0"/>
        <v>834.41000000000008</v>
      </c>
      <c r="AJ52" s="127">
        <f t="shared" si="0"/>
        <v>884.21999999999991</v>
      </c>
      <c r="AK52" s="127">
        <f t="shared" si="0"/>
        <v>859.01</v>
      </c>
      <c r="AL52" s="149">
        <f t="shared" si="0"/>
        <v>922.08</v>
      </c>
      <c r="AM52" s="149">
        <f t="shared" si="0"/>
        <v>862.73</v>
      </c>
      <c r="AN52" s="149">
        <f t="shared" si="0"/>
        <v>912.82999999999993</v>
      </c>
      <c r="AO52" s="149">
        <f t="shared" si="0"/>
        <v>888.88999999999987</v>
      </c>
      <c r="AP52" s="149">
        <f t="shared" si="0"/>
        <v>953.16</v>
      </c>
      <c r="AQ52" s="149">
        <f t="shared" si="0"/>
        <v>892.8</v>
      </c>
      <c r="AR52" s="149">
        <f t="shared" si="0"/>
        <v>944.03000000000009</v>
      </c>
      <c r="AS52" s="149">
        <f t="shared" si="0"/>
        <v>919.77000000000021</v>
      </c>
      <c r="AT52" s="149">
        <f t="shared" si="0"/>
        <v>985.32999999999993</v>
      </c>
      <c r="AU52" s="149">
        <f t="shared" si="0"/>
        <v>924.05999999999983</v>
      </c>
      <c r="AV52" s="149">
        <f t="shared" si="0"/>
        <v>976.48</v>
      </c>
      <c r="AW52" s="149">
        <f t="shared" si="0"/>
        <v>952.2</v>
      </c>
      <c r="AX52" s="149">
        <f t="shared" si="0"/>
        <v>1019.4499999999999</v>
      </c>
      <c r="AY52" s="149">
        <f t="shared" si="0"/>
        <v>957.33999999999992</v>
      </c>
      <c r="AZ52" s="149">
        <f t="shared" si="0"/>
        <v>1011.2</v>
      </c>
      <c r="BA52" s="149">
        <f t="shared" si="0"/>
        <v>986.69</v>
      </c>
      <c r="BB52" s="149">
        <f t="shared" si="0"/>
        <v>1055.51</v>
      </c>
      <c r="BC52" s="149">
        <f t="shared" si="0"/>
        <v>992.50999999999988</v>
      </c>
      <c r="BD52" s="149">
        <f t="shared" si="0"/>
        <v>1047.7</v>
      </c>
      <c r="BE52" s="150">
        <f t="shared" si="0"/>
        <v>1023.0600000000002</v>
      </c>
      <c r="BF52" s="3"/>
    </row>
    <row r="53" spans="1:58" ht="14.25" customHeight="1" x14ac:dyDescent="0.45">
      <c r="A53" s="618"/>
      <c r="B53" s="618"/>
      <c r="C53" s="618"/>
      <c r="D53" s="618"/>
      <c r="E53" s="618"/>
      <c r="F53" s="618"/>
      <c r="G53" s="618"/>
      <c r="H53" s="618"/>
      <c r="I53" s="618"/>
      <c r="J53" s="618"/>
      <c r="K53" s="618"/>
      <c r="L53" s="618"/>
      <c r="M53" s="618"/>
      <c r="N53" s="618"/>
      <c r="O53" s="618"/>
      <c r="P53" s="618"/>
      <c r="Q53" s="618"/>
      <c r="R53" s="618"/>
      <c r="S53" s="618"/>
      <c r="T53" s="618"/>
      <c r="U53" s="618"/>
      <c r="V53" s="618"/>
      <c r="W53" s="618"/>
      <c r="X53" s="618"/>
      <c r="Y53" s="618"/>
      <c r="Z53" s="618"/>
      <c r="AA53" s="618"/>
      <c r="AB53" s="618"/>
      <c r="AC53" s="618"/>
      <c r="AD53" s="618"/>
      <c r="AE53" s="618"/>
      <c r="AF53" s="618"/>
      <c r="AG53" s="618"/>
      <c r="AH53" s="618"/>
      <c r="AI53" s="618"/>
      <c r="AJ53" s="618"/>
      <c r="AK53" s="618"/>
      <c r="AL53" s="4"/>
      <c r="AM53" s="1"/>
      <c r="AN53" s="3"/>
      <c r="AO53" s="3"/>
      <c r="AP53" s="3"/>
      <c r="AQ53" s="3"/>
      <c r="AR53" s="3"/>
      <c r="AS53" s="3"/>
      <c r="AT53" s="3"/>
      <c r="AU53" s="3"/>
      <c r="AV53" s="3"/>
      <c r="AW53" s="3"/>
      <c r="AX53" s="3"/>
      <c r="AY53" s="3"/>
      <c r="AZ53" s="3"/>
      <c r="BA53" s="3"/>
      <c r="BB53" s="3"/>
      <c r="BC53" s="3"/>
      <c r="BD53" s="3"/>
      <c r="BE53" s="3"/>
      <c r="BF53" s="3"/>
    </row>
    <row r="54" spans="1:58" ht="14.25" customHeight="1" x14ac:dyDescent="0.45">
      <c r="A54" s="4"/>
      <c r="B54" s="4"/>
      <c r="C54" s="8"/>
      <c r="D54" s="122" t="s">
        <v>55</v>
      </c>
      <c r="E54" s="123">
        <v>2018</v>
      </c>
      <c r="F54" s="123">
        <v>2019</v>
      </c>
      <c r="G54" s="123">
        <v>2020</v>
      </c>
      <c r="H54" s="123">
        <v>2021</v>
      </c>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1"/>
      <c r="AN54" s="3"/>
      <c r="AO54" s="3"/>
      <c r="AP54" s="3"/>
      <c r="AQ54" s="3"/>
      <c r="AR54" s="3"/>
      <c r="AS54" s="3"/>
      <c r="AT54" s="3"/>
      <c r="AU54" s="3"/>
      <c r="AV54" s="3"/>
      <c r="AW54" s="3"/>
      <c r="AX54" s="3"/>
      <c r="AY54" s="3"/>
      <c r="AZ54" s="3"/>
      <c r="BA54" s="3"/>
      <c r="BB54" s="3"/>
      <c r="BC54" s="3"/>
      <c r="BD54" s="3"/>
      <c r="BE54" s="3"/>
      <c r="BF54" s="3"/>
    </row>
    <row r="55" spans="1:58" ht="14.25" customHeight="1" x14ac:dyDescent="0.45">
      <c r="A55" s="618"/>
      <c r="B55" s="618"/>
      <c r="C55" s="106"/>
      <c r="D55" s="115"/>
      <c r="E55" s="132"/>
      <c r="F55" s="132"/>
      <c r="G55" s="132"/>
      <c r="H55" s="134"/>
      <c r="I55" s="618"/>
      <c r="J55" s="618"/>
      <c r="K55" s="618"/>
      <c r="L55" s="618"/>
      <c r="M55" s="618"/>
      <c r="N55" s="618"/>
      <c r="O55" s="618"/>
      <c r="P55" s="618"/>
      <c r="Q55" s="618"/>
      <c r="R55" s="618"/>
      <c r="S55" s="618"/>
      <c r="T55" s="618"/>
      <c r="U55" s="618"/>
      <c r="V55" s="618"/>
      <c r="W55" s="618"/>
      <c r="X55" s="618"/>
      <c r="Y55" s="618"/>
      <c r="Z55" s="618"/>
      <c r="AA55" s="618"/>
      <c r="AB55" s="618"/>
      <c r="AC55" s="618"/>
      <c r="AD55" s="618"/>
      <c r="AE55" s="618"/>
      <c r="AF55" s="618"/>
      <c r="AG55" s="618"/>
      <c r="AH55" s="618"/>
      <c r="AI55" s="618"/>
      <c r="AJ55" s="618"/>
      <c r="AK55" s="618"/>
      <c r="AL55" s="4"/>
      <c r="AM55" s="1"/>
      <c r="AN55" s="3"/>
      <c r="AO55" s="3"/>
      <c r="AP55" s="3"/>
      <c r="AQ55" s="3"/>
      <c r="AR55" s="3"/>
      <c r="AS55" s="3"/>
      <c r="AT55" s="3"/>
      <c r="AU55" s="3"/>
      <c r="AV55" s="3"/>
      <c r="AW55" s="3"/>
      <c r="AX55" s="3"/>
      <c r="AY55" s="3"/>
      <c r="AZ55" s="3"/>
      <c r="BA55" s="3"/>
      <c r="BB55" s="3"/>
      <c r="BC55" s="3"/>
      <c r="BD55" s="3"/>
      <c r="BE55" s="3"/>
      <c r="BF55" s="3"/>
    </row>
    <row r="56" spans="1:58" ht="14.25" customHeight="1" x14ac:dyDescent="0.45">
      <c r="A56" s="618"/>
      <c r="B56" s="618"/>
      <c r="C56" s="106"/>
      <c r="D56" s="111" t="s">
        <v>56</v>
      </c>
      <c r="E56" s="132"/>
      <c r="F56" s="132"/>
      <c r="G56" s="132"/>
      <c r="H56" s="134"/>
      <c r="I56" s="618"/>
      <c r="J56" s="618"/>
      <c r="K56" s="618"/>
      <c r="L56" s="618"/>
      <c r="M56" s="618"/>
      <c r="N56" s="618"/>
      <c r="O56" s="618"/>
      <c r="P56" s="618"/>
      <c r="Q56" s="618"/>
      <c r="R56" s="618"/>
      <c r="S56" s="618"/>
      <c r="T56" s="618"/>
      <c r="U56" s="618"/>
      <c r="V56" s="618"/>
      <c r="W56" s="618"/>
      <c r="X56" s="618"/>
      <c r="Y56" s="618"/>
      <c r="Z56" s="618"/>
      <c r="AA56" s="618"/>
      <c r="AB56" s="618"/>
      <c r="AC56" s="618"/>
      <c r="AD56" s="618"/>
      <c r="AE56" s="618"/>
      <c r="AF56" s="618"/>
      <c r="AG56" s="618"/>
      <c r="AH56" s="618"/>
      <c r="AI56" s="618"/>
      <c r="AJ56" s="618"/>
      <c r="AK56" s="618"/>
      <c r="AL56" s="4"/>
      <c r="AM56" s="1"/>
      <c r="AN56" s="3"/>
      <c r="AO56" s="3"/>
      <c r="AP56" s="3"/>
      <c r="AQ56" s="3"/>
      <c r="AR56" s="3"/>
      <c r="AS56" s="3"/>
      <c r="AT56" s="3"/>
      <c r="AU56" s="3"/>
      <c r="AV56" s="3"/>
      <c r="AW56" s="3"/>
      <c r="AX56" s="3"/>
      <c r="AY56" s="3"/>
      <c r="AZ56" s="3"/>
      <c r="BA56" s="3"/>
      <c r="BB56" s="3"/>
      <c r="BC56" s="3"/>
      <c r="BD56" s="3"/>
      <c r="BE56" s="3"/>
      <c r="BF56" s="3"/>
    </row>
    <row r="57" spans="1:58" ht="14.25" customHeight="1" x14ac:dyDescent="0.45">
      <c r="A57" s="618">
        <v>1</v>
      </c>
      <c r="B57" s="618"/>
      <c r="C57" s="106"/>
      <c r="D57" s="115" t="s">
        <v>33</v>
      </c>
      <c r="E57" s="116">
        <f>'Copia de Combustibles'!D55*$E$305</f>
        <v>-205.81510168580186</v>
      </c>
      <c r="F57" s="116">
        <f>'Copia de Combustibles'!E55*$E$305</f>
        <v>-186.99043256340056</v>
      </c>
      <c r="G57" s="116">
        <f>'Copia de Combustibles'!F55*$E$305</f>
        <v>-152.82312521336473</v>
      </c>
      <c r="H57" s="117">
        <f>'Copia de Combustibles'!G55*$E$305</f>
        <v>-191.3260229693748</v>
      </c>
      <c r="I57" s="618"/>
      <c r="J57" s="618"/>
      <c r="K57" s="618"/>
      <c r="L57" s="618"/>
      <c r="M57" s="618"/>
      <c r="N57" s="618"/>
      <c r="O57" s="618"/>
      <c r="P57" s="618"/>
      <c r="Q57" s="618"/>
      <c r="R57" s="618"/>
      <c r="S57" s="618"/>
      <c r="T57" s="618"/>
      <c r="U57" s="618"/>
      <c r="V57" s="618"/>
      <c r="W57" s="618"/>
      <c r="X57" s="618"/>
      <c r="Y57" s="618"/>
      <c r="Z57" s="618"/>
      <c r="AA57" s="618"/>
      <c r="AB57" s="618"/>
      <c r="AC57" s="618"/>
      <c r="AD57" s="618"/>
      <c r="AE57" s="618"/>
      <c r="AF57" s="618"/>
      <c r="AG57" s="618"/>
      <c r="AH57" s="618"/>
      <c r="AI57" s="618"/>
      <c r="AJ57" s="618"/>
      <c r="AK57" s="618"/>
      <c r="AL57" s="4"/>
      <c r="AM57" s="1"/>
      <c r="AN57" s="3"/>
      <c r="AO57" s="3"/>
      <c r="AP57" s="3"/>
      <c r="AQ57" s="3"/>
      <c r="AR57" s="3"/>
      <c r="AS57" s="3"/>
      <c r="AT57" s="3"/>
      <c r="AU57" s="3"/>
      <c r="AV57" s="3"/>
      <c r="AW57" s="3"/>
      <c r="AX57" s="3"/>
      <c r="AY57" s="3"/>
      <c r="AZ57" s="3"/>
      <c r="BA57" s="3"/>
      <c r="BB57" s="3"/>
      <c r="BC57" s="3"/>
      <c r="BD57" s="3"/>
      <c r="BE57" s="3"/>
      <c r="BF57" s="3"/>
    </row>
    <row r="58" spans="1:58" ht="14.25" customHeight="1" x14ac:dyDescent="0.45">
      <c r="A58" s="618"/>
      <c r="B58" s="618"/>
      <c r="C58" s="106"/>
      <c r="D58" s="115"/>
      <c r="E58" s="116"/>
      <c r="F58" s="116"/>
      <c r="G58" s="116"/>
      <c r="H58" s="117"/>
      <c r="I58" s="618"/>
      <c r="J58" s="618"/>
      <c r="K58" s="618"/>
      <c r="L58" s="618"/>
      <c r="M58" s="618"/>
      <c r="N58" s="618"/>
      <c r="O58" s="618"/>
      <c r="P58" s="618"/>
      <c r="Q58" s="618"/>
      <c r="R58" s="618"/>
      <c r="S58" s="618"/>
      <c r="T58" s="618"/>
      <c r="U58" s="618"/>
      <c r="V58" s="618"/>
      <c r="W58" s="618"/>
      <c r="X58" s="618"/>
      <c r="Y58" s="618"/>
      <c r="Z58" s="618"/>
      <c r="AA58" s="618"/>
      <c r="AB58" s="618"/>
      <c r="AC58" s="618"/>
      <c r="AD58" s="618"/>
      <c r="AE58" s="618"/>
      <c r="AF58" s="618"/>
      <c r="AG58" s="618"/>
      <c r="AH58" s="618"/>
      <c r="AI58" s="618"/>
      <c r="AJ58" s="618"/>
      <c r="AK58" s="618"/>
      <c r="AL58" s="4"/>
      <c r="AM58" s="1"/>
      <c r="AN58" s="3"/>
      <c r="AO58" s="3"/>
      <c r="AP58" s="3"/>
      <c r="AQ58" s="3"/>
      <c r="AR58" s="3"/>
      <c r="AS58" s="3"/>
      <c r="AT58" s="3"/>
      <c r="AU58" s="3"/>
      <c r="AV58" s="3"/>
      <c r="AW58" s="3"/>
      <c r="AX58" s="3"/>
      <c r="AY58" s="3"/>
      <c r="AZ58" s="3"/>
      <c r="BA58" s="3"/>
      <c r="BB58" s="3"/>
      <c r="BC58" s="3"/>
      <c r="BD58" s="3"/>
      <c r="BE58" s="3"/>
      <c r="BF58" s="3"/>
    </row>
    <row r="59" spans="1:58" ht="14.25" customHeight="1" x14ac:dyDescent="0.45">
      <c r="A59" s="618"/>
      <c r="B59" s="618"/>
      <c r="C59" s="106"/>
      <c r="D59" s="111" t="s">
        <v>57</v>
      </c>
      <c r="E59" s="116"/>
      <c r="F59" s="116"/>
      <c r="G59" s="116"/>
      <c r="H59" s="117"/>
      <c r="I59" s="618"/>
      <c r="J59" s="618"/>
      <c r="K59" s="618"/>
      <c r="L59" s="618"/>
      <c r="M59" s="618"/>
      <c r="N59" s="618"/>
      <c r="O59" s="618"/>
      <c r="P59" s="618"/>
      <c r="Q59" s="618"/>
      <c r="R59" s="618"/>
      <c r="S59" s="618"/>
      <c r="T59" s="618"/>
      <c r="U59" s="618"/>
      <c r="V59" s="618"/>
      <c r="W59" s="618"/>
      <c r="X59" s="618"/>
      <c r="Y59" s="618"/>
      <c r="Z59" s="618"/>
      <c r="AA59" s="618"/>
      <c r="AB59" s="618"/>
      <c r="AC59" s="618"/>
      <c r="AD59" s="618"/>
      <c r="AE59" s="618"/>
      <c r="AF59" s="618"/>
      <c r="AG59" s="618"/>
      <c r="AH59" s="618"/>
      <c r="AI59" s="618"/>
      <c r="AJ59" s="618"/>
      <c r="AK59" s="618"/>
      <c r="AL59" s="4"/>
      <c r="AM59" s="1"/>
      <c r="AN59" s="3"/>
      <c r="AO59" s="3"/>
      <c r="AP59" s="3"/>
      <c r="AQ59" s="3"/>
      <c r="AR59" s="3"/>
      <c r="AS59" s="3"/>
      <c r="AT59" s="3"/>
      <c r="AU59" s="3"/>
      <c r="AV59" s="3"/>
      <c r="AW59" s="3"/>
      <c r="AX59" s="3"/>
      <c r="AY59" s="3"/>
      <c r="AZ59" s="3"/>
      <c r="BA59" s="3"/>
      <c r="BB59" s="3"/>
      <c r="BC59" s="3"/>
      <c r="BD59" s="3"/>
      <c r="BE59" s="3"/>
      <c r="BF59" s="3"/>
    </row>
    <row r="60" spans="1:58" ht="14.25" customHeight="1" x14ac:dyDescent="0.45">
      <c r="A60" s="618">
        <v>1</v>
      </c>
      <c r="B60" s="618"/>
      <c r="C60" s="106"/>
      <c r="D60" s="115" t="s">
        <v>33</v>
      </c>
      <c r="E60" s="116">
        <f>'Copia de Combustibles'!D58*$E$305</f>
        <v>-90.482729643428385</v>
      </c>
      <c r="F60" s="116">
        <f>'Copia de Combustibles'!E58*$E$305</f>
        <v>-78.871773390932589</v>
      </c>
      <c r="G60" s="116">
        <f>'Copia de Combustibles'!F58*$E$305</f>
        <v>-60.866776019514695</v>
      </c>
      <c r="H60" s="117">
        <f>'Copia de Combustibles'!G58*$E$305</f>
        <v>-78.600636650161562</v>
      </c>
      <c r="I60" s="618"/>
      <c r="J60" s="618"/>
      <c r="K60" s="618"/>
      <c r="L60" s="618"/>
      <c r="M60" s="618"/>
      <c r="N60" s="618"/>
      <c r="O60" s="618"/>
      <c r="P60" s="618"/>
      <c r="Q60" s="618"/>
      <c r="R60" s="618"/>
      <c r="S60" s="618"/>
      <c r="T60" s="618"/>
      <c r="U60" s="618"/>
      <c r="V60" s="618"/>
      <c r="W60" s="618"/>
      <c r="X60" s="618"/>
      <c r="Y60" s="618"/>
      <c r="Z60" s="618"/>
      <c r="AA60" s="618"/>
      <c r="AB60" s="618"/>
      <c r="AC60" s="618"/>
      <c r="AD60" s="618"/>
      <c r="AE60" s="618"/>
      <c r="AF60" s="618"/>
      <c r="AG60" s="618"/>
      <c r="AH60" s="618"/>
      <c r="AI60" s="618"/>
      <c r="AJ60" s="618"/>
      <c r="AK60" s="618"/>
      <c r="AL60" s="4"/>
      <c r="AM60" s="1"/>
      <c r="AN60" s="3"/>
      <c r="AO60" s="3"/>
      <c r="AP60" s="3"/>
      <c r="AQ60" s="3"/>
      <c r="AR60" s="3"/>
      <c r="AS60" s="3"/>
      <c r="AT60" s="3"/>
      <c r="AU60" s="3"/>
      <c r="AV60" s="3"/>
      <c r="AW60" s="3"/>
      <c r="AX60" s="3"/>
      <c r="AY60" s="3"/>
      <c r="AZ60" s="3"/>
      <c r="BA60" s="3"/>
      <c r="BB60" s="3"/>
      <c r="BC60" s="3"/>
      <c r="BD60" s="3"/>
      <c r="BE60" s="3"/>
      <c r="BF60" s="3"/>
    </row>
    <row r="61" spans="1:58" ht="14.25" customHeight="1" x14ac:dyDescent="0.45">
      <c r="A61" s="618">
        <v>1</v>
      </c>
      <c r="B61" s="618"/>
      <c r="C61" s="106"/>
      <c r="D61" s="115" t="s">
        <v>58</v>
      </c>
      <c r="E61" s="116">
        <f>'Copia de Combustibles'!D59*$E$305</f>
        <v>-9.8878394887020899E-3</v>
      </c>
      <c r="F61" s="116">
        <f>'Copia de Combustibles'!E59*$E$305</f>
        <v>-9.5444979265567054E-3</v>
      </c>
      <c r="G61" s="116">
        <f>'Copia de Combustibles'!F59*$E$305</f>
        <v>0</v>
      </c>
      <c r="H61" s="117">
        <f>'Copia de Combustibles'!G59*$E$305</f>
        <v>-1.573441794684587E-2</v>
      </c>
      <c r="I61" s="618"/>
      <c r="J61" s="618"/>
      <c r="K61" s="618"/>
      <c r="L61" s="618"/>
      <c r="M61" s="618"/>
      <c r="N61" s="618"/>
      <c r="O61" s="618"/>
      <c r="P61" s="618"/>
      <c r="Q61" s="618"/>
      <c r="R61" s="618"/>
      <c r="S61" s="618"/>
      <c r="T61" s="618"/>
      <c r="U61" s="618"/>
      <c r="V61" s="618"/>
      <c r="W61" s="618"/>
      <c r="X61" s="618"/>
      <c r="Y61" s="618"/>
      <c r="Z61" s="618"/>
      <c r="AA61" s="618"/>
      <c r="AB61" s="618"/>
      <c r="AC61" s="618"/>
      <c r="AD61" s="618"/>
      <c r="AE61" s="618"/>
      <c r="AF61" s="618"/>
      <c r="AG61" s="618"/>
      <c r="AH61" s="618"/>
      <c r="AI61" s="618"/>
      <c r="AJ61" s="618"/>
      <c r="AK61" s="618"/>
      <c r="AL61" s="4"/>
      <c r="AM61" s="1"/>
      <c r="AN61" s="3"/>
      <c r="AO61" s="3"/>
      <c r="AP61" s="3"/>
      <c r="AQ61" s="3"/>
      <c r="AR61" s="3"/>
      <c r="AS61" s="3"/>
      <c r="AT61" s="3"/>
      <c r="AU61" s="3"/>
      <c r="AV61" s="3"/>
      <c r="AW61" s="3"/>
      <c r="AX61" s="3"/>
      <c r="AY61" s="3"/>
      <c r="AZ61" s="3"/>
      <c r="BA61" s="3"/>
      <c r="BB61" s="3"/>
      <c r="BC61" s="3"/>
      <c r="BD61" s="3"/>
      <c r="BE61" s="3"/>
      <c r="BF61" s="3"/>
    </row>
    <row r="62" spans="1:58" ht="14.25" customHeight="1" x14ac:dyDescent="0.45">
      <c r="A62" s="618"/>
      <c r="B62" s="618"/>
      <c r="C62" s="106"/>
      <c r="D62" s="115" t="s">
        <v>59</v>
      </c>
      <c r="E62" s="116">
        <f>SUM(E60:E61)</f>
        <v>-90.492617482917083</v>
      </c>
      <c r="F62" s="116">
        <f>SUM(F60:F61)</f>
        <v>-78.881317888859144</v>
      </c>
      <c r="G62" s="116">
        <f>SUM(G60:G61)</f>
        <v>-60.866776019514695</v>
      </c>
      <c r="H62" s="117">
        <f>SUM(H60:H61)</f>
        <v>-78.616371068108407</v>
      </c>
      <c r="I62" s="618"/>
      <c r="J62" s="618"/>
      <c r="K62" s="618"/>
      <c r="L62" s="618"/>
      <c r="M62" s="618"/>
      <c r="N62" s="618"/>
      <c r="O62" s="618"/>
      <c r="P62" s="618"/>
      <c r="Q62" s="618"/>
      <c r="R62" s="618"/>
      <c r="S62" s="618"/>
      <c r="T62" s="618"/>
      <c r="U62" s="618"/>
      <c r="V62" s="618"/>
      <c r="W62" s="618"/>
      <c r="X62" s="618"/>
      <c r="Y62" s="618"/>
      <c r="Z62" s="618"/>
      <c r="AA62" s="618"/>
      <c r="AB62" s="618"/>
      <c r="AC62" s="618"/>
      <c r="AD62" s="618"/>
      <c r="AE62" s="618"/>
      <c r="AF62" s="618"/>
      <c r="AG62" s="618"/>
      <c r="AH62" s="618"/>
      <c r="AI62" s="618"/>
      <c r="AJ62" s="618"/>
      <c r="AK62" s="618"/>
      <c r="AL62" s="4"/>
      <c r="AM62" s="1"/>
      <c r="AN62" s="3"/>
      <c r="AO62" s="3"/>
      <c r="AP62" s="3"/>
      <c r="AQ62" s="3"/>
      <c r="AR62" s="3"/>
      <c r="AS62" s="3"/>
      <c r="AT62" s="3"/>
      <c r="AU62" s="3"/>
      <c r="AV62" s="3"/>
      <c r="AW62" s="3"/>
      <c r="AX62" s="3"/>
      <c r="AY62" s="3"/>
      <c r="AZ62" s="3"/>
      <c r="BA62" s="3"/>
      <c r="BB62" s="3"/>
      <c r="BC62" s="3"/>
      <c r="BD62" s="3"/>
      <c r="BE62" s="3"/>
      <c r="BF62" s="3"/>
    </row>
    <row r="63" spans="1:58" ht="13.5" customHeight="1" x14ac:dyDescent="0.45">
      <c r="A63" s="618"/>
      <c r="B63" s="618"/>
      <c r="C63" s="106"/>
      <c r="D63" s="115"/>
      <c r="E63" s="116"/>
      <c r="F63" s="116"/>
      <c r="G63" s="116"/>
      <c r="H63" s="117"/>
      <c r="I63" s="618"/>
      <c r="J63" s="618"/>
      <c r="K63" s="618"/>
      <c r="L63" s="618"/>
      <c r="M63" s="618"/>
      <c r="N63" s="618"/>
      <c r="O63" s="618"/>
      <c r="P63" s="618"/>
      <c r="Q63" s="618"/>
      <c r="R63" s="618"/>
      <c r="S63" s="618"/>
      <c r="T63" s="618"/>
      <c r="U63" s="618"/>
      <c r="V63" s="618"/>
      <c r="W63" s="618"/>
      <c r="X63" s="618"/>
      <c r="Y63" s="618"/>
      <c r="Z63" s="618"/>
      <c r="AA63" s="618"/>
      <c r="AB63" s="618"/>
      <c r="AC63" s="618"/>
      <c r="AD63" s="618"/>
      <c r="AE63" s="618"/>
      <c r="AF63" s="618"/>
      <c r="AG63" s="618"/>
      <c r="AH63" s="618"/>
      <c r="AI63" s="618"/>
      <c r="AJ63" s="618"/>
      <c r="AK63" s="618"/>
      <c r="AL63" s="4"/>
      <c r="AM63" s="1"/>
      <c r="AN63" s="3"/>
      <c r="AO63" s="3"/>
      <c r="AP63" s="3"/>
      <c r="AQ63" s="3"/>
      <c r="AR63" s="3"/>
      <c r="AS63" s="3"/>
      <c r="AT63" s="3"/>
      <c r="AU63" s="3"/>
      <c r="AV63" s="3"/>
      <c r="AW63" s="3"/>
      <c r="AX63" s="3"/>
      <c r="AY63" s="3"/>
      <c r="AZ63" s="3"/>
      <c r="BA63" s="3"/>
      <c r="BB63" s="3"/>
      <c r="BC63" s="3"/>
      <c r="BD63" s="3"/>
      <c r="BE63" s="3"/>
      <c r="BF63" s="3"/>
    </row>
    <row r="64" spans="1:58" ht="14.25" customHeight="1" x14ac:dyDescent="0.45">
      <c r="A64" s="618"/>
      <c r="B64" s="618"/>
      <c r="C64" s="106"/>
      <c r="D64" s="111" t="s">
        <v>60</v>
      </c>
      <c r="E64" s="116"/>
      <c r="F64" s="116"/>
      <c r="G64" s="116"/>
      <c r="H64" s="117"/>
      <c r="I64" s="618"/>
      <c r="J64" s="618"/>
      <c r="K64" s="618"/>
      <c r="L64" s="618"/>
      <c r="M64" s="618"/>
      <c r="N64" s="618"/>
      <c r="O64" s="618"/>
      <c r="P64" s="618"/>
      <c r="Q64" s="618"/>
      <c r="R64" s="618"/>
      <c r="S64" s="618"/>
      <c r="T64" s="618"/>
      <c r="U64" s="618"/>
      <c r="V64" s="618"/>
      <c r="W64" s="618"/>
      <c r="X64" s="618"/>
      <c r="Y64" s="618"/>
      <c r="Z64" s="618"/>
      <c r="AA64" s="618"/>
      <c r="AB64" s="618"/>
      <c r="AC64" s="618"/>
      <c r="AD64" s="618"/>
      <c r="AE64" s="618"/>
      <c r="AF64" s="618"/>
      <c r="AG64" s="618"/>
      <c r="AH64" s="618"/>
      <c r="AI64" s="618"/>
      <c r="AJ64" s="618"/>
      <c r="AK64" s="618"/>
      <c r="AL64" s="4"/>
      <c r="AM64" s="1"/>
      <c r="AN64" s="3"/>
      <c r="AO64" s="3"/>
      <c r="AP64" s="3"/>
      <c r="AQ64" s="3"/>
      <c r="AR64" s="3"/>
      <c r="AS64" s="3"/>
      <c r="AT64" s="3"/>
      <c r="AU64" s="3"/>
      <c r="AV64" s="3"/>
      <c r="AW64" s="3"/>
      <c r="AX64" s="3"/>
      <c r="AY64" s="3"/>
      <c r="AZ64" s="3"/>
      <c r="BA64" s="3"/>
      <c r="BB64" s="3"/>
      <c r="BC64" s="3"/>
      <c r="BD64" s="3"/>
      <c r="BE64" s="3"/>
      <c r="BF64" s="3"/>
    </row>
    <row r="65" spans="1:39" ht="14.25" customHeight="1" x14ac:dyDescent="0.45">
      <c r="A65" s="618">
        <v>1</v>
      </c>
      <c r="B65" s="618"/>
      <c r="C65" s="106"/>
      <c r="D65" s="115" t="s">
        <v>33</v>
      </c>
      <c r="E65" s="116">
        <f>'Copia de Combustibles'!D62*$E$305</f>
        <v>-41.734160399804601</v>
      </c>
      <c r="F65" s="116">
        <f>'Copia de Combustibles'!E62*$E$305</f>
        <v>-39.021069231178544</v>
      </c>
      <c r="G65" s="116">
        <f>'Copia de Combustibles'!F62*$E$305</f>
        <v>-34.9624437992343</v>
      </c>
      <c r="H65" s="117">
        <f>'Copia de Combustibles'!G62*$E$305</f>
        <v>-41.014580586678036</v>
      </c>
      <c r="I65" s="618"/>
      <c r="J65" s="618"/>
      <c r="K65" s="618"/>
      <c r="L65" s="618"/>
      <c r="M65" s="618"/>
      <c r="N65" s="618"/>
      <c r="O65" s="618"/>
      <c r="P65" s="618"/>
      <c r="Q65" s="618"/>
      <c r="R65" s="618"/>
      <c r="S65" s="618"/>
      <c r="T65" s="618"/>
      <c r="U65" s="618"/>
      <c r="V65" s="618"/>
      <c r="W65" s="618"/>
      <c r="X65" s="618"/>
      <c r="Y65" s="618"/>
      <c r="Z65" s="618"/>
      <c r="AA65" s="618"/>
      <c r="AB65" s="618"/>
      <c r="AC65" s="618"/>
      <c r="AD65" s="618"/>
      <c r="AE65" s="618"/>
      <c r="AF65" s="618"/>
      <c r="AG65" s="618"/>
      <c r="AH65" s="618"/>
      <c r="AI65" s="618"/>
      <c r="AJ65" s="618"/>
      <c r="AK65" s="618"/>
      <c r="AL65" s="4"/>
      <c r="AM65" s="1"/>
    </row>
    <row r="66" spans="1:39" ht="14.25" customHeight="1" x14ac:dyDescent="0.45">
      <c r="A66" s="618"/>
      <c r="B66" s="618"/>
      <c r="C66" s="106"/>
      <c r="D66" s="115"/>
      <c r="E66" s="116"/>
      <c r="F66" s="116"/>
      <c r="G66" s="116"/>
      <c r="H66" s="117"/>
      <c r="I66" s="618"/>
      <c r="J66" s="618"/>
      <c r="K66" s="618"/>
      <c r="L66" s="618"/>
      <c r="M66" s="618"/>
      <c r="N66" s="618"/>
      <c r="O66" s="618"/>
      <c r="P66" s="618"/>
      <c r="Q66" s="618"/>
      <c r="R66" s="618"/>
      <c r="S66" s="618"/>
      <c r="T66" s="618"/>
      <c r="U66" s="618"/>
      <c r="V66" s="618"/>
      <c r="W66" s="618"/>
      <c r="X66" s="618"/>
      <c r="Y66" s="618"/>
      <c r="Z66" s="618"/>
      <c r="AA66" s="618"/>
      <c r="AB66" s="618"/>
      <c r="AC66" s="618"/>
      <c r="AD66" s="618"/>
      <c r="AE66" s="618"/>
      <c r="AF66" s="618"/>
      <c r="AG66" s="618"/>
      <c r="AH66" s="618"/>
      <c r="AI66" s="618"/>
      <c r="AJ66" s="618"/>
      <c r="AK66" s="618"/>
      <c r="AL66" s="4"/>
      <c r="AM66" s="1"/>
    </row>
    <row r="67" spans="1:39" ht="14.25" customHeight="1" x14ac:dyDescent="0.45">
      <c r="A67" s="618"/>
      <c r="B67" s="618"/>
      <c r="C67" s="106"/>
      <c r="D67" s="111" t="s">
        <v>61</v>
      </c>
      <c r="E67" s="116"/>
      <c r="F67" s="116"/>
      <c r="G67" s="116"/>
      <c r="H67" s="117"/>
      <c r="I67" s="618"/>
      <c r="J67" s="618"/>
      <c r="K67" s="618"/>
      <c r="L67" s="618"/>
      <c r="M67" s="618"/>
      <c r="N67" s="618"/>
      <c r="O67" s="618"/>
      <c r="P67" s="618"/>
      <c r="Q67" s="618"/>
      <c r="R67" s="618"/>
      <c r="S67" s="618"/>
      <c r="T67" s="618"/>
      <c r="U67" s="618"/>
      <c r="V67" s="618"/>
      <c r="W67" s="618"/>
      <c r="X67" s="618"/>
      <c r="Y67" s="618"/>
      <c r="Z67" s="618"/>
      <c r="AA67" s="618"/>
      <c r="AB67" s="618"/>
      <c r="AC67" s="618"/>
      <c r="AD67" s="618"/>
      <c r="AE67" s="618"/>
      <c r="AF67" s="618"/>
      <c r="AG67" s="618"/>
      <c r="AH67" s="618"/>
      <c r="AI67" s="618"/>
      <c r="AJ67" s="618"/>
      <c r="AK67" s="618"/>
      <c r="AL67" s="4"/>
      <c r="AM67" s="1"/>
    </row>
    <row r="68" spans="1:39" ht="14.25" customHeight="1" x14ac:dyDescent="0.45">
      <c r="A68" s="618">
        <v>1</v>
      </c>
      <c r="B68" s="618"/>
      <c r="C68" s="106"/>
      <c r="D68" s="115" t="s">
        <v>33</v>
      </c>
      <c r="E68" s="116">
        <f>'Copia de Combustibles'!D65*$E$305</f>
        <v>-20.224116942162627</v>
      </c>
      <c r="F68" s="116">
        <f>'Copia de Combustibles'!E65*$E$305</f>
        <v>-20.856188469836653</v>
      </c>
      <c r="G68" s="116">
        <f>'Copia de Combustibles'!F65*$E$305</f>
        <v>-19.223274906620794</v>
      </c>
      <c r="H68" s="117">
        <f>'Copia de Combustibles'!G65*$E$305</f>
        <v>-19.772460703163755</v>
      </c>
      <c r="I68" s="618"/>
      <c r="J68" s="618"/>
      <c r="K68" s="618"/>
      <c r="L68" s="618"/>
      <c r="M68" s="618"/>
      <c r="N68" s="618"/>
      <c r="O68" s="618"/>
      <c r="P68" s="618"/>
      <c r="Q68" s="618"/>
      <c r="R68" s="618"/>
      <c r="S68" s="618"/>
      <c r="T68" s="618"/>
      <c r="U68" s="618"/>
      <c r="V68" s="618"/>
      <c r="W68" s="618"/>
      <c r="X68" s="618"/>
      <c r="Y68" s="618"/>
      <c r="Z68" s="618"/>
      <c r="AA68" s="618"/>
      <c r="AB68" s="618"/>
      <c r="AC68" s="618"/>
      <c r="AD68" s="618"/>
      <c r="AE68" s="618"/>
      <c r="AF68" s="618"/>
      <c r="AG68" s="618"/>
      <c r="AH68" s="618"/>
      <c r="AI68" s="618"/>
      <c r="AJ68" s="618"/>
      <c r="AK68" s="618"/>
      <c r="AL68" s="4"/>
      <c r="AM68" s="1"/>
    </row>
    <row r="69" spans="1:39" ht="14.25" customHeight="1" x14ac:dyDescent="0.45">
      <c r="A69" s="618">
        <v>1</v>
      </c>
      <c r="B69" s="618"/>
      <c r="C69" s="106"/>
      <c r="D69" s="115" t="s">
        <v>58</v>
      </c>
      <c r="E69" s="116">
        <f>'Copia de Combustibles'!D66*$E$305</f>
        <v>-0.65793672916127155</v>
      </c>
      <c r="F69" s="116">
        <f>'Copia de Combustibles'!E66*$E$305</f>
        <v>-0.70159510145111037</v>
      </c>
      <c r="G69" s="116">
        <f>'Copia de Combustibles'!F66*$E$305</f>
        <v>-0.61250610932577687</v>
      </c>
      <c r="H69" s="117">
        <f>'Copia de Combustibles'!G66*$E$305</f>
        <v>-0.58443259519956248</v>
      </c>
      <c r="I69" s="618"/>
      <c r="J69" s="618"/>
      <c r="K69" s="618"/>
      <c r="L69" s="618"/>
      <c r="M69" s="618"/>
      <c r="N69" s="618"/>
      <c r="O69" s="618"/>
      <c r="P69" s="618"/>
      <c r="Q69" s="618"/>
      <c r="R69" s="618"/>
      <c r="S69" s="618"/>
      <c r="T69" s="618"/>
      <c r="U69" s="618"/>
      <c r="V69" s="618"/>
      <c r="W69" s="618"/>
      <c r="X69" s="618"/>
      <c r="Y69" s="618"/>
      <c r="Z69" s="618"/>
      <c r="AA69" s="618"/>
      <c r="AB69" s="618"/>
      <c r="AC69" s="618"/>
      <c r="AD69" s="618"/>
      <c r="AE69" s="618"/>
      <c r="AF69" s="618"/>
      <c r="AG69" s="618"/>
      <c r="AH69" s="618"/>
      <c r="AI69" s="618"/>
      <c r="AJ69" s="618"/>
      <c r="AK69" s="618"/>
      <c r="AL69" s="4"/>
      <c r="AM69" s="1"/>
    </row>
    <row r="70" spans="1:39" ht="14.25" customHeight="1" x14ac:dyDescent="0.45">
      <c r="A70" s="618"/>
      <c r="B70" s="618"/>
      <c r="C70" s="106"/>
      <c r="D70" s="115" t="s">
        <v>59</v>
      </c>
      <c r="E70" s="116">
        <f>SUM(E68:E69)</f>
        <v>-20.882053671323899</v>
      </c>
      <c r="F70" s="116">
        <f>SUM(F68:F69)</f>
        <v>-21.557783571287764</v>
      </c>
      <c r="G70" s="116">
        <f>SUM(G68:G69)</f>
        <v>-19.835781015946573</v>
      </c>
      <c r="H70" s="117">
        <f>SUM(H68:H69)</f>
        <v>-20.356893298363318</v>
      </c>
      <c r="I70" s="618"/>
      <c r="J70" s="618"/>
      <c r="K70" s="618"/>
      <c r="L70" s="618"/>
      <c r="M70" s="618"/>
      <c r="N70" s="618"/>
      <c r="O70" s="618"/>
      <c r="P70" s="618"/>
      <c r="Q70" s="618"/>
      <c r="R70" s="618"/>
      <c r="S70" s="618"/>
      <c r="T70" s="618"/>
      <c r="U70" s="618"/>
      <c r="V70" s="618"/>
      <c r="W70" s="618"/>
      <c r="X70" s="618"/>
      <c r="Y70" s="618"/>
      <c r="Z70" s="618"/>
      <c r="AA70" s="618"/>
      <c r="AB70" s="618"/>
      <c r="AC70" s="618"/>
      <c r="AD70" s="618"/>
      <c r="AE70" s="618"/>
      <c r="AF70" s="618"/>
      <c r="AG70" s="618"/>
      <c r="AH70" s="618"/>
      <c r="AI70" s="618"/>
      <c r="AJ70" s="618"/>
      <c r="AK70" s="618"/>
      <c r="AL70" s="4"/>
      <c r="AM70" s="1"/>
    </row>
    <row r="71" spans="1:39" ht="14.25" customHeight="1" x14ac:dyDescent="0.45">
      <c r="A71" s="618"/>
      <c r="B71" s="618"/>
      <c r="C71" s="106"/>
      <c r="D71" s="115"/>
      <c r="E71" s="116"/>
      <c r="F71" s="116"/>
      <c r="G71" s="116"/>
      <c r="H71" s="117"/>
      <c r="I71" s="618"/>
      <c r="J71" s="618"/>
      <c r="K71" s="618"/>
      <c r="L71" s="618"/>
      <c r="M71" s="618"/>
      <c r="N71" s="618"/>
      <c r="O71" s="618"/>
      <c r="P71" s="618"/>
      <c r="Q71" s="618"/>
      <c r="R71" s="618"/>
      <c r="S71" s="618"/>
      <c r="T71" s="618"/>
      <c r="U71" s="618"/>
      <c r="V71" s="618"/>
      <c r="W71" s="618"/>
      <c r="X71" s="618"/>
      <c r="Y71" s="618"/>
      <c r="Z71" s="618"/>
      <c r="AA71" s="618"/>
      <c r="AB71" s="618"/>
      <c r="AC71" s="618"/>
      <c r="AD71" s="618"/>
      <c r="AE71" s="618"/>
      <c r="AF71" s="618"/>
      <c r="AG71" s="618"/>
      <c r="AH71" s="618"/>
      <c r="AI71" s="618"/>
      <c r="AJ71" s="618"/>
      <c r="AK71" s="618"/>
      <c r="AL71" s="4"/>
      <c r="AM71" s="1"/>
    </row>
    <row r="72" spans="1:39" ht="14.25" customHeight="1" thickBot="1" x14ac:dyDescent="0.5">
      <c r="A72" s="618"/>
      <c r="B72" s="618"/>
      <c r="C72" s="118"/>
      <c r="D72" s="166" t="s">
        <v>62</v>
      </c>
      <c r="E72" s="525">
        <f>SUM(E57,E62,E65,E70)</f>
        <v>-358.92393323984743</v>
      </c>
      <c r="F72" s="525">
        <f t="shared" ref="F72:H72" si="1">SUM(F57,F62,F65,F70)</f>
        <v>-326.45060325472599</v>
      </c>
      <c r="G72" s="525">
        <f t="shared" si="1"/>
        <v>-268.48812604806034</v>
      </c>
      <c r="H72" s="526">
        <f t="shared" si="1"/>
        <v>-331.31386792252459</v>
      </c>
      <c r="I72" s="618"/>
      <c r="J72" s="618"/>
      <c r="K72" s="618"/>
      <c r="L72" s="618"/>
      <c r="M72" s="618"/>
      <c r="N72" s="618"/>
      <c r="O72" s="618"/>
      <c r="P72" s="618"/>
      <c r="Q72" s="618"/>
      <c r="R72" s="618"/>
      <c r="S72" s="618"/>
      <c r="T72" s="618"/>
      <c r="U72" s="618"/>
      <c r="V72" s="618"/>
      <c r="W72" s="618"/>
      <c r="X72" s="618"/>
      <c r="Y72" s="618"/>
      <c r="Z72" s="618"/>
      <c r="AA72" s="618"/>
      <c r="AB72" s="618"/>
      <c r="AC72" s="618"/>
      <c r="AD72" s="618"/>
      <c r="AE72" s="618"/>
      <c r="AF72" s="618"/>
      <c r="AG72" s="618"/>
      <c r="AH72" s="618"/>
      <c r="AI72" s="618"/>
      <c r="AJ72" s="618"/>
      <c r="AK72" s="618"/>
      <c r="AL72" s="4"/>
      <c r="AM72" s="1"/>
    </row>
    <row r="73" spans="1:39" ht="14.25" customHeight="1" thickBot="1" x14ac:dyDescent="0.5">
      <c r="A73" s="618"/>
      <c r="B73" s="618"/>
      <c r="C73" s="618"/>
      <c r="D73" s="618"/>
      <c r="E73" s="618"/>
      <c r="F73" s="618"/>
      <c r="G73" s="618"/>
      <c r="H73" s="618"/>
      <c r="I73" s="618"/>
      <c r="J73" s="618"/>
      <c r="K73" s="618"/>
      <c r="L73" s="618"/>
      <c r="M73" s="618"/>
      <c r="N73" s="618"/>
      <c r="O73" s="618"/>
      <c r="P73" s="618"/>
      <c r="Q73" s="618"/>
      <c r="R73" s="618"/>
      <c r="S73" s="618"/>
      <c r="T73" s="618"/>
      <c r="U73" s="618"/>
      <c r="V73" s="618"/>
      <c r="W73" s="618"/>
      <c r="X73" s="618"/>
      <c r="Y73" s="618"/>
      <c r="Z73" s="618"/>
      <c r="AA73" s="618"/>
      <c r="AB73" s="618"/>
      <c r="AC73" s="618"/>
      <c r="AD73" s="618"/>
      <c r="AE73" s="618"/>
      <c r="AF73" s="618"/>
      <c r="AG73" s="618"/>
      <c r="AH73" s="618"/>
      <c r="AI73" s="618"/>
      <c r="AJ73" s="618"/>
      <c r="AK73" s="618"/>
      <c r="AL73" s="4"/>
      <c r="AM73" s="1"/>
    </row>
    <row r="74" spans="1:39" ht="14.25" customHeight="1" x14ac:dyDescent="0.45">
      <c r="A74" s="4"/>
      <c r="B74" s="4"/>
      <c r="C74" s="8"/>
      <c r="D74" s="122" t="s">
        <v>63</v>
      </c>
      <c r="E74" s="151"/>
      <c r="F74" s="151"/>
      <c r="G74" s="151"/>
      <c r="H74" s="152"/>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1"/>
    </row>
    <row r="75" spans="1:39" ht="14.25" customHeight="1" x14ac:dyDescent="0.45">
      <c r="A75" s="618"/>
      <c r="B75" s="618"/>
      <c r="C75" s="106"/>
      <c r="D75" s="115"/>
      <c r="E75" s="132"/>
      <c r="F75" s="132"/>
      <c r="G75" s="132"/>
      <c r="H75" s="134"/>
      <c r="I75" s="618"/>
      <c r="J75" s="618"/>
      <c r="K75" s="618"/>
      <c r="L75" s="618"/>
      <c r="M75" s="618"/>
      <c r="N75" s="618"/>
      <c r="O75" s="618"/>
      <c r="P75" s="618"/>
      <c r="Q75" s="618"/>
      <c r="R75" s="618"/>
      <c r="S75" s="618"/>
      <c r="T75" s="618"/>
      <c r="U75" s="618"/>
      <c r="V75" s="618"/>
      <c r="W75" s="618"/>
      <c r="X75" s="618"/>
      <c r="Y75" s="618"/>
      <c r="Z75" s="618"/>
      <c r="AA75" s="618"/>
      <c r="AB75" s="618"/>
      <c r="AC75" s="618"/>
      <c r="AD75" s="618"/>
      <c r="AE75" s="618"/>
      <c r="AF75" s="618"/>
      <c r="AG75" s="618"/>
      <c r="AH75" s="618"/>
      <c r="AI75" s="618"/>
      <c r="AJ75" s="618"/>
      <c r="AK75" s="618"/>
      <c r="AL75" s="4"/>
      <c r="AM75" s="1"/>
    </row>
    <row r="76" spans="1:39" ht="14.25" customHeight="1" x14ac:dyDescent="0.45">
      <c r="A76" s="618"/>
      <c r="B76" s="618"/>
      <c r="C76" s="106"/>
      <c r="D76" s="111" t="s">
        <v>56</v>
      </c>
      <c r="E76" s="112">
        <v>2018</v>
      </c>
      <c r="F76" s="112">
        <v>2019</v>
      </c>
      <c r="G76" s="112">
        <v>2020</v>
      </c>
      <c r="H76" s="112">
        <v>2021</v>
      </c>
      <c r="I76" s="618"/>
      <c r="J76" s="618"/>
      <c r="K76" s="618"/>
      <c r="L76" s="618"/>
      <c r="M76" s="618"/>
      <c r="N76" s="618"/>
      <c r="O76" s="618"/>
      <c r="P76" s="618"/>
      <c r="Q76" s="618"/>
      <c r="R76" s="618"/>
      <c r="S76" s="618"/>
      <c r="T76" s="618"/>
      <c r="U76" s="618"/>
      <c r="V76" s="618"/>
      <c r="W76" s="618"/>
      <c r="X76" s="618"/>
      <c r="Y76" s="618"/>
      <c r="Z76" s="618"/>
      <c r="AA76" s="618"/>
      <c r="AB76" s="618"/>
      <c r="AC76" s="618"/>
      <c r="AD76" s="618"/>
      <c r="AE76" s="618"/>
      <c r="AF76" s="618"/>
      <c r="AG76" s="618"/>
      <c r="AH76" s="618"/>
      <c r="AI76" s="618"/>
      <c r="AJ76" s="618"/>
      <c r="AK76" s="618"/>
      <c r="AL76" s="4"/>
      <c r="AM76" s="1"/>
    </row>
    <row r="77" spans="1:39" ht="14.25" customHeight="1" x14ac:dyDescent="0.45">
      <c r="A77" s="618">
        <v>1</v>
      </c>
      <c r="B77" s="618"/>
      <c r="C77" s="106"/>
      <c r="D77" s="115" t="s">
        <v>49</v>
      </c>
      <c r="E77" s="132">
        <f>'Copia de Combustibles'!D71*$E$305</f>
        <v>46.266364399412396</v>
      </c>
      <c r="F77" s="132">
        <f>'Copia de Combustibles'!E71*$E$305</f>
        <v>45.714524864740042</v>
      </c>
      <c r="G77" s="132">
        <f>'Copia de Combustibles'!F71*$E$305</f>
        <v>30.879314409784655</v>
      </c>
      <c r="H77" s="134">
        <f>'Copia de Combustibles'!G71*$E$305</f>
        <v>40.823367106478265</v>
      </c>
      <c r="I77" s="618"/>
      <c r="J77" s="618"/>
      <c r="K77" s="618"/>
      <c r="L77" s="618"/>
      <c r="M77" s="618"/>
      <c r="N77" s="618"/>
      <c r="O77" s="618"/>
      <c r="P77" s="618"/>
      <c r="Q77" s="618"/>
      <c r="R77" s="618"/>
      <c r="S77" s="618"/>
      <c r="T77" s="618"/>
      <c r="U77" s="618"/>
      <c r="V77" s="618"/>
      <c r="W77" s="618"/>
      <c r="X77" s="618"/>
      <c r="Y77" s="618"/>
      <c r="Z77" s="618"/>
      <c r="AA77" s="618"/>
      <c r="AB77" s="618"/>
      <c r="AC77" s="618"/>
      <c r="AD77" s="618"/>
      <c r="AE77" s="618"/>
      <c r="AF77" s="618"/>
      <c r="AG77" s="618"/>
      <c r="AH77" s="618"/>
      <c r="AI77" s="618"/>
      <c r="AJ77" s="618"/>
      <c r="AK77" s="618"/>
      <c r="AL77" s="4"/>
      <c r="AM77" s="1"/>
    </row>
    <row r="78" spans="1:39" ht="14.25" customHeight="1" x14ac:dyDescent="0.45">
      <c r="A78" s="618">
        <v>1</v>
      </c>
      <c r="B78" s="618"/>
      <c r="C78" s="106"/>
      <c r="D78" s="115" t="s">
        <v>50</v>
      </c>
      <c r="E78" s="132">
        <f>'Copia de Combustibles'!D72*$E$305</f>
        <v>47.548200714364853</v>
      </c>
      <c r="F78" s="132">
        <f>'Copia de Combustibles'!E72*$E$305</f>
        <v>44.109716958021153</v>
      </c>
      <c r="G78" s="132">
        <f>'Copia de Combustibles'!F72*$E$305</f>
        <v>33.16901169326978</v>
      </c>
      <c r="H78" s="134">
        <f>'Copia de Combustibles'!G72*$E$305</f>
        <v>37.88868686713689</v>
      </c>
      <c r="I78" s="618"/>
      <c r="J78" s="618"/>
      <c r="K78" s="618"/>
      <c r="L78" s="618"/>
      <c r="M78" s="618"/>
      <c r="N78" s="618"/>
      <c r="O78" s="618"/>
      <c r="P78" s="618"/>
      <c r="Q78" s="618"/>
      <c r="R78" s="618"/>
      <c r="S78" s="618"/>
      <c r="T78" s="618"/>
      <c r="U78" s="618"/>
      <c r="V78" s="618"/>
      <c r="W78" s="618"/>
      <c r="X78" s="618"/>
      <c r="Y78" s="618"/>
      <c r="Z78" s="618"/>
      <c r="AA78" s="618"/>
      <c r="AB78" s="618"/>
      <c r="AC78" s="618"/>
      <c r="AD78" s="618"/>
      <c r="AE78" s="618"/>
      <c r="AF78" s="618"/>
      <c r="AG78" s="618"/>
      <c r="AH78" s="618"/>
      <c r="AI78" s="618"/>
      <c r="AJ78" s="618"/>
      <c r="AK78" s="618"/>
      <c r="AL78" s="4"/>
      <c r="AM78" s="1"/>
    </row>
    <row r="79" spans="1:39" ht="14.25" customHeight="1" x14ac:dyDescent="0.45">
      <c r="A79" s="618">
        <v>1</v>
      </c>
      <c r="B79" s="618"/>
      <c r="C79" s="106"/>
      <c r="D79" s="115" t="s">
        <v>51</v>
      </c>
      <c r="E79" s="132">
        <f>'Copia de Combustibles'!D73*$E$305</f>
        <v>5.7008130639457786</v>
      </c>
      <c r="F79" s="132">
        <f>'Copia de Combustibles'!E73*$E$305</f>
        <v>3.2676672138864493</v>
      </c>
      <c r="G79" s="132">
        <f>'Copia de Combustibles'!F73*$E$305</f>
        <v>3.8438972066441988</v>
      </c>
      <c r="H79" s="134">
        <f>'Copia de Combustibles'!G73*$E$305</f>
        <v>3.999809652556455</v>
      </c>
      <c r="I79" s="618"/>
      <c r="J79" s="618"/>
      <c r="K79" s="618"/>
      <c r="L79" s="618"/>
      <c r="M79" s="618"/>
      <c r="N79" s="618"/>
      <c r="O79" s="618"/>
      <c r="P79" s="618"/>
      <c r="Q79" s="618"/>
      <c r="R79" s="618"/>
      <c r="S79" s="618"/>
      <c r="T79" s="618"/>
      <c r="U79" s="618"/>
      <c r="V79" s="618"/>
      <c r="W79" s="618"/>
      <c r="X79" s="618"/>
      <c r="Y79" s="618"/>
      <c r="Z79" s="618"/>
      <c r="AA79" s="618"/>
      <c r="AB79" s="618"/>
      <c r="AC79" s="618"/>
      <c r="AD79" s="618"/>
      <c r="AE79" s="618"/>
      <c r="AF79" s="618"/>
      <c r="AG79" s="618"/>
      <c r="AH79" s="618"/>
      <c r="AI79" s="618"/>
      <c r="AJ79" s="618"/>
      <c r="AK79" s="618"/>
      <c r="AL79" s="4"/>
      <c r="AM79" s="1"/>
    </row>
    <row r="80" spans="1:39" ht="14.25" customHeight="1" x14ac:dyDescent="0.45">
      <c r="A80" s="618">
        <v>1</v>
      </c>
      <c r="B80" s="618"/>
      <c r="C80" s="106"/>
      <c r="D80" s="115" t="s">
        <v>52</v>
      </c>
      <c r="E80" s="132">
        <f>'Copia de Combustibles'!D74*$E$305</f>
        <v>79.093466240621282</v>
      </c>
      <c r="F80" s="132">
        <f>'Copia de Combustibles'!E74*$E$305</f>
        <v>55.54886574626191</v>
      </c>
      <c r="G80" s="132">
        <f>'Copia de Combustibles'!F74*$E$305</f>
        <v>59.806508648432704</v>
      </c>
      <c r="H80" s="134">
        <f>'Copia de Combustibles'!G74*$E$305</f>
        <v>77.99964190588409</v>
      </c>
      <c r="I80" s="618"/>
      <c r="J80" s="618"/>
      <c r="K80" s="618"/>
      <c r="L80" s="618"/>
      <c r="M80" s="618"/>
      <c r="N80" s="618"/>
      <c r="O80" s="618"/>
      <c r="P80" s="618"/>
      <c r="Q80" s="618"/>
      <c r="R80" s="618"/>
      <c r="S80" s="618"/>
      <c r="T80" s="618"/>
      <c r="U80" s="618"/>
      <c r="V80" s="618"/>
      <c r="W80" s="618"/>
      <c r="X80" s="618"/>
      <c r="Y80" s="618"/>
      <c r="Z80" s="618"/>
      <c r="AA80" s="618"/>
      <c r="AB80" s="618"/>
      <c r="AC80" s="618"/>
      <c r="AD80" s="618"/>
      <c r="AE80" s="618"/>
      <c r="AF80" s="618"/>
      <c r="AG80" s="618"/>
      <c r="AH80" s="618"/>
      <c r="AI80" s="618"/>
      <c r="AJ80" s="618"/>
      <c r="AK80" s="618"/>
      <c r="AL80" s="4"/>
      <c r="AM80" s="1"/>
    </row>
    <row r="81" spans="1:39" ht="14.25" customHeight="1" x14ac:dyDescent="0.45">
      <c r="A81" s="618">
        <v>1</v>
      </c>
      <c r="B81" s="618"/>
      <c r="C81" s="106"/>
      <c r="D81" s="115" t="s">
        <v>53</v>
      </c>
      <c r="E81" s="132">
        <f>'Copia de Combustibles'!D75*$E$305</f>
        <v>13.142442449776416</v>
      </c>
      <c r="F81" s="132">
        <f>'Copia de Combustibles'!E75*$E$305</f>
        <v>12.939706405814173</v>
      </c>
      <c r="G81" s="132">
        <f>'Copia de Combustibles'!F75*$E$305</f>
        <v>7.7726740344615743</v>
      </c>
      <c r="H81" s="134">
        <f>'Copia de Combustibles'!G75*$E$305</f>
        <v>11.317183765649611</v>
      </c>
      <c r="I81" s="618"/>
      <c r="J81" s="618"/>
      <c r="K81" s="618"/>
      <c r="L81" s="618"/>
      <c r="M81" s="618"/>
      <c r="N81" s="618"/>
      <c r="O81" s="618"/>
      <c r="P81" s="618"/>
      <c r="Q81" s="618"/>
      <c r="R81" s="618"/>
      <c r="S81" s="618"/>
      <c r="T81" s="618"/>
      <c r="U81" s="618"/>
      <c r="V81" s="618"/>
      <c r="W81" s="618"/>
      <c r="X81" s="618"/>
      <c r="Y81" s="618"/>
      <c r="Z81" s="618"/>
      <c r="AA81" s="618"/>
      <c r="AB81" s="618"/>
      <c r="AC81" s="618"/>
      <c r="AD81" s="618"/>
      <c r="AE81" s="618"/>
      <c r="AF81" s="618"/>
      <c r="AG81" s="618"/>
      <c r="AH81" s="618"/>
      <c r="AI81" s="618"/>
      <c r="AJ81" s="618"/>
      <c r="AK81" s="618"/>
      <c r="AL81" s="4"/>
      <c r="AM81" s="1"/>
    </row>
    <row r="82" spans="1:39" ht="14.25" customHeight="1" x14ac:dyDescent="0.45">
      <c r="A82" s="618">
        <v>1</v>
      </c>
      <c r="B82" s="618"/>
      <c r="C82" s="106"/>
      <c r="D82" s="153" t="s">
        <v>64</v>
      </c>
      <c r="E82" s="132">
        <f>'Copia de Combustibles'!D76*$E$305</f>
        <v>2.3406025561488519</v>
      </c>
      <c r="F82" s="132">
        <f>'Copia de Combustibles'!E76*$E$305</f>
        <v>2.2529303538088472</v>
      </c>
      <c r="G82" s="132">
        <f>'Copia de Combustibles'!F76*$E$305</f>
        <v>1.8116964666554052</v>
      </c>
      <c r="H82" s="134">
        <f>'Copia de Combustibles'!G76*$E$305</f>
        <v>2.0050208547727952</v>
      </c>
      <c r="I82" s="618"/>
      <c r="J82" s="618"/>
      <c r="K82" s="618"/>
      <c r="L82" s="618"/>
      <c r="M82" s="618"/>
      <c r="N82" s="618"/>
      <c r="O82" s="618"/>
      <c r="P82" s="618"/>
      <c r="Q82" s="618"/>
      <c r="R82" s="618"/>
      <c r="S82" s="618"/>
      <c r="T82" s="618"/>
      <c r="U82" s="618"/>
      <c r="V82" s="618"/>
      <c r="W82" s="618"/>
      <c r="X82" s="618"/>
      <c r="Y82" s="618"/>
      <c r="Z82" s="618"/>
      <c r="AA82" s="618"/>
      <c r="AB82" s="618"/>
      <c r="AC82" s="618"/>
      <c r="AD82" s="618"/>
      <c r="AE82" s="618"/>
      <c r="AF82" s="618"/>
      <c r="AG82" s="618"/>
      <c r="AH82" s="618"/>
      <c r="AI82" s="618"/>
      <c r="AJ82" s="618"/>
      <c r="AK82" s="618"/>
      <c r="AL82" s="4"/>
      <c r="AM82" s="1"/>
    </row>
    <row r="83" spans="1:39" ht="14.25" customHeight="1" x14ac:dyDescent="0.45">
      <c r="A83" s="618">
        <v>1</v>
      </c>
      <c r="B83" s="618"/>
      <c r="C83" s="106"/>
      <c r="D83" s="153" t="s">
        <v>65</v>
      </c>
      <c r="E83" s="132">
        <f>'Copia de Combustibles'!D77*$E$305</f>
        <v>7.9542968597539403</v>
      </c>
      <c r="F83" s="132">
        <f>'Copia de Combustibles'!E77*$E$305</f>
        <v>7.6952091448430631</v>
      </c>
      <c r="G83" s="132">
        <f>'Copia de Combustibles'!F77*$E$305</f>
        <v>5.789140422710549</v>
      </c>
      <c r="H83" s="134">
        <f>'Copia de Combustibles'!G77*$E$305</f>
        <v>6.9855603679515346</v>
      </c>
      <c r="I83" s="618"/>
      <c r="J83" s="618"/>
      <c r="K83" s="618"/>
      <c r="L83" s="618"/>
      <c r="M83" s="618"/>
      <c r="N83" s="618"/>
      <c r="O83" s="618"/>
      <c r="P83" s="618"/>
      <c r="Q83" s="618"/>
      <c r="R83" s="618"/>
      <c r="S83" s="618"/>
      <c r="T83" s="618"/>
      <c r="U83" s="618"/>
      <c r="V83" s="618"/>
      <c r="W83" s="618"/>
      <c r="X83" s="618"/>
      <c r="Y83" s="618"/>
      <c r="Z83" s="618"/>
      <c r="AA83" s="618"/>
      <c r="AB83" s="618"/>
      <c r="AC83" s="618"/>
      <c r="AD83" s="618"/>
      <c r="AE83" s="618"/>
      <c r="AF83" s="618"/>
      <c r="AG83" s="618"/>
      <c r="AH83" s="618"/>
      <c r="AI83" s="618"/>
      <c r="AJ83" s="618"/>
      <c r="AK83" s="618"/>
      <c r="AL83" s="4"/>
      <c r="AM83" s="1"/>
    </row>
    <row r="84" spans="1:39" ht="14.25" customHeight="1" x14ac:dyDescent="0.45">
      <c r="A84" s="618"/>
      <c r="B84" s="618"/>
      <c r="C84" s="106"/>
      <c r="D84" s="115" t="s">
        <v>59</v>
      </c>
      <c r="E84" s="116">
        <f>SUM(E77:E83)</f>
        <v>202.04618628402349</v>
      </c>
      <c r="F84" s="116">
        <f>SUM(F77:F83)</f>
        <v>171.52862068737562</v>
      </c>
      <c r="G84" s="116">
        <f>SUM(G77:G83)</f>
        <v>143.07224288195886</v>
      </c>
      <c r="H84" s="117">
        <f>SUM(H77:H83)</f>
        <v>181.01927052042964</v>
      </c>
      <c r="I84" s="618"/>
      <c r="J84" s="618"/>
      <c r="K84" s="618"/>
      <c r="L84" s="618"/>
      <c r="M84" s="618"/>
      <c r="N84" s="618"/>
      <c r="O84" s="618"/>
      <c r="P84" s="618"/>
      <c r="Q84" s="618"/>
      <c r="R84" s="618"/>
      <c r="S84" s="618"/>
      <c r="T84" s="618"/>
      <c r="U84" s="618"/>
      <c r="V84" s="618"/>
      <c r="W84" s="618"/>
      <c r="X84" s="618"/>
      <c r="Y84" s="618"/>
      <c r="Z84" s="618"/>
      <c r="AA84" s="618"/>
      <c r="AB84" s="618"/>
      <c r="AC84" s="618"/>
      <c r="AD84" s="618"/>
      <c r="AE84" s="618"/>
      <c r="AF84" s="618"/>
      <c r="AG84" s="618"/>
      <c r="AH84" s="618"/>
      <c r="AI84" s="618"/>
      <c r="AJ84" s="618"/>
      <c r="AK84" s="618"/>
      <c r="AL84" s="4"/>
      <c r="AM84" s="1"/>
    </row>
    <row r="85" spans="1:39" ht="14.25" customHeight="1" x14ac:dyDescent="0.45">
      <c r="A85" s="618"/>
      <c r="B85" s="618"/>
      <c r="C85" s="106"/>
      <c r="D85" s="115"/>
      <c r="E85" s="132"/>
      <c r="F85" s="132"/>
      <c r="G85" s="132"/>
      <c r="H85" s="134"/>
      <c r="I85" s="618"/>
      <c r="J85" s="618"/>
      <c r="K85" s="618"/>
      <c r="L85" s="618"/>
      <c r="M85" s="618"/>
      <c r="N85" s="618"/>
      <c r="O85" s="618"/>
      <c r="P85" s="618"/>
      <c r="Q85" s="618"/>
      <c r="R85" s="618"/>
      <c r="S85" s="618"/>
      <c r="T85" s="618"/>
      <c r="U85" s="618"/>
      <c r="V85" s="618"/>
      <c r="W85" s="618"/>
      <c r="X85" s="618"/>
      <c r="Y85" s="618"/>
      <c r="Z85" s="618"/>
      <c r="AA85" s="618"/>
      <c r="AB85" s="618"/>
      <c r="AC85" s="618"/>
      <c r="AD85" s="618"/>
      <c r="AE85" s="618"/>
      <c r="AF85" s="618"/>
      <c r="AG85" s="618"/>
      <c r="AH85" s="618"/>
      <c r="AI85" s="618"/>
      <c r="AJ85" s="618"/>
      <c r="AK85" s="618"/>
      <c r="AL85" s="4"/>
      <c r="AM85" s="1"/>
    </row>
    <row r="86" spans="1:39" ht="14.25" customHeight="1" x14ac:dyDescent="0.45">
      <c r="A86" s="618"/>
      <c r="B86" s="618"/>
      <c r="C86" s="106"/>
      <c r="D86" s="111" t="s">
        <v>57</v>
      </c>
      <c r="E86" s="112">
        <v>2018</v>
      </c>
      <c r="F86" s="112">
        <v>2019</v>
      </c>
      <c r="G86" s="112">
        <v>2020</v>
      </c>
      <c r="H86" s="112">
        <v>2021</v>
      </c>
      <c r="I86" s="618"/>
      <c r="J86" s="618"/>
      <c r="K86" s="618"/>
      <c r="L86" s="618"/>
      <c r="M86" s="618"/>
      <c r="N86" s="618"/>
      <c r="O86" s="618"/>
      <c r="P86" s="618"/>
      <c r="Q86" s="618"/>
      <c r="R86" s="618"/>
      <c r="S86" s="618"/>
      <c r="T86" s="618"/>
      <c r="U86" s="618"/>
      <c r="V86" s="618"/>
      <c r="W86" s="618"/>
      <c r="X86" s="618"/>
      <c r="Y86" s="618"/>
      <c r="Z86" s="618"/>
      <c r="AA86" s="618"/>
      <c r="AB86" s="618"/>
      <c r="AC86" s="618"/>
      <c r="AD86" s="618"/>
      <c r="AE86" s="618"/>
      <c r="AF86" s="618"/>
      <c r="AG86" s="618"/>
      <c r="AH86" s="618"/>
      <c r="AI86" s="618"/>
      <c r="AJ86" s="618"/>
      <c r="AK86" s="618"/>
      <c r="AL86" s="4"/>
      <c r="AM86" s="1"/>
    </row>
    <row r="87" spans="1:39" ht="14.25" customHeight="1" x14ac:dyDescent="0.45">
      <c r="A87" s="618">
        <v>1</v>
      </c>
      <c r="B87" s="618"/>
      <c r="C87" s="106"/>
      <c r="D87" s="115" t="s">
        <v>49</v>
      </c>
      <c r="E87" s="132">
        <f>'Copia de Combustibles'!D80*$E$305</f>
        <v>16.283951428486343</v>
      </c>
      <c r="F87" s="132">
        <f>'Copia de Combustibles'!E80*$E$305</f>
        <v>13.587255934920117</v>
      </c>
      <c r="G87" s="132">
        <f>'Copia de Combustibles'!F80*$E$305</f>
        <v>11.56199177751617</v>
      </c>
      <c r="H87" s="134">
        <f>'Copia de Combustibles'!G80*$E$305</f>
        <v>14.675241406174742</v>
      </c>
      <c r="I87" s="618"/>
      <c r="J87" s="618"/>
      <c r="K87" s="618"/>
      <c r="L87" s="618"/>
      <c r="M87" s="618"/>
      <c r="N87" s="618"/>
      <c r="O87" s="618"/>
      <c r="P87" s="618"/>
      <c r="Q87" s="618"/>
      <c r="R87" s="618"/>
      <c r="S87" s="618"/>
      <c r="T87" s="618"/>
      <c r="U87" s="618"/>
      <c r="V87" s="618"/>
      <c r="W87" s="618"/>
      <c r="X87" s="618"/>
      <c r="Y87" s="618"/>
      <c r="Z87" s="618"/>
      <c r="AA87" s="618"/>
      <c r="AB87" s="618"/>
      <c r="AC87" s="618"/>
      <c r="AD87" s="618"/>
      <c r="AE87" s="618"/>
      <c r="AF87" s="618"/>
      <c r="AG87" s="618"/>
      <c r="AH87" s="618"/>
      <c r="AI87" s="618"/>
      <c r="AJ87" s="618"/>
      <c r="AK87" s="618"/>
      <c r="AL87" s="4"/>
      <c r="AM87" s="1"/>
    </row>
    <row r="88" spans="1:39" ht="14.25" customHeight="1" x14ac:dyDescent="0.45">
      <c r="A88" s="618">
        <v>1</v>
      </c>
      <c r="B88" s="618"/>
      <c r="C88" s="106"/>
      <c r="D88" s="115" t="s">
        <v>50</v>
      </c>
      <c r="E88" s="132">
        <f>'Copia de Combustibles'!D81*$E$305</f>
        <v>11.706538465386368</v>
      </c>
      <c r="F88" s="132">
        <f>'Copia de Combustibles'!E81*$E$305</f>
        <v>10.172931050819711</v>
      </c>
      <c r="G88" s="132">
        <f>'Copia de Combustibles'!F81*$E$305</f>
        <v>7.2746159856597163</v>
      </c>
      <c r="H88" s="134">
        <f>'Copia de Combustibles'!G81*$E$305</f>
        <v>9.6491393684518361</v>
      </c>
      <c r="I88" s="618"/>
      <c r="J88" s="618"/>
      <c r="K88" s="618"/>
      <c r="L88" s="618"/>
      <c r="M88" s="618"/>
      <c r="N88" s="618"/>
      <c r="O88" s="618"/>
      <c r="P88" s="618"/>
      <c r="Q88" s="618"/>
      <c r="R88" s="618"/>
      <c r="S88" s="618"/>
      <c r="T88" s="618"/>
      <c r="U88" s="618"/>
      <c r="V88" s="618"/>
      <c r="W88" s="618"/>
      <c r="X88" s="618"/>
      <c r="Y88" s="618"/>
      <c r="Z88" s="618"/>
      <c r="AA88" s="618"/>
      <c r="AB88" s="618"/>
      <c r="AC88" s="618"/>
      <c r="AD88" s="618"/>
      <c r="AE88" s="618"/>
      <c r="AF88" s="618"/>
      <c r="AG88" s="618"/>
      <c r="AH88" s="618"/>
      <c r="AI88" s="618"/>
      <c r="AJ88" s="618"/>
      <c r="AK88" s="618"/>
      <c r="AL88" s="4"/>
      <c r="AM88" s="1"/>
    </row>
    <row r="89" spans="1:39" ht="14.25" customHeight="1" x14ac:dyDescent="0.45">
      <c r="A89" s="618">
        <v>1</v>
      </c>
      <c r="B89" s="618"/>
      <c r="C89" s="106"/>
      <c r="D89" s="115" t="s">
        <v>51</v>
      </c>
      <c r="E89" s="132">
        <f>'Copia de Combustibles'!D82*$E$305</f>
        <v>0.10132427698965631</v>
      </c>
      <c r="F89" s="132">
        <f>'Copia de Combustibles'!E82*$E$305</f>
        <v>8.1076043827369312E-2</v>
      </c>
      <c r="G89" s="132">
        <f>'Copia de Combustibles'!F82*$E$305</f>
        <v>2.0339165195762385E-2</v>
      </c>
      <c r="H89" s="134">
        <f>'Copia de Combustibles'!G82*$E$305</f>
        <v>1.0252868869876955E-2</v>
      </c>
      <c r="I89" s="618"/>
      <c r="J89" s="618"/>
      <c r="K89" s="618"/>
      <c r="L89" s="618"/>
      <c r="M89" s="618"/>
      <c r="N89" s="618"/>
      <c r="O89" s="618"/>
      <c r="P89" s="618"/>
      <c r="Q89" s="618"/>
      <c r="R89" s="618"/>
      <c r="S89" s="618"/>
      <c r="T89" s="618"/>
      <c r="U89" s="618"/>
      <c r="V89" s="618"/>
      <c r="W89" s="618"/>
      <c r="X89" s="618"/>
      <c r="Y89" s="618"/>
      <c r="Z89" s="618"/>
      <c r="AA89" s="618"/>
      <c r="AB89" s="618"/>
      <c r="AC89" s="618"/>
      <c r="AD89" s="618"/>
      <c r="AE89" s="618"/>
      <c r="AF89" s="618"/>
      <c r="AG89" s="618"/>
      <c r="AH89" s="618"/>
      <c r="AI89" s="618"/>
      <c r="AJ89" s="618"/>
      <c r="AK89" s="618"/>
      <c r="AL89" s="4"/>
      <c r="AM89" s="1"/>
    </row>
    <row r="90" spans="1:39" ht="14.25" customHeight="1" x14ac:dyDescent="0.45">
      <c r="A90" s="618">
        <v>1</v>
      </c>
      <c r="B90" s="618"/>
      <c r="C90" s="106"/>
      <c r="D90" s="115" t="s">
        <v>52</v>
      </c>
      <c r="E90" s="132">
        <f>'Copia de Combustibles'!D83*$E$305</f>
        <v>56.454918376754058</v>
      </c>
      <c r="F90" s="132">
        <f>'Copia de Combustibles'!E83*$E$305</f>
        <v>49.836776829255641</v>
      </c>
      <c r="G90" s="132">
        <f>'Copia de Combustibles'!F83*$E$305</f>
        <v>39.399964020800773</v>
      </c>
      <c r="H90" s="134">
        <f>'Copia de Combustibles'!G83*$E$305</f>
        <v>50.685290136643751</v>
      </c>
      <c r="I90" s="618"/>
      <c r="J90" s="618"/>
      <c r="K90" s="618"/>
      <c r="L90" s="618"/>
      <c r="M90" s="618"/>
      <c r="N90" s="618"/>
      <c r="O90" s="618"/>
      <c r="P90" s="618"/>
      <c r="Q90" s="618"/>
      <c r="R90" s="618"/>
      <c r="S90" s="618"/>
      <c r="T90" s="618"/>
      <c r="U90" s="618"/>
      <c r="V90" s="618"/>
      <c r="W90" s="618"/>
      <c r="X90" s="618"/>
      <c r="Y90" s="618"/>
      <c r="Z90" s="618"/>
      <c r="AA90" s="618"/>
      <c r="AB90" s="618"/>
      <c r="AC90" s="618"/>
      <c r="AD90" s="618"/>
      <c r="AE90" s="618"/>
      <c r="AF90" s="618"/>
      <c r="AG90" s="618"/>
      <c r="AH90" s="618"/>
      <c r="AI90" s="618"/>
      <c r="AJ90" s="618"/>
      <c r="AK90" s="618"/>
      <c r="AL90" s="4"/>
      <c r="AM90" s="1"/>
    </row>
    <row r="91" spans="1:39" ht="14.25" customHeight="1" x14ac:dyDescent="0.45">
      <c r="A91" s="618">
        <v>1</v>
      </c>
      <c r="B91" s="618"/>
      <c r="C91" s="106"/>
      <c r="D91" s="115" t="s">
        <v>53</v>
      </c>
      <c r="E91" s="132">
        <f>'Copia de Combustibles'!D84*$E$305</f>
        <v>3.2373556942443349</v>
      </c>
      <c r="F91" s="132">
        <f>'Copia de Combustibles'!E84*$E$305</f>
        <v>3.1136653255792943</v>
      </c>
      <c r="G91" s="132">
        <f>'Copia de Combustibles'!F84*$E$305</f>
        <v>0.78196822717287517</v>
      </c>
      <c r="H91" s="134">
        <f>'Copia de Combustibles'!G84*$E$305</f>
        <v>1.052008125652049</v>
      </c>
      <c r="I91" s="618"/>
      <c r="J91" s="618"/>
      <c r="K91" s="618"/>
      <c r="L91" s="618"/>
      <c r="M91" s="618"/>
      <c r="N91" s="618"/>
      <c r="O91" s="618"/>
      <c r="P91" s="618"/>
      <c r="Q91" s="618"/>
      <c r="R91" s="618"/>
      <c r="S91" s="618"/>
      <c r="T91" s="618"/>
      <c r="U91" s="618"/>
      <c r="V91" s="618"/>
      <c r="W91" s="618"/>
      <c r="X91" s="618"/>
      <c r="Y91" s="618"/>
      <c r="Z91" s="618"/>
      <c r="AA91" s="618"/>
      <c r="AB91" s="618"/>
      <c r="AC91" s="618"/>
      <c r="AD91" s="618"/>
      <c r="AE91" s="618"/>
      <c r="AF91" s="618"/>
      <c r="AG91" s="618"/>
      <c r="AH91" s="618"/>
      <c r="AI91" s="618"/>
      <c r="AJ91" s="618"/>
      <c r="AK91" s="618"/>
      <c r="AL91" s="4"/>
      <c r="AM91" s="1"/>
    </row>
    <row r="92" spans="1:39" ht="14.25" customHeight="1" x14ac:dyDescent="0.45">
      <c r="A92" s="618">
        <v>1</v>
      </c>
      <c r="B92" s="618"/>
      <c r="C92" s="106"/>
      <c r="D92" s="115" t="s">
        <v>65</v>
      </c>
      <c r="E92" s="132">
        <f>'Copia de Combustibles'!D85*$E$305</f>
        <v>1.0072326711711881</v>
      </c>
      <c r="F92" s="132">
        <f>'Copia de Combustibles'!E85*$E$305</f>
        <v>0.87958748263096376</v>
      </c>
      <c r="G92" s="132">
        <f>'Copia de Combustibles'!F85*$E$305</f>
        <v>0.83409918305116448</v>
      </c>
      <c r="H92" s="134">
        <f>'Copia de Combustibles'!G85*$E$305</f>
        <v>0.98419035485519757</v>
      </c>
      <c r="I92" s="618"/>
      <c r="J92" s="618"/>
      <c r="K92" s="618"/>
      <c r="L92" s="618"/>
      <c r="M92" s="618"/>
      <c r="N92" s="618"/>
      <c r="O92" s="618"/>
      <c r="P92" s="618"/>
      <c r="Q92" s="618"/>
      <c r="R92" s="618"/>
      <c r="S92" s="618"/>
      <c r="T92" s="618"/>
      <c r="U92" s="618"/>
      <c r="V92" s="618"/>
      <c r="W92" s="618"/>
      <c r="X92" s="618"/>
      <c r="Y92" s="618"/>
      <c r="Z92" s="618"/>
      <c r="AA92" s="618"/>
      <c r="AB92" s="618"/>
      <c r="AC92" s="618"/>
      <c r="AD92" s="618"/>
      <c r="AE92" s="618"/>
      <c r="AF92" s="618"/>
      <c r="AG92" s="618"/>
      <c r="AH92" s="618"/>
      <c r="AI92" s="618"/>
      <c r="AJ92" s="618"/>
      <c r="AK92" s="618"/>
      <c r="AL92" s="4"/>
      <c r="AM92" s="1"/>
    </row>
    <row r="93" spans="1:39" ht="14.25" customHeight="1" x14ac:dyDescent="0.45">
      <c r="A93" s="618"/>
      <c r="B93" s="618"/>
      <c r="C93" s="106"/>
      <c r="D93" s="115" t="s">
        <v>59</v>
      </c>
      <c r="E93" s="116">
        <f>SUM(E87:E92)</f>
        <v>88.791320913031939</v>
      </c>
      <c r="F93" s="116">
        <f>SUM(F87:F92)</f>
        <v>77.6712926670331</v>
      </c>
      <c r="G93" s="116">
        <f>SUM(G87:G92)</f>
        <v>59.872978359396463</v>
      </c>
      <c r="H93" s="117">
        <f>SUM(H87:H92)</f>
        <v>77.056122260647456</v>
      </c>
      <c r="I93" s="618"/>
      <c r="J93" s="618"/>
      <c r="K93" s="618"/>
      <c r="L93" s="618"/>
      <c r="M93" s="618"/>
      <c r="N93" s="618"/>
      <c r="O93" s="618"/>
      <c r="P93" s="618"/>
      <c r="Q93" s="618"/>
      <c r="R93" s="618"/>
      <c r="S93" s="618"/>
      <c r="T93" s="618"/>
      <c r="U93" s="618"/>
      <c r="V93" s="618"/>
      <c r="W93" s="618"/>
      <c r="X93" s="618"/>
      <c r="Y93" s="618"/>
      <c r="Z93" s="618"/>
      <c r="AA93" s="618"/>
      <c r="AB93" s="618"/>
      <c r="AC93" s="618"/>
      <c r="AD93" s="618"/>
      <c r="AE93" s="618"/>
      <c r="AF93" s="618"/>
      <c r="AG93" s="618"/>
      <c r="AH93" s="618"/>
      <c r="AI93" s="618"/>
      <c r="AJ93" s="618"/>
      <c r="AK93" s="618"/>
      <c r="AL93" s="4"/>
      <c r="AM93" s="1"/>
    </row>
    <row r="94" spans="1:39" ht="14.25" customHeight="1" x14ac:dyDescent="0.45">
      <c r="A94" s="618"/>
      <c r="B94" s="618"/>
      <c r="C94" s="106"/>
      <c r="D94" s="115"/>
      <c r="E94" s="132"/>
      <c r="F94" s="132"/>
      <c r="G94" s="132"/>
      <c r="H94" s="134"/>
      <c r="I94" s="618"/>
      <c r="J94" s="618"/>
      <c r="K94" s="618"/>
      <c r="L94" s="618"/>
      <c r="M94" s="618"/>
      <c r="N94" s="618"/>
      <c r="O94" s="618"/>
      <c r="P94" s="618"/>
      <c r="Q94" s="618"/>
      <c r="R94" s="618"/>
      <c r="S94" s="618"/>
      <c r="T94" s="618"/>
      <c r="U94" s="618"/>
      <c r="V94" s="618"/>
      <c r="W94" s="618"/>
      <c r="X94" s="618"/>
      <c r="Y94" s="618"/>
      <c r="Z94" s="618"/>
      <c r="AA94" s="618"/>
      <c r="AB94" s="618"/>
      <c r="AC94" s="618"/>
      <c r="AD94" s="618"/>
      <c r="AE94" s="618"/>
      <c r="AF94" s="618"/>
      <c r="AG94" s="618"/>
      <c r="AH94" s="618"/>
      <c r="AI94" s="618"/>
      <c r="AJ94" s="618"/>
      <c r="AK94" s="618"/>
      <c r="AL94" s="4"/>
      <c r="AM94" s="1"/>
    </row>
    <row r="95" spans="1:39" ht="14.25" customHeight="1" x14ac:dyDescent="0.45">
      <c r="A95" s="618"/>
      <c r="B95" s="618"/>
      <c r="C95" s="106"/>
      <c r="D95" s="111" t="s">
        <v>60</v>
      </c>
      <c r="E95" s="112">
        <v>2018</v>
      </c>
      <c r="F95" s="112">
        <v>2019</v>
      </c>
      <c r="G95" s="112">
        <v>2020</v>
      </c>
      <c r="H95" s="112">
        <v>2021</v>
      </c>
      <c r="I95" s="618"/>
      <c r="J95" s="618"/>
      <c r="K95" s="618"/>
      <c r="L95" s="618"/>
      <c r="M95" s="618"/>
      <c r="N95" s="618"/>
      <c r="O95" s="618"/>
      <c r="P95" s="618"/>
      <c r="Q95" s="618"/>
      <c r="R95" s="618"/>
      <c r="S95" s="618"/>
      <c r="T95" s="618"/>
      <c r="U95" s="618"/>
      <c r="V95" s="618"/>
      <c r="W95" s="618"/>
      <c r="X95" s="618"/>
      <c r="Y95" s="618"/>
      <c r="Z95" s="618"/>
      <c r="AA95" s="618"/>
      <c r="AB95" s="618"/>
      <c r="AC95" s="618"/>
      <c r="AD95" s="618"/>
      <c r="AE95" s="618"/>
      <c r="AF95" s="618"/>
      <c r="AG95" s="618"/>
      <c r="AH95" s="618"/>
      <c r="AI95" s="618"/>
      <c r="AJ95" s="618"/>
      <c r="AK95" s="618"/>
      <c r="AL95" s="4"/>
      <c r="AM95" s="1"/>
    </row>
    <row r="96" spans="1:39" ht="14.25" customHeight="1" x14ac:dyDescent="0.45">
      <c r="A96" s="618">
        <v>1</v>
      </c>
      <c r="B96" s="618"/>
      <c r="C96" s="106"/>
      <c r="D96" s="115" t="s">
        <v>49</v>
      </c>
      <c r="E96" s="132">
        <f>'Copia de Combustibles'!D88*$E$305</f>
        <v>12.229113536930985</v>
      </c>
      <c r="F96" s="132">
        <f>'Copia de Combustibles'!E88*$E$305</f>
        <v>11.932751978378185</v>
      </c>
      <c r="G96" s="132">
        <f>'Copia de Combustibles'!F88*$E$305</f>
        <v>10.411495752484031</v>
      </c>
      <c r="H96" s="134">
        <f>'Copia de Combustibles'!G88*$E$305</f>
        <v>13.295668825416282</v>
      </c>
      <c r="I96" s="618"/>
      <c r="J96" s="618"/>
      <c r="K96" s="618"/>
      <c r="L96" s="618"/>
      <c r="M96" s="618"/>
      <c r="N96" s="618"/>
      <c r="O96" s="618"/>
      <c r="P96" s="618"/>
      <c r="Q96" s="618"/>
      <c r="R96" s="618"/>
      <c r="S96" s="618"/>
      <c r="T96" s="618"/>
      <c r="U96" s="618"/>
      <c r="V96" s="618"/>
      <c r="W96" s="618"/>
      <c r="X96" s="618"/>
      <c r="Y96" s="618"/>
      <c r="Z96" s="618"/>
      <c r="AA96" s="618"/>
      <c r="AB96" s="618"/>
      <c r="AC96" s="618"/>
      <c r="AD96" s="618"/>
      <c r="AE96" s="618"/>
      <c r="AF96" s="618"/>
      <c r="AG96" s="618"/>
      <c r="AH96" s="618"/>
      <c r="AI96" s="618"/>
      <c r="AJ96" s="618"/>
      <c r="AK96" s="618"/>
      <c r="AL96" s="4"/>
      <c r="AM96" s="1"/>
    </row>
    <row r="97" spans="1:39" ht="14.25" customHeight="1" x14ac:dyDescent="0.45">
      <c r="A97" s="618">
        <v>1</v>
      </c>
      <c r="B97" s="618"/>
      <c r="C97" s="106"/>
      <c r="D97" s="115" t="s">
        <v>50</v>
      </c>
      <c r="E97" s="132">
        <f>'Copia de Combustibles'!D89*$E$305</f>
        <v>6.0869229732088694</v>
      </c>
      <c r="F97" s="132">
        <f>'Copia de Combustibles'!E89*$E$305</f>
        <v>5.8355775215229055</v>
      </c>
      <c r="G97" s="132">
        <f>'Copia de Combustibles'!F89*$E$305</f>
        <v>5.556740455872597</v>
      </c>
      <c r="H97" s="134">
        <f>'Copia de Combustibles'!G89*$E$305</f>
        <v>5.455105071625967</v>
      </c>
      <c r="I97" s="618"/>
      <c r="J97" s="618"/>
      <c r="K97" s="618"/>
      <c r="L97" s="618"/>
      <c r="M97" s="618"/>
      <c r="N97" s="618"/>
      <c r="O97" s="618"/>
      <c r="P97" s="618"/>
      <c r="Q97" s="618"/>
      <c r="R97" s="618"/>
      <c r="S97" s="618"/>
      <c r="T97" s="618"/>
      <c r="U97" s="618"/>
      <c r="V97" s="618"/>
      <c r="W97" s="618"/>
      <c r="X97" s="618"/>
      <c r="Y97" s="618"/>
      <c r="Z97" s="618"/>
      <c r="AA97" s="618"/>
      <c r="AB97" s="618"/>
      <c r="AC97" s="618"/>
      <c r="AD97" s="618"/>
      <c r="AE97" s="618"/>
      <c r="AF97" s="618"/>
      <c r="AG97" s="618"/>
      <c r="AH97" s="618"/>
      <c r="AI97" s="618"/>
      <c r="AJ97" s="618"/>
      <c r="AK97" s="618"/>
      <c r="AL97" s="4"/>
      <c r="AM97" s="1"/>
    </row>
    <row r="98" spans="1:39" ht="14.25" customHeight="1" x14ac:dyDescent="0.45">
      <c r="A98" s="618">
        <v>1</v>
      </c>
      <c r="B98" s="618"/>
      <c r="C98" s="106"/>
      <c r="D98" s="115" t="s">
        <v>51</v>
      </c>
      <c r="E98" s="132"/>
      <c r="F98" s="132"/>
      <c r="G98" s="132"/>
      <c r="H98" s="134"/>
      <c r="I98" s="618"/>
      <c r="J98" s="618"/>
      <c r="K98" s="618"/>
      <c r="L98" s="618"/>
      <c r="M98" s="618"/>
      <c r="N98" s="618"/>
      <c r="O98" s="618"/>
      <c r="P98" s="618"/>
      <c r="Q98" s="618"/>
      <c r="R98" s="618"/>
      <c r="S98" s="618"/>
      <c r="T98" s="618"/>
      <c r="U98" s="618"/>
      <c r="V98" s="618"/>
      <c r="W98" s="618"/>
      <c r="X98" s="618"/>
      <c r="Y98" s="618"/>
      <c r="Z98" s="618"/>
      <c r="AA98" s="618"/>
      <c r="AB98" s="618"/>
      <c r="AC98" s="618"/>
      <c r="AD98" s="618"/>
      <c r="AE98" s="618"/>
      <c r="AF98" s="618"/>
      <c r="AG98" s="618"/>
      <c r="AH98" s="618"/>
      <c r="AI98" s="618"/>
      <c r="AJ98" s="618"/>
      <c r="AK98" s="618"/>
      <c r="AL98" s="4"/>
      <c r="AM98" s="1"/>
    </row>
    <row r="99" spans="1:39" ht="14.25" customHeight="1" x14ac:dyDescent="0.45">
      <c r="A99" s="618">
        <v>1</v>
      </c>
      <c r="B99" s="618"/>
      <c r="C99" s="106"/>
      <c r="D99" s="115" t="s">
        <v>52</v>
      </c>
      <c r="E99" s="132">
        <f>'Copia de Combustibles'!D91*$E$305</f>
        <v>2.1804689200417724</v>
      </c>
      <c r="F99" s="132">
        <f>'Copia de Combustibles'!E91*$E$305</f>
        <v>1.404743066514397</v>
      </c>
      <c r="G99" s="132">
        <f>'Copia de Combustibles'!F91*$E$305</f>
        <v>1.3323434953844018</v>
      </c>
      <c r="H99" s="134">
        <f>'Copia de Combustibles'!G91*$E$305</f>
        <v>1.6630183995468224</v>
      </c>
      <c r="I99" s="618"/>
      <c r="J99" s="618"/>
      <c r="K99" s="618"/>
      <c r="L99" s="618"/>
      <c r="M99" s="618"/>
      <c r="N99" s="618"/>
      <c r="O99" s="618"/>
      <c r="P99" s="618"/>
      <c r="Q99" s="618"/>
      <c r="R99" s="618"/>
      <c r="S99" s="618"/>
      <c r="T99" s="618"/>
      <c r="U99" s="618"/>
      <c r="V99" s="618"/>
      <c r="W99" s="618"/>
      <c r="X99" s="618"/>
      <c r="Y99" s="618"/>
      <c r="Z99" s="618"/>
      <c r="AA99" s="618"/>
      <c r="AB99" s="618"/>
      <c r="AC99" s="618"/>
      <c r="AD99" s="618"/>
      <c r="AE99" s="618"/>
      <c r="AF99" s="618"/>
      <c r="AG99" s="618"/>
      <c r="AH99" s="618"/>
      <c r="AI99" s="618"/>
      <c r="AJ99" s="618"/>
      <c r="AK99" s="618"/>
      <c r="AL99" s="4"/>
      <c r="AM99" s="1"/>
    </row>
    <row r="100" spans="1:39" ht="14.25" customHeight="1" x14ac:dyDescent="0.45">
      <c r="A100" s="618">
        <v>1</v>
      </c>
      <c r="B100" s="618"/>
      <c r="C100" s="106"/>
      <c r="D100" s="115" t="s">
        <v>53</v>
      </c>
      <c r="E100" s="132"/>
      <c r="F100" s="132">
        <f>'Copia de Combustibles'!E92*$E$305</f>
        <v>8.5135656982459187E-2</v>
      </c>
      <c r="G100" s="132"/>
      <c r="H100" s="134"/>
      <c r="I100" s="618"/>
      <c r="J100" s="618"/>
      <c r="K100" s="618"/>
      <c r="L100" s="618"/>
      <c r="M100" s="618"/>
      <c r="N100" s="618"/>
      <c r="O100" s="618"/>
      <c r="P100" s="618"/>
      <c r="Q100" s="618"/>
      <c r="R100" s="618"/>
      <c r="S100" s="618"/>
      <c r="T100" s="618"/>
      <c r="U100" s="618"/>
      <c r="V100" s="618"/>
      <c r="W100" s="618"/>
      <c r="X100" s="618"/>
      <c r="Y100" s="618"/>
      <c r="Z100" s="618"/>
      <c r="AA100" s="618"/>
      <c r="AB100" s="618"/>
      <c r="AC100" s="618"/>
      <c r="AD100" s="618"/>
      <c r="AE100" s="618"/>
      <c r="AF100" s="618"/>
      <c r="AG100" s="618"/>
      <c r="AH100" s="618"/>
      <c r="AI100" s="618"/>
      <c r="AJ100" s="618"/>
      <c r="AK100" s="618"/>
      <c r="AL100" s="4"/>
      <c r="AM100" s="1"/>
    </row>
    <row r="101" spans="1:39" ht="14.25" customHeight="1" x14ac:dyDescent="0.45">
      <c r="A101" s="618">
        <v>1</v>
      </c>
      <c r="B101" s="618"/>
      <c r="C101" s="106"/>
      <c r="D101" s="115" t="s">
        <v>66</v>
      </c>
      <c r="E101" s="132">
        <f>'Copia de Combustibles'!D93*$E$305</f>
        <v>20.381724859493499</v>
      </c>
      <c r="F101" s="132">
        <f>'Copia de Combustibles'!E93*$E$305</f>
        <v>18.849829370468555</v>
      </c>
      <c r="G101" s="132">
        <f>'Copia de Combustibles'!F93*$E$305</f>
        <v>17.056602154547665</v>
      </c>
      <c r="H101" s="134">
        <f>'Copia de Combustibles'!G93*$E$305</f>
        <v>19.73800836883084</v>
      </c>
      <c r="I101" s="618"/>
      <c r="J101" s="618"/>
      <c r="K101" s="618"/>
      <c r="L101" s="618"/>
      <c r="M101" s="618"/>
      <c r="N101" s="618"/>
      <c r="O101" s="618"/>
      <c r="P101" s="618"/>
      <c r="Q101" s="618"/>
      <c r="R101" s="618"/>
      <c r="S101" s="618"/>
      <c r="T101" s="618"/>
      <c r="U101" s="618"/>
      <c r="V101" s="618"/>
      <c r="W101" s="618"/>
      <c r="X101" s="618"/>
      <c r="Y101" s="618"/>
      <c r="Z101" s="618"/>
      <c r="AA101" s="618"/>
      <c r="AB101" s="618"/>
      <c r="AC101" s="618"/>
      <c r="AD101" s="618"/>
      <c r="AE101" s="618"/>
      <c r="AF101" s="618"/>
      <c r="AG101" s="618"/>
      <c r="AH101" s="618"/>
      <c r="AI101" s="618"/>
      <c r="AJ101" s="618"/>
      <c r="AK101" s="618"/>
      <c r="AL101" s="4"/>
      <c r="AM101" s="1"/>
    </row>
    <row r="102" spans="1:39" ht="14.25" customHeight="1" x14ac:dyDescent="0.45">
      <c r="A102" s="618"/>
      <c r="B102" s="618"/>
      <c r="C102" s="106"/>
      <c r="D102" s="115" t="s">
        <v>59</v>
      </c>
      <c r="E102" s="116">
        <f>SUM(E96:E101)</f>
        <v>40.878230289675123</v>
      </c>
      <c r="F102" s="116">
        <f>SUM(F96:F101)</f>
        <v>38.108037593866499</v>
      </c>
      <c r="G102" s="116">
        <f>SUM(G96:G101)</f>
        <v>34.357181858288698</v>
      </c>
      <c r="H102" s="117">
        <f>SUM(H96:H101)</f>
        <v>40.151800665419913</v>
      </c>
      <c r="I102" s="618"/>
      <c r="J102" s="618"/>
      <c r="K102" s="618"/>
      <c r="L102" s="618"/>
      <c r="M102" s="618"/>
      <c r="N102" s="618"/>
      <c r="O102" s="618"/>
      <c r="P102" s="618"/>
      <c r="Q102" s="618"/>
      <c r="R102" s="618"/>
      <c r="S102" s="618"/>
      <c r="T102" s="618"/>
      <c r="U102" s="618"/>
      <c r="V102" s="618"/>
      <c r="W102" s="618"/>
      <c r="X102" s="618"/>
      <c r="Y102" s="618"/>
      <c r="Z102" s="618"/>
      <c r="AA102" s="618"/>
      <c r="AB102" s="618"/>
      <c r="AC102" s="618"/>
      <c r="AD102" s="618"/>
      <c r="AE102" s="618"/>
      <c r="AF102" s="618"/>
      <c r="AG102" s="618"/>
      <c r="AH102" s="618"/>
      <c r="AI102" s="618"/>
      <c r="AJ102" s="618"/>
      <c r="AK102" s="618"/>
      <c r="AL102" s="4"/>
      <c r="AM102" s="1"/>
    </row>
    <row r="103" spans="1:39" ht="14.25" customHeight="1" x14ac:dyDescent="0.45">
      <c r="A103" s="618"/>
      <c r="B103" s="618"/>
      <c r="C103" s="106"/>
      <c r="D103" s="115"/>
      <c r="E103" s="132"/>
      <c r="F103" s="132"/>
      <c r="G103" s="132"/>
      <c r="H103" s="134"/>
      <c r="I103" s="618"/>
      <c r="J103" s="618"/>
      <c r="K103" s="618"/>
      <c r="L103" s="618"/>
      <c r="M103" s="618"/>
      <c r="N103" s="618"/>
      <c r="O103" s="618"/>
      <c r="P103" s="618"/>
      <c r="Q103" s="618"/>
      <c r="R103" s="618"/>
      <c r="S103" s="618"/>
      <c r="T103" s="618"/>
      <c r="U103" s="618"/>
      <c r="V103" s="618"/>
      <c r="W103" s="618"/>
      <c r="X103" s="618"/>
      <c r="Y103" s="618"/>
      <c r="Z103" s="618"/>
      <c r="AA103" s="618"/>
      <c r="AB103" s="618"/>
      <c r="AC103" s="618"/>
      <c r="AD103" s="618"/>
      <c r="AE103" s="618"/>
      <c r="AF103" s="618"/>
      <c r="AG103" s="618"/>
      <c r="AH103" s="618"/>
      <c r="AI103" s="618"/>
      <c r="AJ103" s="618"/>
      <c r="AK103" s="618"/>
      <c r="AL103" s="4"/>
      <c r="AM103" s="1"/>
    </row>
    <row r="104" spans="1:39" ht="14.25" customHeight="1" x14ac:dyDescent="0.45">
      <c r="A104" s="618"/>
      <c r="B104" s="618"/>
      <c r="C104" s="106"/>
      <c r="D104" s="111" t="s">
        <v>61</v>
      </c>
      <c r="E104" s="112">
        <v>2018</v>
      </c>
      <c r="F104" s="112">
        <v>2019</v>
      </c>
      <c r="G104" s="112">
        <v>2020</v>
      </c>
      <c r="H104" s="112">
        <v>2021</v>
      </c>
      <c r="I104" s="618"/>
      <c r="J104" s="618"/>
      <c r="K104" s="618"/>
      <c r="L104" s="618"/>
      <c r="M104" s="618"/>
      <c r="N104" s="618"/>
      <c r="O104" s="618"/>
      <c r="P104" s="618"/>
      <c r="Q104" s="618"/>
      <c r="R104" s="618"/>
      <c r="S104" s="618"/>
      <c r="T104" s="618"/>
      <c r="U104" s="618"/>
      <c r="V104" s="618"/>
      <c r="W104" s="618"/>
      <c r="X104" s="618"/>
      <c r="Y104" s="618"/>
      <c r="Z104" s="618"/>
      <c r="AA104" s="618"/>
      <c r="AB104" s="618"/>
      <c r="AC104" s="618"/>
      <c r="AD104" s="618"/>
      <c r="AE104" s="618"/>
      <c r="AF104" s="618"/>
      <c r="AG104" s="618"/>
      <c r="AH104" s="618"/>
      <c r="AI104" s="618"/>
      <c r="AJ104" s="618"/>
      <c r="AK104" s="618"/>
      <c r="AL104" s="4"/>
      <c r="AM104" s="1"/>
    </row>
    <row r="105" spans="1:39" ht="14.25" customHeight="1" x14ac:dyDescent="0.45">
      <c r="A105" s="618">
        <v>1</v>
      </c>
      <c r="B105" s="618"/>
      <c r="C105" s="106"/>
      <c r="D105" s="115" t="s">
        <v>49</v>
      </c>
      <c r="E105" s="132">
        <f>'Copia de Combustibles'!D96*$E$305</f>
        <v>4.4931343147012583</v>
      </c>
      <c r="F105" s="132">
        <f>'Copia de Combustibles'!E96*$E$305</f>
        <v>4.6004329944370594</v>
      </c>
      <c r="G105" s="132">
        <f>'Copia de Combustibles'!F96*$E$305</f>
        <v>4.2077092346799585</v>
      </c>
      <c r="H105" s="134">
        <f>'Copia de Combustibles'!G96*$E$305</f>
        <v>4.3458945907186992</v>
      </c>
      <c r="I105" s="618"/>
      <c r="J105" s="618"/>
      <c r="K105" s="618"/>
      <c r="L105" s="618"/>
      <c r="M105" s="618"/>
      <c r="N105" s="618"/>
      <c r="O105" s="618"/>
      <c r="P105" s="618"/>
      <c r="Q105" s="618"/>
      <c r="R105" s="618"/>
      <c r="S105" s="618"/>
      <c r="T105" s="618"/>
      <c r="U105" s="618"/>
      <c r="V105" s="618"/>
      <c r="W105" s="618"/>
      <c r="X105" s="618"/>
      <c r="Y105" s="618"/>
      <c r="Z105" s="618"/>
      <c r="AA105" s="618"/>
      <c r="AB105" s="618"/>
      <c r="AC105" s="618"/>
      <c r="AD105" s="618"/>
      <c r="AE105" s="618"/>
      <c r="AF105" s="618"/>
      <c r="AG105" s="618"/>
      <c r="AH105" s="618"/>
      <c r="AI105" s="618"/>
      <c r="AJ105" s="618"/>
      <c r="AK105" s="618"/>
      <c r="AL105" s="4"/>
      <c r="AM105" s="1"/>
    </row>
    <row r="106" spans="1:39" ht="14.25" customHeight="1" x14ac:dyDescent="0.45">
      <c r="A106" s="618">
        <v>1</v>
      </c>
      <c r="B106" s="618"/>
      <c r="C106" s="106"/>
      <c r="D106" s="115" t="s">
        <v>50</v>
      </c>
      <c r="E106" s="132">
        <f>'Copia de Combustibles'!D97*$E$305</f>
        <v>0.66375275788970567</v>
      </c>
      <c r="F106" s="132">
        <f>'Copia de Combustibles'!E97*$E$305</f>
        <v>0.69664852975682834</v>
      </c>
      <c r="G106" s="132">
        <f>'Copia de Combustibles'!F97*$E$305</f>
        <v>0.62576885528509085</v>
      </c>
      <c r="H106" s="134">
        <f>'Copia de Combustibles'!G97*$E$305</f>
        <v>0.85512479235533145</v>
      </c>
      <c r="I106" s="618"/>
      <c r="J106" s="618"/>
      <c r="K106" s="618"/>
      <c r="L106" s="618"/>
      <c r="M106" s="618"/>
      <c r="N106" s="618"/>
      <c r="O106" s="618"/>
      <c r="P106" s="618"/>
      <c r="Q106" s="618"/>
      <c r="R106" s="618"/>
      <c r="S106" s="618"/>
      <c r="T106" s="618"/>
      <c r="U106" s="618"/>
      <c r="V106" s="618"/>
      <c r="W106" s="618"/>
      <c r="X106" s="618"/>
      <c r="Y106" s="618"/>
      <c r="Z106" s="618"/>
      <c r="AA106" s="618"/>
      <c r="AB106" s="618"/>
      <c r="AC106" s="618"/>
      <c r="AD106" s="618"/>
      <c r="AE106" s="618"/>
      <c r="AF106" s="618"/>
      <c r="AG106" s="618"/>
      <c r="AH106" s="618"/>
      <c r="AI106" s="618"/>
      <c r="AJ106" s="618"/>
      <c r="AK106" s="618"/>
      <c r="AL106" s="4"/>
      <c r="AM106" s="1"/>
    </row>
    <row r="107" spans="1:39" ht="14.25" customHeight="1" x14ac:dyDescent="0.45">
      <c r="A107" s="618">
        <v>1</v>
      </c>
      <c r="B107" s="618"/>
      <c r="C107" s="106"/>
      <c r="D107" s="115" t="s">
        <v>51</v>
      </c>
      <c r="E107" s="132">
        <f>'Copia de Combustibles'!D98*$E$305</f>
        <v>0.77798109386923497</v>
      </c>
      <c r="F107" s="132">
        <f>'Copia de Combustibles'!E98*$E$305</f>
        <v>0.63579094160086902</v>
      </c>
      <c r="G107" s="132">
        <f>'Copia de Combustibles'!F98*$E$305</f>
        <v>0.66004166280572385</v>
      </c>
      <c r="H107" s="134">
        <f>'Copia de Combustibles'!G98*$E$305</f>
        <v>0.62190974062933135</v>
      </c>
      <c r="I107" s="618"/>
      <c r="J107" s="618"/>
      <c r="K107" s="618"/>
      <c r="L107" s="618"/>
      <c r="M107" s="618"/>
      <c r="N107" s="618"/>
      <c r="O107" s="618"/>
      <c r="P107" s="618"/>
      <c r="Q107" s="618"/>
      <c r="R107" s="618"/>
      <c r="S107" s="618"/>
      <c r="T107" s="618"/>
      <c r="U107" s="618"/>
      <c r="V107" s="618"/>
      <c r="W107" s="618"/>
      <c r="X107" s="618"/>
      <c r="Y107" s="618"/>
      <c r="Z107" s="618"/>
      <c r="AA107" s="618"/>
      <c r="AB107" s="618"/>
      <c r="AC107" s="618"/>
      <c r="AD107" s="618"/>
      <c r="AE107" s="618"/>
      <c r="AF107" s="618"/>
      <c r="AG107" s="618"/>
      <c r="AH107" s="618"/>
      <c r="AI107" s="618"/>
      <c r="AJ107" s="618"/>
      <c r="AK107" s="618"/>
      <c r="AL107" s="4"/>
      <c r="AM107" s="1"/>
    </row>
    <row r="108" spans="1:39" ht="14.25" customHeight="1" x14ac:dyDescent="0.45">
      <c r="A108" s="618">
        <v>1</v>
      </c>
      <c r="B108" s="618"/>
      <c r="C108" s="106"/>
      <c r="D108" s="115" t="s">
        <v>52</v>
      </c>
      <c r="E108" s="132"/>
      <c r="F108" s="132"/>
      <c r="G108" s="132"/>
      <c r="H108" s="134"/>
      <c r="I108" s="618"/>
      <c r="J108" s="618"/>
      <c r="K108" s="618"/>
      <c r="L108" s="618"/>
      <c r="M108" s="618"/>
      <c r="N108" s="618"/>
      <c r="O108" s="618"/>
      <c r="P108" s="618"/>
      <c r="Q108" s="618"/>
      <c r="R108" s="618"/>
      <c r="S108" s="618"/>
      <c r="T108" s="618"/>
      <c r="U108" s="618"/>
      <c r="V108" s="618"/>
      <c r="W108" s="618"/>
      <c r="X108" s="618"/>
      <c r="Y108" s="618"/>
      <c r="Z108" s="618"/>
      <c r="AA108" s="618"/>
      <c r="AB108" s="618"/>
      <c r="AC108" s="618"/>
      <c r="AD108" s="618"/>
      <c r="AE108" s="618"/>
      <c r="AF108" s="618"/>
      <c r="AG108" s="618"/>
      <c r="AH108" s="618"/>
      <c r="AI108" s="618"/>
      <c r="AJ108" s="618"/>
      <c r="AK108" s="618"/>
      <c r="AL108" s="4"/>
      <c r="AM108" s="1"/>
    </row>
    <row r="109" spans="1:39" ht="14.25" customHeight="1" x14ac:dyDescent="0.45">
      <c r="A109" s="618">
        <v>1</v>
      </c>
      <c r="B109" s="618"/>
      <c r="C109" s="106"/>
      <c r="D109" s="115" t="s">
        <v>53</v>
      </c>
      <c r="E109" s="132">
        <f>'Copia de Combustibles'!D100*$E$305</f>
        <v>0.12442047647894035</v>
      </c>
      <c r="F109" s="132">
        <f>'Copia de Combustibles'!E100*$E$305</f>
        <v>0.14258380720871638</v>
      </c>
      <c r="G109" s="132">
        <f>'Copia de Combustibles'!F100*$E$305</f>
        <v>0.12970100169222232</v>
      </c>
      <c r="H109" s="134">
        <f>'Copia de Combustibles'!G100*$E$305</f>
        <v>0.14019566856402801</v>
      </c>
      <c r="I109" s="618"/>
      <c r="J109" s="618"/>
      <c r="K109" s="618"/>
      <c r="L109" s="618"/>
      <c r="M109" s="618"/>
      <c r="N109" s="618"/>
      <c r="O109" s="618"/>
      <c r="P109" s="618"/>
      <c r="Q109" s="618"/>
      <c r="R109" s="618"/>
      <c r="S109" s="618"/>
      <c r="T109" s="618"/>
      <c r="U109" s="618"/>
      <c r="V109" s="618"/>
      <c r="W109" s="618"/>
      <c r="X109" s="618"/>
      <c r="Y109" s="618"/>
      <c r="Z109" s="618"/>
      <c r="AA109" s="618"/>
      <c r="AB109" s="618"/>
      <c r="AC109" s="618"/>
      <c r="AD109" s="618"/>
      <c r="AE109" s="618"/>
      <c r="AF109" s="618"/>
      <c r="AG109" s="618"/>
      <c r="AH109" s="618"/>
      <c r="AI109" s="618"/>
      <c r="AJ109" s="618"/>
      <c r="AK109" s="618"/>
      <c r="AL109" s="4"/>
      <c r="AM109" s="1"/>
    </row>
    <row r="110" spans="1:39" ht="14.25" customHeight="1" x14ac:dyDescent="0.45">
      <c r="A110" s="618">
        <v>1</v>
      </c>
      <c r="B110" s="618"/>
      <c r="C110" s="106"/>
      <c r="D110" s="115" t="s">
        <v>66</v>
      </c>
      <c r="E110" s="132">
        <f>'Copia de Combustibles'!D101*$E$305</f>
        <v>14.604240124374861</v>
      </c>
      <c r="F110" s="132">
        <f>'Copia de Combustibles'!E101*$E$305</f>
        <v>15.154856981662647</v>
      </c>
      <c r="G110" s="132">
        <f>'Copia de Combustibles'!F101*$E$305</f>
        <v>14.17825884940769</v>
      </c>
      <c r="H110" s="134">
        <f>'Copia de Combustibles'!G101*$E$305</f>
        <v>14.464054351499296</v>
      </c>
      <c r="I110" s="618"/>
      <c r="J110" s="618"/>
      <c r="K110" s="618"/>
      <c r="L110" s="618"/>
      <c r="M110" s="618"/>
      <c r="N110" s="618"/>
      <c r="O110" s="618"/>
      <c r="P110" s="618"/>
      <c r="Q110" s="618"/>
      <c r="R110" s="618"/>
      <c r="S110" s="618"/>
      <c r="T110" s="618"/>
      <c r="U110" s="618"/>
      <c r="V110" s="618"/>
      <c r="W110" s="618"/>
      <c r="X110" s="618"/>
      <c r="Y110" s="618"/>
      <c r="Z110" s="618"/>
      <c r="AA110" s="618"/>
      <c r="AB110" s="618"/>
      <c r="AC110" s="618"/>
      <c r="AD110" s="618"/>
      <c r="AE110" s="618"/>
      <c r="AF110" s="618"/>
      <c r="AG110" s="618"/>
      <c r="AH110" s="618"/>
      <c r="AI110" s="618"/>
      <c r="AJ110" s="618"/>
      <c r="AK110" s="618"/>
      <c r="AL110" s="4"/>
      <c r="AM110" s="1"/>
    </row>
    <row r="111" spans="1:39" ht="14.25" customHeight="1" x14ac:dyDescent="0.45">
      <c r="A111" s="618">
        <v>1</v>
      </c>
      <c r="B111" s="618"/>
      <c r="C111" s="106"/>
      <c r="D111" s="115" t="s">
        <v>64</v>
      </c>
      <c r="E111" s="132">
        <f>'Copia de Combustibles'!D102*$E$305</f>
        <v>5.6913783192343512E-2</v>
      </c>
      <c r="F111" s="132">
        <f>'Copia de Combustibles'!E102*$E$305</f>
        <v>5.49481542564772E-2</v>
      </c>
      <c r="G111" s="132">
        <f>'Copia de Combustibles'!F102*$E$305</f>
        <v>3.894748759275532E-2</v>
      </c>
      <c r="H111" s="134">
        <f>'Copia de Combustibles'!G102*$E$305</f>
        <v>4.1105793246438961E-2</v>
      </c>
      <c r="I111" s="618"/>
      <c r="J111" s="618"/>
      <c r="K111" s="618"/>
      <c r="L111" s="618"/>
      <c r="M111" s="618"/>
      <c r="N111" s="618"/>
      <c r="O111" s="618"/>
      <c r="P111" s="618"/>
      <c r="Q111" s="618"/>
      <c r="R111" s="618"/>
      <c r="S111" s="618"/>
      <c r="T111" s="618"/>
      <c r="U111" s="618"/>
      <c r="V111" s="618"/>
      <c r="W111" s="618"/>
      <c r="X111" s="618"/>
      <c r="Y111" s="618"/>
      <c r="Z111" s="618"/>
      <c r="AA111" s="618"/>
      <c r="AB111" s="618"/>
      <c r="AC111" s="618"/>
      <c r="AD111" s="618"/>
      <c r="AE111" s="618"/>
      <c r="AF111" s="618"/>
      <c r="AG111" s="618"/>
      <c r="AH111" s="618"/>
      <c r="AI111" s="618"/>
      <c r="AJ111" s="618"/>
      <c r="AK111" s="618"/>
      <c r="AL111" s="4"/>
      <c r="AM111" s="1"/>
    </row>
    <row r="112" spans="1:39" ht="14.25" customHeight="1" x14ac:dyDescent="0.45">
      <c r="A112" s="618"/>
      <c r="B112" s="618"/>
      <c r="C112" s="106"/>
      <c r="D112" s="115" t="s">
        <v>59</v>
      </c>
      <c r="E112" s="116">
        <f>SUM(E105:E111)</f>
        <v>20.720442550506341</v>
      </c>
      <c r="F112" s="116">
        <f>SUM(F105:F111)</f>
        <v>21.285261408922597</v>
      </c>
      <c r="G112" s="154">
        <f>SUM(G105:G111)</f>
        <v>19.84042709146344</v>
      </c>
      <c r="H112" s="155">
        <f>SUM(H105:H111)</f>
        <v>20.468284937013124</v>
      </c>
      <c r="I112" s="618"/>
      <c r="J112" s="618"/>
      <c r="K112" s="618"/>
      <c r="L112" s="618"/>
      <c r="M112" s="618"/>
      <c r="N112" s="618"/>
      <c r="O112" s="618"/>
      <c r="P112" s="618"/>
      <c r="Q112" s="618"/>
      <c r="R112" s="618"/>
      <c r="S112" s="618"/>
      <c r="T112" s="618"/>
      <c r="U112" s="618"/>
      <c r="V112" s="618"/>
      <c r="W112" s="618"/>
      <c r="X112" s="618"/>
      <c r="Y112" s="618"/>
      <c r="Z112" s="618"/>
      <c r="AA112" s="618"/>
      <c r="AB112" s="618"/>
      <c r="AC112" s="618"/>
      <c r="AD112" s="618"/>
      <c r="AE112" s="618"/>
      <c r="AF112" s="618"/>
      <c r="AG112" s="618"/>
      <c r="AH112" s="618"/>
      <c r="AI112" s="618"/>
      <c r="AJ112" s="618"/>
      <c r="AK112" s="618"/>
      <c r="AL112" s="4"/>
      <c r="AM112" s="1"/>
    </row>
    <row r="113" spans="1:58" ht="14.25" customHeight="1" x14ac:dyDescent="0.45">
      <c r="A113" s="618"/>
      <c r="B113" s="618"/>
      <c r="C113" s="118"/>
      <c r="D113" s="119"/>
      <c r="E113" s="120"/>
      <c r="F113" s="120"/>
      <c r="G113" s="120"/>
      <c r="H113" s="156"/>
      <c r="I113" s="618"/>
      <c r="J113" s="618"/>
      <c r="K113" s="618"/>
      <c r="L113" s="618"/>
      <c r="M113" s="618"/>
      <c r="N113" s="618"/>
      <c r="O113" s="618"/>
      <c r="P113" s="618"/>
      <c r="Q113" s="618"/>
      <c r="R113" s="618"/>
      <c r="S113" s="618"/>
      <c r="T113" s="618"/>
      <c r="U113" s="618"/>
      <c r="V113" s="618"/>
      <c r="W113" s="618"/>
      <c r="X113" s="618"/>
      <c r="Y113" s="618"/>
      <c r="Z113" s="618"/>
      <c r="AA113" s="618"/>
      <c r="AB113" s="618"/>
      <c r="AC113" s="618"/>
      <c r="AD113" s="618"/>
      <c r="AE113" s="618"/>
      <c r="AF113" s="618"/>
      <c r="AG113" s="618"/>
      <c r="AH113" s="618"/>
      <c r="AI113" s="618"/>
      <c r="AJ113" s="618"/>
      <c r="AK113" s="618"/>
      <c r="AL113" s="4"/>
      <c r="AM113" s="1"/>
    </row>
    <row r="114" spans="1:58" ht="14.25" customHeight="1" x14ac:dyDescent="0.45">
      <c r="A114" s="618"/>
      <c r="B114" s="618"/>
      <c r="C114" s="618"/>
      <c r="D114" s="618"/>
      <c r="E114" s="618"/>
      <c r="F114" s="618"/>
      <c r="G114" s="618"/>
      <c r="H114" s="618"/>
      <c r="I114" s="618"/>
      <c r="J114" s="618"/>
      <c r="K114" s="618"/>
      <c r="L114" s="618"/>
      <c r="M114" s="618"/>
      <c r="N114" s="618"/>
      <c r="O114" s="618"/>
      <c r="P114" s="618"/>
      <c r="Q114" s="618"/>
      <c r="R114" s="618"/>
      <c r="S114" s="618"/>
      <c r="T114" s="618"/>
      <c r="U114" s="618"/>
      <c r="V114" s="618"/>
      <c r="W114" s="618"/>
      <c r="X114" s="618"/>
      <c r="Y114" s="618"/>
      <c r="Z114" s="618"/>
      <c r="AA114" s="618"/>
      <c r="AB114" s="618"/>
      <c r="AC114" s="618"/>
      <c r="AD114" s="618"/>
      <c r="AE114" s="618"/>
      <c r="AF114" s="618"/>
      <c r="AG114" s="618"/>
      <c r="AH114" s="618"/>
      <c r="AI114" s="618"/>
      <c r="AJ114" s="618"/>
      <c r="AK114" s="618"/>
      <c r="AL114" s="4"/>
      <c r="AM114" s="1"/>
    </row>
    <row r="115" spans="1:58" ht="14.25" customHeight="1" x14ac:dyDescent="0.45">
      <c r="A115" s="618"/>
      <c r="B115" s="618"/>
      <c r="C115" s="7"/>
      <c r="D115" s="157"/>
      <c r="E115" s="158"/>
      <c r="F115" s="158"/>
      <c r="G115" s="158"/>
      <c r="H115" s="158"/>
      <c r="I115" s="159"/>
      <c r="J115" s="618"/>
      <c r="K115" s="618"/>
      <c r="L115" s="618"/>
      <c r="M115" s="618"/>
      <c r="N115" s="618"/>
      <c r="O115" s="618"/>
      <c r="P115" s="618"/>
      <c r="Q115" s="618"/>
      <c r="R115" s="618"/>
      <c r="S115" s="618"/>
      <c r="T115" s="618"/>
      <c r="U115" s="618"/>
      <c r="V115" s="618"/>
      <c r="W115" s="618"/>
      <c r="X115" s="618"/>
      <c r="Y115" s="618"/>
      <c r="Z115" s="618"/>
      <c r="AA115" s="618"/>
      <c r="AB115" s="618"/>
      <c r="AC115" s="618"/>
      <c r="AD115" s="618"/>
      <c r="AE115" s="618"/>
      <c r="AF115" s="618"/>
      <c r="AG115" s="618"/>
      <c r="AH115" s="618"/>
      <c r="AI115" s="618"/>
      <c r="AJ115" s="618"/>
      <c r="AK115" s="618"/>
      <c r="AL115" s="4"/>
      <c r="AM115" s="1"/>
      <c r="AN115" s="3"/>
      <c r="AO115" s="3"/>
      <c r="AP115" s="3"/>
      <c r="AQ115" s="3"/>
      <c r="AR115" s="3"/>
      <c r="AS115" s="3"/>
      <c r="AT115" s="3"/>
      <c r="AU115" s="3"/>
      <c r="AV115" s="3"/>
      <c r="AW115" s="3"/>
      <c r="AX115" s="3"/>
      <c r="AY115" s="3"/>
      <c r="AZ115" s="3"/>
      <c r="BA115" s="3"/>
      <c r="BB115" s="3"/>
      <c r="BC115" s="3"/>
      <c r="BD115" s="3"/>
      <c r="BE115" s="3"/>
      <c r="BF115" s="3"/>
    </row>
    <row r="116" spans="1:58" ht="14.25" customHeight="1" x14ac:dyDescent="0.45">
      <c r="A116" s="4"/>
      <c r="B116" s="4"/>
      <c r="C116" s="160"/>
      <c r="D116" s="111" t="s">
        <v>67</v>
      </c>
      <c r="E116" s="112">
        <v>2018</v>
      </c>
      <c r="F116" s="112">
        <v>2019</v>
      </c>
      <c r="G116" s="112">
        <v>2020</v>
      </c>
      <c r="H116" s="112">
        <v>2021</v>
      </c>
      <c r="I116" s="161" t="s">
        <v>37</v>
      </c>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1"/>
      <c r="AN116" s="3"/>
      <c r="AO116" s="3"/>
      <c r="AP116" s="3"/>
      <c r="AQ116" s="3"/>
      <c r="AR116" s="3"/>
      <c r="AS116" s="3"/>
      <c r="AT116" s="3"/>
      <c r="AU116" s="3"/>
      <c r="AV116" s="3"/>
      <c r="AW116" s="3"/>
      <c r="AX116" s="3"/>
      <c r="AY116" s="3"/>
      <c r="AZ116" s="3"/>
      <c r="BA116" s="3"/>
      <c r="BB116" s="3"/>
      <c r="BC116" s="3"/>
      <c r="BD116" s="3"/>
      <c r="BE116" s="3"/>
      <c r="BF116" s="3"/>
    </row>
    <row r="117" spans="1:58" ht="14.25" customHeight="1" x14ac:dyDescent="0.45">
      <c r="A117" s="618"/>
      <c r="B117" s="618"/>
      <c r="C117" s="106"/>
      <c r="D117" s="115" t="s">
        <v>68</v>
      </c>
      <c r="E117" s="162">
        <f>ABS(E57/E84)</f>
        <v>1.0186537319565154</v>
      </c>
      <c r="F117" s="162">
        <f>ABS(F57/F84)</f>
        <v>1.0901412942870059</v>
      </c>
      <c r="G117" s="162">
        <f>ABS(G57/G84)</f>
        <v>1.0681535574964796</v>
      </c>
      <c r="H117" s="162">
        <f>ABS(H57/H84)</f>
        <v>1.0569373217520615</v>
      </c>
      <c r="I117" s="137">
        <f>AVERAGE(E117:H117)</f>
        <v>1.0584714763730156</v>
      </c>
      <c r="J117" s="618"/>
      <c r="K117" s="618"/>
      <c r="L117" s="618"/>
      <c r="M117" s="618"/>
      <c r="N117" s="618"/>
      <c r="O117" s="618"/>
      <c r="P117" s="618"/>
      <c r="Q117" s="618"/>
      <c r="R117" s="618"/>
      <c r="S117" s="618"/>
      <c r="T117" s="618"/>
      <c r="U117" s="618"/>
      <c r="V117" s="618"/>
      <c r="W117" s="618"/>
      <c r="X117" s="618"/>
      <c r="Y117" s="618"/>
      <c r="Z117" s="618"/>
      <c r="AA117" s="618"/>
      <c r="AB117" s="618"/>
      <c r="AC117" s="618"/>
      <c r="AD117" s="618"/>
      <c r="AE117" s="618"/>
      <c r="AF117" s="618"/>
      <c r="AG117" s="618"/>
      <c r="AH117" s="618"/>
      <c r="AI117" s="618"/>
      <c r="AJ117" s="618"/>
      <c r="AK117" s="618"/>
      <c r="AL117" s="4"/>
      <c r="AM117" s="1"/>
      <c r="AN117" s="3"/>
      <c r="AO117" s="3"/>
      <c r="AP117" s="3"/>
      <c r="AQ117" s="3"/>
      <c r="AR117" s="3"/>
      <c r="AS117" s="3"/>
      <c r="AT117" s="3"/>
      <c r="AU117" s="3"/>
      <c r="AV117" s="3"/>
      <c r="AW117" s="3"/>
      <c r="AX117" s="3"/>
      <c r="AY117" s="3"/>
      <c r="AZ117" s="3"/>
      <c r="BA117" s="3"/>
      <c r="BB117" s="3"/>
      <c r="BC117" s="3"/>
      <c r="BD117" s="3"/>
      <c r="BE117" s="3"/>
      <c r="BF117" s="3"/>
    </row>
    <row r="118" spans="1:58" ht="14.25" customHeight="1" x14ac:dyDescent="0.45">
      <c r="A118" s="618"/>
      <c r="B118" s="618"/>
      <c r="C118" s="106"/>
      <c r="D118" s="115" t="s">
        <v>69</v>
      </c>
      <c r="E118" s="162">
        <f>ABS(E62/E93)</f>
        <v>1.0191606178665988</v>
      </c>
      <c r="F118" s="162">
        <f>ABS(F62/F93)</f>
        <v>1.0155787959782421</v>
      </c>
      <c r="G118" s="162">
        <f>ABS(G62/G93)</f>
        <v>1.0165984336732476</v>
      </c>
      <c r="H118" s="162">
        <f>ABS(H62/H93)</f>
        <v>1.0202482134019579</v>
      </c>
      <c r="I118" s="137">
        <f>AVERAGE(E118:H118)</f>
        <v>1.0178965152300117</v>
      </c>
      <c r="J118" s="618"/>
      <c r="K118" s="618"/>
      <c r="L118" s="618"/>
      <c r="M118" s="618"/>
      <c r="N118" s="618"/>
      <c r="O118" s="618"/>
      <c r="P118" s="618"/>
      <c r="Q118" s="618"/>
      <c r="R118" s="618"/>
      <c r="S118" s="618"/>
      <c r="T118" s="618"/>
      <c r="U118" s="618"/>
      <c r="V118" s="618"/>
      <c r="W118" s="618"/>
      <c r="X118" s="618"/>
      <c r="Y118" s="618"/>
      <c r="Z118" s="618"/>
      <c r="AA118" s="618"/>
      <c r="AB118" s="618"/>
      <c r="AC118" s="618"/>
      <c r="AD118" s="618"/>
      <c r="AE118" s="618"/>
      <c r="AF118" s="618"/>
      <c r="AG118" s="618"/>
      <c r="AH118" s="618"/>
      <c r="AI118" s="618"/>
      <c r="AJ118" s="618"/>
      <c r="AK118" s="618"/>
      <c r="AL118" s="4"/>
      <c r="AM118" s="1"/>
      <c r="AN118" s="3"/>
      <c r="AO118" s="3"/>
      <c r="AP118" s="3"/>
      <c r="AQ118" s="3"/>
      <c r="AR118" s="3"/>
      <c r="AS118" s="3"/>
      <c r="AT118" s="3"/>
      <c r="AU118" s="3"/>
      <c r="AV118" s="3"/>
      <c r="AW118" s="3"/>
      <c r="AX118" s="3"/>
      <c r="AY118" s="3"/>
      <c r="AZ118" s="3"/>
      <c r="BA118" s="3"/>
      <c r="BB118" s="3"/>
      <c r="BC118" s="3"/>
      <c r="BD118" s="3"/>
      <c r="BE118" s="3"/>
      <c r="BF118" s="3"/>
    </row>
    <row r="119" spans="1:58" ht="14.25" customHeight="1" x14ac:dyDescent="0.45">
      <c r="A119" s="618"/>
      <c r="B119" s="618"/>
      <c r="C119" s="106"/>
      <c r="D119" s="115" t="s">
        <v>70</v>
      </c>
      <c r="E119" s="162">
        <f>ABS(E65/E102)</f>
        <v>1.0209385314399402</v>
      </c>
      <c r="F119" s="162">
        <f>ABS(F65/F102)</f>
        <v>1.0239590305604978</v>
      </c>
      <c r="G119" s="162">
        <f>ABS(G65/G102)</f>
        <v>1.017616751671953</v>
      </c>
      <c r="H119" s="162">
        <f>ABS(H65/H102)</f>
        <v>1.0214879509003236</v>
      </c>
      <c r="I119" s="137">
        <f>AVERAGE(E119:H119)</f>
        <v>1.0210005661431787</v>
      </c>
      <c r="J119" s="618"/>
      <c r="K119" s="618"/>
      <c r="L119" s="618"/>
      <c r="M119" s="618"/>
      <c r="N119" s="618"/>
      <c r="O119" s="618"/>
      <c r="P119" s="618"/>
      <c r="Q119" s="618"/>
      <c r="R119" s="618"/>
      <c r="S119" s="618"/>
      <c r="T119" s="618"/>
      <c r="U119" s="618"/>
      <c r="V119" s="618"/>
      <c r="W119" s="618"/>
      <c r="X119" s="618"/>
      <c r="Y119" s="618"/>
      <c r="Z119" s="618"/>
      <c r="AA119" s="618"/>
      <c r="AB119" s="618"/>
      <c r="AC119" s="618"/>
      <c r="AD119" s="618"/>
      <c r="AE119" s="618"/>
      <c r="AF119" s="618"/>
      <c r="AG119" s="618"/>
      <c r="AH119" s="618"/>
      <c r="AI119" s="618"/>
      <c r="AJ119" s="618"/>
      <c r="AK119" s="618"/>
      <c r="AL119" s="4"/>
      <c r="AM119" s="1"/>
      <c r="AN119" s="3"/>
      <c r="AO119" s="3"/>
      <c r="AP119" s="3"/>
      <c r="AQ119" s="3"/>
      <c r="AR119" s="3"/>
      <c r="AS119" s="3"/>
      <c r="AT119" s="3"/>
      <c r="AU119" s="3"/>
      <c r="AV119" s="3"/>
      <c r="AW119" s="3"/>
      <c r="AX119" s="3"/>
      <c r="AY119" s="3"/>
      <c r="AZ119" s="3"/>
      <c r="BA119" s="3"/>
      <c r="BB119" s="3"/>
      <c r="BC119" s="3"/>
      <c r="BD119" s="3"/>
      <c r="BE119" s="3"/>
      <c r="BF119" s="3"/>
    </row>
    <row r="120" spans="1:58" ht="14.25" customHeight="1" x14ac:dyDescent="0.45">
      <c r="A120" s="618"/>
      <c r="B120" s="618"/>
      <c r="C120" s="106"/>
      <c r="D120" s="115" t="s">
        <v>71</v>
      </c>
      <c r="E120" s="162">
        <f>ABS(E70/E112)</f>
        <v>1.0077995979296113</v>
      </c>
      <c r="F120" s="162">
        <f>ABS(F70/F112)</f>
        <v>1.0128033270125087</v>
      </c>
      <c r="G120" s="163">
        <f>ABS(G70/G112)</f>
        <v>0.99976582784758372</v>
      </c>
      <c r="H120" s="164">
        <f>ABS(H70/H112)</f>
        <v>0.99455784209607245</v>
      </c>
      <c r="I120" s="137">
        <f>AVERAGE(E120:H120)</f>
        <v>1.003731648721444</v>
      </c>
      <c r="J120" s="618"/>
      <c r="K120" s="618"/>
      <c r="L120" s="618"/>
      <c r="M120" s="618"/>
      <c r="N120" s="618"/>
      <c r="O120" s="618"/>
      <c r="P120" s="618"/>
      <c r="Q120" s="618"/>
      <c r="R120" s="618"/>
      <c r="S120" s="618"/>
      <c r="T120" s="618"/>
      <c r="U120" s="618"/>
      <c r="V120" s="618"/>
      <c r="W120" s="618"/>
      <c r="X120" s="618"/>
      <c r="Y120" s="618"/>
      <c r="Z120" s="618"/>
      <c r="AA120" s="618"/>
      <c r="AB120" s="618"/>
      <c r="AC120" s="618"/>
      <c r="AD120" s="618"/>
      <c r="AE120" s="618"/>
      <c r="AF120" s="618"/>
      <c r="AG120" s="618"/>
      <c r="AH120" s="618"/>
      <c r="AI120" s="618"/>
      <c r="AJ120" s="618"/>
      <c r="AK120" s="618"/>
      <c r="AL120" s="4"/>
      <c r="AM120" s="1"/>
      <c r="AN120" s="3"/>
      <c r="AO120" s="3"/>
      <c r="AP120" s="3"/>
      <c r="AQ120" s="3"/>
      <c r="AR120" s="3"/>
      <c r="AS120" s="3"/>
      <c r="AT120" s="3"/>
      <c r="AU120" s="3"/>
      <c r="AV120" s="3"/>
      <c r="AW120" s="3"/>
      <c r="AX120" s="3"/>
      <c r="AY120" s="3"/>
      <c r="AZ120" s="3"/>
      <c r="BA120" s="3"/>
      <c r="BB120" s="3"/>
      <c r="BC120" s="3"/>
      <c r="BD120" s="3"/>
      <c r="BE120" s="3"/>
      <c r="BF120" s="3"/>
    </row>
    <row r="121" spans="1:58" ht="13.5" customHeight="1" x14ac:dyDescent="0.45">
      <c r="A121" s="618"/>
      <c r="B121" s="618"/>
      <c r="C121" s="165"/>
      <c r="D121" s="166" t="s">
        <v>72</v>
      </c>
      <c r="E121" s="167">
        <f>ROUND(AVERAGE(E117:E119),4)</f>
        <v>1.0196000000000001</v>
      </c>
      <c r="F121" s="167">
        <f>ROUND(AVERAGE(F117:F119),4)</f>
        <v>1.0431999999999999</v>
      </c>
      <c r="G121" s="167">
        <f>ROUND(AVERAGE(G117:G119),4)</f>
        <v>1.0341</v>
      </c>
      <c r="H121" s="168">
        <f>ROUND(AVERAGE(H117:H119),4)</f>
        <v>1.0328999999999999</v>
      </c>
      <c r="I121" s="138">
        <f>AVERAGE(E121:H121)</f>
        <v>1.0324500000000001</v>
      </c>
      <c r="J121" s="618"/>
      <c r="K121" s="618"/>
      <c r="L121" s="618"/>
      <c r="M121" s="618"/>
      <c r="N121" s="618"/>
      <c r="O121" s="618"/>
      <c r="P121" s="618"/>
      <c r="Q121" s="618"/>
      <c r="R121" s="618"/>
      <c r="S121" s="618"/>
      <c r="T121" s="618"/>
      <c r="U121" s="618"/>
      <c r="V121" s="618"/>
      <c r="W121" s="618"/>
      <c r="X121" s="618"/>
      <c r="Y121" s="618"/>
      <c r="Z121" s="618"/>
      <c r="AA121" s="618"/>
      <c r="AB121" s="618"/>
      <c r="AC121" s="618"/>
      <c r="AD121" s="618"/>
      <c r="AE121" s="618"/>
      <c r="AF121" s="618"/>
      <c r="AG121" s="618"/>
      <c r="AH121" s="618"/>
      <c r="AI121" s="618"/>
      <c r="AJ121" s="618"/>
      <c r="AK121" s="618"/>
      <c r="AL121" s="4"/>
      <c r="AM121" s="1"/>
      <c r="AN121" s="3"/>
      <c r="AO121" s="3"/>
      <c r="AP121" s="3"/>
      <c r="AQ121" s="3"/>
      <c r="AR121" s="3"/>
      <c r="AS121" s="3"/>
      <c r="AT121" s="3"/>
      <c r="AU121" s="3"/>
      <c r="AV121" s="3"/>
      <c r="AW121" s="3"/>
      <c r="AX121" s="3"/>
      <c r="AY121" s="3"/>
      <c r="AZ121" s="3"/>
      <c r="BA121" s="3"/>
      <c r="BB121" s="3"/>
      <c r="BC121" s="3"/>
      <c r="BD121" s="3"/>
      <c r="BE121" s="3"/>
      <c r="BF121" s="3"/>
    </row>
    <row r="122" spans="1:58" ht="14.25" customHeight="1" x14ac:dyDescent="0.45">
      <c r="A122" s="618"/>
      <c r="B122" s="618"/>
      <c r="C122" s="618"/>
      <c r="D122" s="618"/>
      <c r="E122" s="618"/>
      <c r="F122" s="618"/>
      <c r="G122" s="618"/>
      <c r="H122" s="618"/>
      <c r="I122" s="618"/>
      <c r="J122" s="618"/>
      <c r="K122" s="618"/>
      <c r="L122" s="618"/>
      <c r="M122" s="618"/>
      <c r="N122" s="618"/>
      <c r="O122" s="618"/>
      <c r="P122" s="618"/>
      <c r="Q122" s="618"/>
      <c r="R122" s="618"/>
      <c r="S122" s="618"/>
      <c r="T122" s="618"/>
      <c r="U122" s="618"/>
      <c r="V122" s="618"/>
      <c r="W122" s="618"/>
      <c r="X122" s="618"/>
      <c r="Y122" s="618"/>
      <c r="Z122" s="618"/>
      <c r="AA122" s="618"/>
      <c r="AB122" s="618"/>
      <c r="AC122" s="618"/>
      <c r="AD122" s="618"/>
      <c r="AE122" s="618"/>
      <c r="AF122" s="618"/>
      <c r="AG122" s="618"/>
      <c r="AH122" s="618"/>
      <c r="AI122" s="618"/>
      <c r="AJ122" s="618"/>
      <c r="AK122" s="618"/>
      <c r="AL122" s="4"/>
      <c r="AM122" s="1"/>
      <c r="AN122" s="3"/>
      <c r="AO122" s="3"/>
      <c r="AP122" s="3"/>
      <c r="AQ122" s="3"/>
      <c r="AR122" s="3"/>
      <c r="AS122" s="3"/>
      <c r="AT122" s="3"/>
      <c r="AU122" s="3"/>
      <c r="AV122" s="3"/>
      <c r="AW122" s="3"/>
      <c r="AX122" s="3"/>
      <c r="AY122" s="3"/>
      <c r="AZ122" s="3"/>
      <c r="BA122" s="3"/>
      <c r="BB122" s="3"/>
      <c r="BC122" s="3"/>
      <c r="BD122" s="3"/>
      <c r="BE122" s="3"/>
      <c r="BF122" s="3"/>
    </row>
    <row r="123" spans="1:58" ht="14.25" customHeight="1" x14ac:dyDescent="0.45">
      <c r="A123" s="4"/>
      <c r="B123" s="4"/>
      <c r="C123" s="8"/>
      <c r="D123" s="9" t="s">
        <v>73</v>
      </c>
      <c r="E123" s="123">
        <v>2018</v>
      </c>
      <c r="F123" s="123">
        <v>2019</v>
      </c>
      <c r="G123" s="123">
        <v>2020</v>
      </c>
      <c r="H123" s="124">
        <v>2021</v>
      </c>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1"/>
      <c r="AN123" s="3"/>
      <c r="AO123" s="3"/>
      <c r="AP123" s="3"/>
      <c r="AQ123" s="3"/>
      <c r="AR123" s="3"/>
      <c r="AS123" s="3"/>
      <c r="AT123" s="3"/>
      <c r="AU123" s="3"/>
      <c r="AV123" s="3"/>
      <c r="AW123" s="3"/>
      <c r="AX123" s="3"/>
      <c r="AY123" s="3"/>
      <c r="AZ123" s="3"/>
      <c r="BA123" s="3"/>
      <c r="BB123" s="3"/>
      <c r="BC123" s="3"/>
      <c r="BD123" s="3"/>
      <c r="BE123" s="3"/>
      <c r="BF123" s="3"/>
    </row>
    <row r="124" spans="1:58" ht="14.25" customHeight="1" x14ac:dyDescent="0.45">
      <c r="A124" s="618">
        <v>1</v>
      </c>
      <c r="B124" s="618"/>
      <c r="C124" s="106"/>
      <c r="D124" s="169" t="s">
        <v>58</v>
      </c>
      <c r="E124" s="132">
        <f>'Copia de Combustibles'!D117*$E$305</f>
        <v>-5.6001653272296901</v>
      </c>
      <c r="F124" s="132">
        <f>'Copia de Combustibles'!E117*$E$305</f>
        <v>-5.4410256574438014</v>
      </c>
      <c r="G124" s="132">
        <f>'Copia de Combustibles'!F117*$E$305</f>
        <v>-5.4222713354208416</v>
      </c>
      <c r="H124" s="134">
        <f>'Copia de Combustibles'!G117*$E$305</f>
        <v>-5.8635981295987074</v>
      </c>
      <c r="I124" s="618"/>
      <c r="J124" s="618"/>
      <c r="K124" s="618"/>
      <c r="L124" s="618"/>
      <c r="M124" s="618"/>
      <c r="N124" s="618"/>
      <c r="O124" s="618"/>
      <c r="P124" s="618"/>
      <c r="Q124" s="618"/>
      <c r="R124" s="618"/>
      <c r="S124" s="618"/>
      <c r="T124" s="618"/>
      <c r="U124" s="618"/>
      <c r="V124" s="618"/>
      <c r="W124" s="618"/>
      <c r="X124" s="618"/>
      <c r="Y124" s="618"/>
      <c r="Z124" s="618"/>
      <c r="AA124" s="618"/>
      <c r="AB124" s="618"/>
      <c r="AC124" s="618"/>
      <c r="AD124" s="618"/>
      <c r="AE124" s="618"/>
      <c r="AF124" s="618"/>
      <c r="AG124" s="618"/>
      <c r="AH124" s="618"/>
      <c r="AI124" s="618"/>
      <c r="AJ124" s="618"/>
      <c r="AK124" s="618"/>
      <c r="AL124" s="4"/>
      <c r="AM124" s="1"/>
      <c r="AN124" s="3"/>
      <c r="AO124" s="3"/>
      <c r="AP124" s="3"/>
      <c r="AQ124" s="3"/>
      <c r="AR124" s="3"/>
      <c r="AS124" s="3"/>
      <c r="AT124" s="3"/>
      <c r="AU124" s="3"/>
      <c r="AV124" s="3"/>
      <c r="AW124" s="3"/>
      <c r="AX124" s="3"/>
      <c r="AY124" s="3"/>
      <c r="AZ124" s="3"/>
      <c r="BA124" s="3"/>
      <c r="BB124" s="3"/>
      <c r="BC124" s="3"/>
      <c r="BD124" s="3"/>
      <c r="BE124" s="3"/>
      <c r="BF124" s="3"/>
    </row>
    <row r="125" spans="1:58" ht="14.25" customHeight="1" x14ac:dyDescent="0.45">
      <c r="A125" s="618">
        <v>1</v>
      </c>
      <c r="B125" s="618"/>
      <c r="C125" s="106"/>
      <c r="D125" s="170" t="s">
        <v>74</v>
      </c>
      <c r="E125" s="132">
        <f>'Copia de Combustibles'!D118*$E$305</f>
        <v>-5.7472313040556946</v>
      </c>
      <c r="F125" s="132">
        <f>'Copia de Combustibles'!E118*$E$305</f>
        <v>-5.2896827550958827</v>
      </c>
      <c r="G125" s="132">
        <f>'Copia de Combustibles'!F118*$E$305</f>
        <v>-4.6394714514193272</v>
      </c>
      <c r="H125" s="134">
        <f>'Copia de Combustibles'!G118*$E$305</f>
        <v>-5.1296151882242125</v>
      </c>
      <c r="I125" s="618"/>
      <c r="J125" s="618"/>
      <c r="K125" s="618"/>
      <c r="L125" s="618"/>
      <c r="M125" s="618"/>
      <c r="N125" s="618"/>
      <c r="O125" s="618"/>
      <c r="P125" s="618"/>
      <c r="Q125" s="618"/>
      <c r="R125" s="618"/>
      <c r="S125" s="618"/>
      <c r="T125" s="618"/>
      <c r="U125" s="618"/>
      <c r="V125" s="618"/>
      <c r="W125" s="618"/>
      <c r="X125" s="618"/>
      <c r="Y125" s="618"/>
      <c r="Z125" s="618"/>
      <c r="AA125" s="618"/>
      <c r="AB125" s="618"/>
      <c r="AC125" s="618"/>
      <c r="AD125" s="618"/>
      <c r="AE125" s="618"/>
      <c r="AF125" s="618"/>
      <c r="AG125" s="618"/>
      <c r="AH125" s="618"/>
      <c r="AI125" s="618"/>
      <c r="AJ125" s="618"/>
      <c r="AK125" s="618"/>
      <c r="AL125" s="618"/>
      <c r="AM125" s="618"/>
      <c r="AN125" s="3"/>
      <c r="AO125" s="3"/>
      <c r="AP125" s="3"/>
      <c r="AQ125" s="3"/>
      <c r="AR125" s="3"/>
      <c r="AS125" s="3"/>
      <c r="AT125" s="3"/>
      <c r="AU125" s="3"/>
      <c r="AV125" s="3"/>
      <c r="AW125" s="3"/>
      <c r="AX125" s="3"/>
      <c r="AY125" s="3"/>
      <c r="AZ125" s="3"/>
      <c r="BA125" s="3"/>
      <c r="BB125" s="3"/>
      <c r="BC125" s="3"/>
      <c r="BD125" s="3"/>
      <c r="BE125" s="3"/>
      <c r="BF125" s="3"/>
    </row>
    <row r="126" spans="1:58" ht="14.25" customHeight="1" x14ac:dyDescent="0.45">
      <c r="A126" s="618"/>
      <c r="B126" s="618"/>
      <c r="C126" s="106"/>
      <c r="D126" s="170"/>
      <c r="E126" s="132"/>
      <c r="F126" s="132"/>
      <c r="G126" s="132"/>
      <c r="H126" s="134"/>
      <c r="I126" s="618"/>
      <c r="J126" s="618"/>
      <c r="K126" s="618"/>
      <c r="L126" s="618"/>
      <c r="M126" s="618"/>
      <c r="N126" s="618"/>
      <c r="O126" s="618"/>
      <c r="P126" s="618"/>
      <c r="Q126" s="618"/>
      <c r="R126" s="618"/>
      <c r="S126" s="618"/>
      <c r="T126" s="618"/>
      <c r="U126" s="618"/>
      <c r="V126" s="618"/>
      <c r="W126" s="618"/>
      <c r="X126" s="618"/>
      <c r="Y126" s="618"/>
      <c r="Z126" s="618"/>
      <c r="AA126" s="618"/>
      <c r="AB126" s="618"/>
      <c r="AC126" s="618"/>
      <c r="AD126" s="618"/>
      <c r="AE126" s="618"/>
      <c r="AF126" s="618"/>
      <c r="AG126" s="618"/>
      <c r="AH126" s="618"/>
      <c r="AI126" s="618"/>
      <c r="AJ126" s="618"/>
      <c r="AK126" s="618"/>
      <c r="AL126" s="618"/>
      <c r="AM126" s="618"/>
      <c r="AN126" s="3"/>
      <c r="AO126" s="3"/>
      <c r="AP126" s="3"/>
      <c r="AQ126" s="3"/>
      <c r="AR126" s="3"/>
      <c r="AS126" s="3"/>
      <c r="AT126" s="3"/>
      <c r="AU126" s="3"/>
      <c r="AV126" s="3"/>
      <c r="AW126" s="3"/>
      <c r="AX126" s="3"/>
      <c r="AY126" s="3"/>
      <c r="AZ126" s="3"/>
      <c r="BA126" s="3"/>
      <c r="BB126" s="3"/>
      <c r="BC126" s="3"/>
      <c r="BD126" s="3"/>
      <c r="BE126" s="3"/>
      <c r="BF126" s="3"/>
    </row>
    <row r="127" spans="1:58" ht="14.25" customHeight="1" x14ac:dyDescent="0.45">
      <c r="A127" s="618"/>
      <c r="B127" s="618"/>
      <c r="C127" s="118"/>
      <c r="D127" s="171" t="s">
        <v>25</v>
      </c>
      <c r="E127" s="127">
        <f>SUM(E124:E125)</f>
        <v>-11.347396631285385</v>
      </c>
      <c r="F127" s="127">
        <f>SUM(F124:F125)</f>
        <v>-10.730708412539684</v>
      </c>
      <c r="G127" s="127">
        <f>SUM(G124:G125)</f>
        <v>-10.061742786840169</v>
      </c>
      <c r="H127" s="128">
        <f>SUM(H124:H125)</f>
        <v>-10.993213317822921</v>
      </c>
      <c r="I127" s="618"/>
      <c r="J127" s="618"/>
      <c r="K127" s="618"/>
      <c r="L127" s="618"/>
      <c r="M127" s="618"/>
      <c r="N127" s="618"/>
      <c r="O127" s="618"/>
      <c r="P127" s="618"/>
      <c r="Q127" s="618"/>
      <c r="R127" s="618"/>
      <c r="S127" s="618"/>
      <c r="T127" s="618"/>
      <c r="U127" s="618"/>
      <c r="V127" s="618"/>
      <c r="W127" s="618"/>
      <c r="X127" s="618"/>
      <c r="Y127" s="618"/>
      <c r="Z127" s="618"/>
      <c r="AA127" s="618"/>
      <c r="AB127" s="618"/>
      <c r="AC127" s="618"/>
      <c r="AD127" s="618"/>
      <c r="AE127" s="618"/>
      <c r="AF127" s="618"/>
      <c r="AG127" s="618"/>
      <c r="AH127" s="618"/>
      <c r="AI127" s="618"/>
      <c r="AJ127" s="618"/>
      <c r="AK127" s="618"/>
      <c r="AL127" s="618"/>
      <c r="AM127" s="618"/>
      <c r="AN127" s="3"/>
      <c r="AO127" s="3"/>
      <c r="AP127" s="3"/>
      <c r="AQ127" s="3"/>
      <c r="AR127" s="3"/>
      <c r="AS127" s="3"/>
      <c r="AT127" s="3"/>
      <c r="AU127" s="3"/>
      <c r="AV127" s="3"/>
      <c r="AW127" s="3"/>
      <c r="AX127" s="3"/>
      <c r="AY127" s="3"/>
      <c r="AZ127" s="3"/>
      <c r="BA127" s="3"/>
      <c r="BB127" s="3"/>
      <c r="BC127" s="3"/>
      <c r="BD127" s="3"/>
      <c r="BE127" s="3"/>
      <c r="BF127" s="3"/>
    </row>
    <row r="128" spans="1:58" ht="14.25" customHeight="1" x14ac:dyDescent="0.45">
      <c r="A128" s="618"/>
      <c r="B128" s="618"/>
      <c r="C128" s="618"/>
      <c r="D128" s="618"/>
      <c r="E128" s="618"/>
      <c r="F128" s="618"/>
      <c r="G128" s="618"/>
      <c r="H128" s="618"/>
      <c r="I128" s="618"/>
      <c r="J128" s="618"/>
      <c r="K128" s="618"/>
      <c r="L128" s="618"/>
      <c r="M128" s="618"/>
      <c r="N128" s="618"/>
      <c r="O128" s="618"/>
      <c r="P128" s="618"/>
      <c r="Q128" s="618"/>
      <c r="R128" s="618"/>
      <c r="S128" s="618"/>
      <c r="T128" s="618"/>
      <c r="U128" s="618"/>
      <c r="V128" s="618"/>
      <c r="W128" s="618"/>
      <c r="X128" s="618"/>
      <c r="Y128" s="618"/>
      <c r="Z128" s="618"/>
      <c r="AA128" s="618"/>
      <c r="AB128" s="618"/>
      <c r="AC128" s="618"/>
      <c r="AD128" s="618"/>
      <c r="AE128" s="618"/>
      <c r="AF128" s="618"/>
      <c r="AG128" s="618"/>
      <c r="AH128" s="618"/>
      <c r="AI128" s="618"/>
      <c r="AJ128" s="618"/>
      <c r="AK128" s="618"/>
      <c r="AL128" s="618"/>
      <c r="AM128" s="618"/>
      <c r="AN128" s="3"/>
      <c r="AO128" s="3"/>
      <c r="AP128" s="3"/>
      <c r="AQ128" s="3"/>
      <c r="AR128" s="3"/>
      <c r="AS128" s="3"/>
      <c r="AT128" s="3"/>
      <c r="AU128" s="3"/>
      <c r="AV128" s="3"/>
      <c r="AW128" s="3"/>
      <c r="AX128" s="3"/>
      <c r="AY128" s="3"/>
      <c r="AZ128" s="3"/>
      <c r="BA128" s="3"/>
      <c r="BB128" s="3"/>
      <c r="BC128" s="3"/>
      <c r="BD128" s="3"/>
      <c r="BE128" s="3"/>
      <c r="BF128" s="3"/>
    </row>
    <row r="129" spans="1:58" ht="14.25" customHeight="1" x14ac:dyDescent="0.45">
      <c r="A129" s="4"/>
      <c r="B129" s="4"/>
      <c r="C129" s="8"/>
      <c r="D129" s="122" t="s">
        <v>75</v>
      </c>
      <c r="E129" s="123">
        <v>2018</v>
      </c>
      <c r="F129" s="123">
        <v>2019</v>
      </c>
      <c r="G129" s="123">
        <v>2020</v>
      </c>
      <c r="H129" s="124">
        <v>2021</v>
      </c>
      <c r="I129" s="618"/>
      <c r="J129" s="618"/>
      <c r="K129" s="618"/>
      <c r="L129" s="618"/>
      <c r="M129" s="618"/>
      <c r="N129" s="618"/>
      <c r="O129" s="618"/>
      <c r="P129" s="618"/>
      <c r="Q129" s="618"/>
      <c r="R129" s="618"/>
      <c r="S129" s="618"/>
      <c r="T129" s="618"/>
      <c r="U129" s="618"/>
      <c r="V129" s="618"/>
      <c r="W129" s="618"/>
      <c r="X129" s="618"/>
      <c r="Y129" s="618"/>
      <c r="Z129" s="618"/>
      <c r="AA129" s="618"/>
      <c r="AB129" s="618"/>
      <c r="AC129" s="618"/>
      <c r="AD129" s="618"/>
      <c r="AE129" s="618"/>
      <c r="AF129" s="618"/>
      <c r="AG129" s="618"/>
      <c r="AH129" s="618"/>
      <c r="AI129" s="618"/>
      <c r="AJ129" s="618"/>
      <c r="AK129" s="618"/>
      <c r="AL129" s="618"/>
      <c r="AM129" s="618"/>
      <c r="AN129" s="3"/>
      <c r="AO129" s="3"/>
      <c r="AP129" s="3"/>
      <c r="AQ129" s="3"/>
      <c r="AR129" s="3"/>
      <c r="AS129" s="3"/>
      <c r="AT129" s="3"/>
      <c r="AU129" s="3"/>
      <c r="AV129" s="3"/>
      <c r="AW129" s="3"/>
      <c r="AX129" s="3"/>
      <c r="AY129" s="3"/>
      <c r="AZ129" s="3"/>
      <c r="BA129" s="3"/>
      <c r="BB129" s="3"/>
      <c r="BC129" s="3"/>
      <c r="BD129" s="3"/>
      <c r="BE129" s="3"/>
      <c r="BF129" s="3"/>
    </row>
    <row r="130" spans="1:58" ht="14.25" customHeight="1" x14ac:dyDescent="0.45">
      <c r="A130" s="618">
        <v>1</v>
      </c>
      <c r="B130" s="618"/>
      <c r="C130" s="106"/>
      <c r="D130" s="153" t="s">
        <v>51</v>
      </c>
      <c r="E130" s="132">
        <f>'Copia de Combustibles'!D123*$E$305</f>
        <v>4.5212344768406005</v>
      </c>
      <c r="F130" s="132">
        <f>'Copia de Combustibles'!E123*$E$305</f>
        <v>4.1318381792662402</v>
      </c>
      <c r="G130" s="132">
        <f>'Copia de Combustibles'!F123*$E$305</f>
        <v>3.5638522628699238</v>
      </c>
      <c r="H130" s="134">
        <f>'Copia de Combustibles'!G123*$E$305</f>
        <v>4.3019085521329501</v>
      </c>
      <c r="I130" s="618"/>
      <c r="J130" s="618"/>
      <c r="K130" s="618"/>
      <c r="L130" s="618"/>
      <c r="M130" s="618"/>
      <c r="N130" s="618"/>
      <c r="O130" s="618"/>
      <c r="P130" s="618"/>
      <c r="Q130" s="618"/>
      <c r="R130" s="618"/>
      <c r="S130" s="618"/>
      <c r="T130" s="618"/>
      <c r="U130" s="618"/>
      <c r="V130" s="618"/>
      <c r="W130" s="618"/>
      <c r="X130" s="618"/>
      <c r="Y130" s="618"/>
      <c r="Z130" s="618"/>
      <c r="AA130" s="618"/>
      <c r="AB130" s="618"/>
      <c r="AC130" s="618"/>
      <c r="AD130" s="618"/>
      <c r="AE130" s="618"/>
      <c r="AF130" s="618"/>
      <c r="AG130" s="618"/>
      <c r="AH130" s="618"/>
      <c r="AI130" s="618"/>
      <c r="AJ130" s="618"/>
      <c r="AK130" s="618"/>
      <c r="AL130" s="618"/>
      <c r="AM130" s="618"/>
      <c r="AN130" s="3"/>
      <c r="AO130" s="3"/>
      <c r="AP130" s="3"/>
      <c r="AQ130" s="3"/>
      <c r="AR130" s="3"/>
      <c r="AS130" s="3"/>
      <c r="AT130" s="3"/>
      <c r="AU130" s="3"/>
      <c r="AV130" s="3"/>
      <c r="AW130" s="3"/>
      <c r="AX130" s="3"/>
      <c r="AY130" s="3"/>
      <c r="AZ130" s="3"/>
      <c r="BA130" s="3"/>
      <c r="BB130" s="3"/>
      <c r="BC130" s="3"/>
      <c r="BD130" s="3"/>
      <c r="BE130" s="3"/>
      <c r="BF130" s="3"/>
    </row>
    <row r="131" spans="1:58" ht="14.25" customHeight="1" x14ac:dyDescent="0.45">
      <c r="A131" s="618">
        <v>1</v>
      </c>
      <c r="B131" s="618"/>
      <c r="C131" s="106"/>
      <c r="D131" s="115" t="s">
        <v>50</v>
      </c>
      <c r="E131" s="132">
        <f>'Copia de Combustibles'!D124*$E$305</f>
        <v>3.486019402900407</v>
      </c>
      <c r="F131" s="132">
        <f>'Copia de Combustibles'!E124*$E$305</f>
        <v>3.1865183746829682</v>
      </c>
      <c r="G131" s="132">
        <f>'Copia de Combustibles'!F124*$E$305</f>
        <v>3.1758161223377481</v>
      </c>
      <c r="H131" s="134">
        <f>'Copia de Combustibles'!G124*$E$305</f>
        <v>3.3733010673564703</v>
      </c>
      <c r="I131" s="618"/>
      <c r="J131" s="618"/>
      <c r="K131" s="618"/>
      <c r="L131" s="618"/>
      <c r="M131" s="618"/>
      <c r="N131" s="618"/>
      <c r="O131" s="618"/>
      <c r="P131" s="618"/>
      <c r="Q131" s="618"/>
      <c r="R131" s="618"/>
      <c r="S131" s="618"/>
      <c r="T131" s="618"/>
      <c r="U131" s="618"/>
      <c r="V131" s="618"/>
      <c r="W131" s="618"/>
      <c r="X131" s="618"/>
      <c r="Y131" s="618"/>
      <c r="Z131" s="618"/>
      <c r="AA131" s="618"/>
      <c r="AB131" s="618"/>
      <c r="AC131" s="618"/>
      <c r="AD131" s="618"/>
      <c r="AE131" s="618"/>
      <c r="AF131" s="618"/>
      <c r="AG131" s="618"/>
      <c r="AH131" s="618"/>
      <c r="AI131" s="618"/>
      <c r="AJ131" s="618"/>
      <c r="AK131" s="618"/>
      <c r="AL131" s="618"/>
      <c r="AM131" s="618"/>
      <c r="AN131" s="3"/>
      <c r="AO131" s="3"/>
      <c r="AP131" s="3"/>
      <c r="AQ131" s="3"/>
      <c r="AR131" s="3"/>
      <c r="AS131" s="3"/>
      <c r="AT131" s="3"/>
      <c r="AU131" s="3"/>
      <c r="AV131" s="3"/>
      <c r="AW131" s="3"/>
      <c r="AX131" s="3"/>
      <c r="AY131" s="3"/>
      <c r="AZ131" s="3"/>
      <c r="BA131" s="3"/>
      <c r="BB131" s="3"/>
      <c r="BC131" s="3"/>
      <c r="BD131" s="3"/>
      <c r="BE131" s="3"/>
      <c r="BF131" s="3"/>
    </row>
    <row r="132" spans="1:58" ht="14.25" customHeight="1" x14ac:dyDescent="0.45">
      <c r="A132" s="618">
        <v>1</v>
      </c>
      <c r="B132" s="618"/>
      <c r="C132" s="106"/>
      <c r="D132" s="115" t="s">
        <v>76</v>
      </c>
      <c r="E132" s="132">
        <f>'Copia de Combustibles'!D125*$E$305</f>
        <v>1.6162785786570382</v>
      </c>
      <c r="F132" s="132">
        <f>'Copia de Combustibles'!E125*$E$305</f>
        <v>1.5668813159082935</v>
      </c>
      <c r="G132" s="132">
        <f>'Copia de Combustibles'!F125*$E$305</f>
        <v>1.4792549398191686</v>
      </c>
      <c r="H132" s="134">
        <f>'Copia de Combustibles'!G125*$E$305</f>
        <v>1.5084116925338837</v>
      </c>
      <c r="I132" s="618"/>
      <c r="J132" s="618"/>
      <c r="K132" s="618"/>
      <c r="L132" s="618"/>
      <c r="M132" s="618"/>
      <c r="N132" s="618"/>
      <c r="O132" s="618"/>
      <c r="P132" s="618"/>
      <c r="Q132" s="618"/>
      <c r="R132" s="618"/>
      <c r="S132" s="618"/>
      <c r="T132" s="618"/>
      <c r="U132" s="618"/>
      <c r="V132" s="618"/>
      <c r="W132" s="618"/>
      <c r="X132" s="618"/>
      <c r="Y132" s="618"/>
      <c r="Z132" s="618"/>
      <c r="AA132" s="618"/>
      <c r="AB132" s="618"/>
      <c r="AC132" s="618"/>
      <c r="AD132" s="618"/>
      <c r="AE132" s="618"/>
      <c r="AF132" s="618"/>
      <c r="AG132" s="618"/>
      <c r="AH132" s="618"/>
      <c r="AI132" s="618"/>
      <c r="AJ132" s="618"/>
      <c r="AK132" s="618"/>
      <c r="AL132" s="618"/>
      <c r="AM132" s="618"/>
      <c r="AN132" s="3"/>
      <c r="AO132" s="3"/>
      <c r="AP132" s="3"/>
      <c r="AQ132" s="3"/>
      <c r="AR132" s="3"/>
      <c r="AS132" s="3"/>
      <c r="AT132" s="3"/>
      <c r="AU132" s="3"/>
      <c r="AV132" s="3"/>
      <c r="AW132" s="3"/>
      <c r="AX132" s="3"/>
      <c r="AY132" s="3"/>
      <c r="AZ132" s="3"/>
      <c r="BA132" s="3"/>
      <c r="BB132" s="3"/>
      <c r="BC132" s="3"/>
      <c r="BD132" s="3"/>
      <c r="BE132" s="3"/>
      <c r="BF132" s="3"/>
    </row>
    <row r="133" spans="1:58" ht="14.25" customHeight="1" x14ac:dyDescent="0.45">
      <c r="A133" s="618"/>
      <c r="B133" s="618"/>
      <c r="C133" s="106"/>
      <c r="D133" s="115"/>
      <c r="E133" s="132"/>
      <c r="F133" s="132"/>
      <c r="G133" s="132"/>
      <c r="H133" s="134"/>
      <c r="I133" s="618"/>
      <c r="J133" s="618"/>
      <c r="K133" s="618"/>
      <c r="L133" s="618"/>
      <c r="M133" s="618"/>
      <c r="N133" s="618"/>
      <c r="O133" s="618"/>
      <c r="P133" s="618"/>
      <c r="Q133" s="618"/>
      <c r="R133" s="618"/>
      <c r="S133" s="618"/>
      <c r="T133" s="618"/>
      <c r="U133" s="618"/>
      <c r="V133" s="618"/>
      <c r="W133" s="618"/>
      <c r="X133" s="618"/>
      <c r="Y133" s="618"/>
      <c r="Z133" s="618"/>
      <c r="AA133" s="618"/>
      <c r="AB133" s="618"/>
      <c r="AC133" s="618"/>
      <c r="AD133" s="618"/>
      <c r="AE133" s="618"/>
      <c r="AF133" s="618"/>
      <c r="AG133" s="618"/>
      <c r="AH133" s="618"/>
      <c r="AI133" s="618"/>
      <c r="AJ133" s="618"/>
      <c r="AK133" s="618"/>
      <c r="AL133" s="618"/>
      <c r="AM133" s="618"/>
      <c r="AN133" s="3"/>
      <c r="AO133" s="3"/>
      <c r="AP133" s="3"/>
      <c r="AQ133" s="3"/>
      <c r="AR133" s="3"/>
      <c r="AS133" s="3"/>
      <c r="AT133" s="3"/>
      <c r="AU133" s="3"/>
      <c r="AV133" s="3"/>
      <c r="AW133" s="3"/>
      <c r="AX133" s="3"/>
      <c r="AY133" s="3"/>
      <c r="AZ133" s="3"/>
      <c r="BA133" s="3"/>
      <c r="BB133" s="3"/>
      <c r="BC133" s="3"/>
      <c r="BD133" s="3"/>
      <c r="BE133" s="3"/>
      <c r="BF133" s="3"/>
    </row>
    <row r="134" spans="1:58" ht="13.5" customHeight="1" x14ac:dyDescent="0.45">
      <c r="A134" s="618"/>
      <c r="B134" s="618"/>
      <c r="C134" s="118"/>
      <c r="D134" s="119" t="s">
        <v>25</v>
      </c>
      <c r="E134" s="127">
        <f>SUM(E130:E132)</f>
        <v>9.6235324583980457</v>
      </c>
      <c r="F134" s="127">
        <f>SUM(F130:F132)</f>
        <v>8.8852378698575016</v>
      </c>
      <c r="G134" s="127">
        <f>SUM(G130:G132)</f>
        <v>8.2189233250268412</v>
      </c>
      <c r="H134" s="128">
        <f>SUM(H130:H132)</f>
        <v>9.1836213120233037</v>
      </c>
      <c r="I134" s="618"/>
      <c r="J134" s="618"/>
      <c r="K134" s="618"/>
      <c r="L134" s="618"/>
      <c r="M134" s="618"/>
      <c r="N134" s="618"/>
      <c r="O134" s="618"/>
      <c r="P134" s="618"/>
      <c r="Q134" s="618"/>
      <c r="R134" s="618"/>
      <c r="S134" s="618"/>
      <c r="T134" s="618"/>
      <c r="U134" s="618"/>
      <c r="V134" s="618"/>
      <c r="W134" s="618"/>
      <c r="X134" s="618"/>
      <c r="Y134" s="618"/>
      <c r="Z134" s="618"/>
      <c r="AA134" s="618"/>
      <c r="AB134" s="618"/>
      <c r="AC134" s="618"/>
      <c r="AD134" s="618"/>
      <c r="AE134" s="618"/>
      <c r="AF134" s="618"/>
      <c r="AG134" s="618"/>
      <c r="AH134" s="618"/>
      <c r="AI134" s="618"/>
      <c r="AJ134" s="618"/>
      <c r="AK134" s="618"/>
      <c r="AL134" s="618"/>
      <c r="AM134" s="618"/>
      <c r="AN134" s="3"/>
      <c r="AO134" s="3"/>
      <c r="AP134" s="3"/>
      <c r="AQ134" s="3"/>
      <c r="AR134" s="3"/>
      <c r="AS134" s="3"/>
      <c r="AT134" s="3"/>
      <c r="AU134" s="3"/>
      <c r="AV134" s="3"/>
      <c r="AW134" s="3"/>
      <c r="AX134" s="3"/>
      <c r="AY134" s="3"/>
      <c r="AZ134" s="3"/>
      <c r="BA134" s="3"/>
      <c r="BB134" s="3"/>
      <c r="BC134" s="3"/>
      <c r="BD134" s="3"/>
      <c r="BE134" s="3"/>
      <c r="BF134" s="3"/>
    </row>
    <row r="135" spans="1:58" ht="14.25" customHeight="1" x14ac:dyDescent="0.45">
      <c r="A135" s="618"/>
      <c r="B135" s="618"/>
      <c r="C135" s="618"/>
      <c r="D135" s="618"/>
      <c r="E135" s="618"/>
      <c r="F135" s="618"/>
      <c r="G135" s="618"/>
      <c r="H135" s="618"/>
      <c r="I135" s="618"/>
      <c r="J135" s="618"/>
      <c r="K135" s="618"/>
      <c r="L135" s="618"/>
      <c r="M135" s="618"/>
      <c r="N135" s="618"/>
      <c r="O135" s="618"/>
      <c r="P135" s="618"/>
      <c r="Q135" s="618"/>
      <c r="R135" s="618"/>
      <c r="S135" s="618"/>
      <c r="T135" s="618"/>
      <c r="U135" s="618"/>
      <c r="V135" s="618"/>
      <c r="W135" s="618"/>
      <c r="X135" s="618"/>
      <c r="Y135" s="618"/>
      <c r="Z135" s="618"/>
      <c r="AA135" s="618"/>
      <c r="AB135" s="618"/>
      <c r="AC135" s="618"/>
      <c r="AD135" s="618"/>
      <c r="AE135" s="618"/>
      <c r="AF135" s="618"/>
      <c r="AG135" s="618"/>
      <c r="AH135" s="618"/>
      <c r="AI135" s="618"/>
      <c r="AJ135" s="618"/>
      <c r="AK135" s="618"/>
      <c r="AL135" s="618"/>
      <c r="AM135" s="618"/>
      <c r="AN135" s="3"/>
      <c r="AO135" s="3"/>
      <c r="AP135" s="3"/>
      <c r="AQ135" s="3"/>
      <c r="AR135" s="3"/>
      <c r="AS135" s="3"/>
      <c r="AT135" s="3"/>
      <c r="AU135" s="3"/>
      <c r="AV135" s="3"/>
      <c r="AW135" s="3"/>
      <c r="AX135" s="3"/>
      <c r="AY135" s="3"/>
      <c r="AZ135" s="3"/>
      <c r="BA135" s="3"/>
      <c r="BB135" s="3"/>
      <c r="BC135" s="3"/>
      <c r="BD135" s="3"/>
      <c r="BE135" s="3"/>
      <c r="BF135" s="3"/>
    </row>
    <row r="136" spans="1:58" ht="14.25" customHeight="1" x14ac:dyDescent="0.45">
      <c r="A136" s="618"/>
      <c r="B136" s="618"/>
      <c r="C136" s="7"/>
      <c r="D136" s="122" t="s">
        <v>77</v>
      </c>
      <c r="E136" s="123">
        <v>2018</v>
      </c>
      <c r="F136" s="123">
        <v>2019</v>
      </c>
      <c r="G136" s="123">
        <v>2020</v>
      </c>
      <c r="H136" s="123">
        <v>2021</v>
      </c>
      <c r="I136" s="136" t="s">
        <v>37</v>
      </c>
      <c r="J136" s="618"/>
      <c r="K136" s="618"/>
      <c r="L136" s="618"/>
      <c r="M136" s="618"/>
      <c r="N136" s="618"/>
      <c r="O136" s="618"/>
      <c r="P136" s="618"/>
      <c r="Q136" s="618"/>
      <c r="R136" s="618"/>
      <c r="S136" s="618"/>
      <c r="T136" s="618"/>
      <c r="U136" s="618"/>
      <c r="V136" s="618"/>
      <c r="W136" s="618"/>
      <c r="X136" s="618"/>
      <c r="Y136" s="618"/>
      <c r="Z136" s="618"/>
      <c r="AA136" s="618"/>
      <c r="AB136" s="618"/>
      <c r="AC136" s="618"/>
      <c r="AD136" s="618"/>
      <c r="AE136" s="618"/>
      <c r="AF136" s="618"/>
      <c r="AG136" s="618"/>
      <c r="AH136" s="618"/>
      <c r="AI136" s="618"/>
      <c r="AJ136" s="618"/>
      <c r="AK136" s="618"/>
      <c r="AL136" s="618"/>
      <c r="AM136" s="618"/>
      <c r="AN136" s="3"/>
      <c r="AO136" s="3"/>
      <c r="AP136" s="3"/>
      <c r="AQ136" s="3"/>
      <c r="AR136" s="3"/>
      <c r="AS136" s="3"/>
      <c r="AT136" s="3"/>
      <c r="AU136" s="3"/>
      <c r="AV136" s="3"/>
      <c r="AW136" s="3"/>
      <c r="AX136" s="3"/>
      <c r="AY136" s="3"/>
      <c r="AZ136" s="3"/>
      <c r="BA136" s="3"/>
      <c r="BB136" s="3"/>
      <c r="BC136" s="3"/>
      <c r="BD136" s="3"/>
      <c r="BE136" s="3"/>
      <c r="BF136" s="3"/>
    </row>
    <row r="137" spans="1:58" ht="14.25" customHeight="1" x14ac:dyDescent="0.45">
      <c r="A137" s="618"/>
      <c r="B137" s="618"/>
      <c r="C137" s="118"/>
      <c r="D137" s="166"/>
      <c r="E137" s="172">
        <f>ABS(E127/E134)</f>
        <v>1.1791300835051475</v>
      </c>
      <c r="F137" s="172">
        <f>ABS(F127/F134)</f>
        <v>1.2077007469820027</v>
      </c>
      <c r="G137" s="172">
        <f>ABS(G127/G134)</f>
        <v>1.2242166508844161</v>
      </c>
      <c r="H137" s="172">
        <f>ABS(H127/H134)</f>
        <v>1.1970455819460324</v>
      </c>
      <c r="I137" s="138">
        <f>AVERAGE(E137:H137)</f>
        <v>1.2020232658293994</v>
      </c>
      <c r="J137" s="618"/>
      <c r="K137" s="618"/>
      <c r="L137" s="618"/>
      <c r="M137" s="618"/>
      <c r="N137" s="618"/>
      <c r="O137" s="618"/>
      <c r="P137" s="618"/>
      <c r="Q137" s="618"/>
      <c r="R137" s="618"/>
      <c r="S137" s="618"/>
      <c r="T137" s="618"/>
      <c r="U137" s="618"/>
      <c r="V137" s="618"/>
      <c r="W137" s="618"/>
      <c r="X137" s="618"/>
      <c r="Y137" s="618"/>
      <c r="Z137" s="618"/>
      <c r="AA137" s="618"/>
      <c r="AB137" s="618"/>
      <c r="AC137" s="618"/>
      <c r="AD137" s="618"/>
      <c r="AE137" s="618"/>
      <c r="AF137" s="618"/>
      <c r="AG137" s="618"/>
      <c r="AH137" s="618"/>
      <c r="AI137" s="618"/>
      <c r="AJ137" s="618"/>
      <c r="AK137" s="618"/>
      <c r="AL137" s="618"/>
      <c r="AM137" s="618"/>
      <c r="AN137" s="3"/>
      <c r="AO137" s="3"/>
      <c r="AP137" s="3"/>
      <c r="AQ137" s="3"/>
      <c r="AR137" s="3"/>
      <c r="AS137" s="3"/>
      <c r="AT137" s="3"/>
      <c r="AU137" s="3"/>
      <c r="AV137" s="3"/>
      <c r="AW137" s="3"/>
      <c r="AX137" s="3"/>
      <c r="AY137" s="3"/>
      <c r="AZ137" s="3"/>
      <c r="BA137" s="3"/>
      <c r="BB137" s="3"/>
      <c r="BC137" s="3"/>
      <c r="BD137" s="3"/>
      <c r="BE137" s="3"/>
      <c r="BF137" s="3"/>
    </row>
    <row r="138" spans="1:58" ht="14.25" customHeight="1" x14ac:dyDescent="0.45">
      <c r="A138" s="618"/>
      <c r="B138" s="618"/>
      <c r="C138" s="618"/>
      <c r="D138" s="618"/>
      <c r="E138" s="618"/>
      <c r="F138" s="618"/>
      <c r="G138" s="618"/>
      <c r="H138" s="618"/>
      <c r="I138" s="618"/>
      <c r="J138" s="618"/>
      <c r="K138" s="618"/>
      <c r="L138" s="618"/>
      <c r="M138" s="618"/>
      <c r="N138" s="618"/>
      <c r="O138" s="618"/>
      <c r="P138" s="618"/>
      <c r="Q138" s="618"/>
      <c r="R138" s="618"/>
      <c r="S138" s="618"/>
      <c r="T138" s="618"/>
      <c r="U138" s="618"/>
      <c r="V138" s="618"/>
      <c r="W138" s="618"/>
      <c r="X138" s="618"/>
      <c r="Y138" s="618"/>
      <c r="Z138" s="618"/>
      <c r="AA138" s="618"/>
      <c r="AB138" s="618"/>
      <c r="AC138" s="618"/>
      <c r="AD138" s="618"/>
      <c r="AE138" s="618"/>
      <c r="AF138" s="618"/>
      <c r="AG138" s="618"/>
      <c r="AH138" s="618"/>
      <c r="AI138" s="618"/>
      <c r="AJ138" s="618"/>
      <c r="AK138" s="618"/>
      <c r="AL138" s="618"/>
      <c r="AM138" s="618"/>
      <c r="AN138" s="3"/>
      <c r="AO138" s="3"/>
      <c r="AP138" s="3"/>
      <c r="AQ138" s="3"/>
      <c r="AR138" s="3"/>
      <c r="AS138" s="3"/>
      <c r="AT138" s="3"/>
      <c r="AU138" s="3"/>
      <c r="AV138" s="3"/>
      <c r="AW138" s="3"/>
      <c r="AX138" s="3"/>
      <c r="AY138" s="3"/>
      <c r="AZ138" s="3"/>
      <c r="BA138" s="3"/>
      <c r="BB138" s="3"/>
      <c r="BC138" s="3"/>
      <c r="BD138" s="3"/>
      <c r="BE138" s="3"/>
      <c r="BF138" s="3"/>
    </row>
    <row r="139" spans="1:58" ht="14.25" customHeight="1" x14ac:dyDescent="0.45">
      <c r="A139" s="4"/>
      <c r="B139" s="4"/>
      <c r="C139" s="8"/>
      <c r="D139" s="122" t="s">
        <v>77</v>
      </c>
      <c r="E139" s="123">
        <v>2018</v>
      </c>
      <c r="F139" s="123">
        <v>2019</v>
      </c>
      <c r="G139" s="123">
        <v>2020</v>
      </c>
      <c r="H139" s="123">
        <v>2021</v>
      </c>
      <c r="I139" s="173" t="s">
        <v>37</v>
      </c>
      <c r="J139" s="618"/>
      <c r="K139" s="618"/>
      <c r="L139" s="618"/>
      <c r="M139" s="618"/>
      <c r="N139" s="618"/>
      <c r="O139" s="618"/>
      <c r="P139" s="618"/>
      <c r="Q139" s="618"/>
      <c r="R139" s="618"/>
      <c r="S139" s="618"/>
      <c r="T139" s="618"/>
      <c r="U139" s="618"/>
      <c r="V139" s="618"/>
      <c r="W139" s="618"/>
      <c r="X139" s="618"/>
      <c r="Y139" s="618"/>
      <c r="Z139" s="618"/>
      <c r="AA139" s="618"/>
      <c r="AB139" s="618"/>
      <c r="AC139" s="618"/>
      <c r="AD139" s="618"/>
      <c r="AE139" s="618"/>
      <c r="AF139" s="618"/>
      <c r="AG139" s="618"/>
      <c r="AH139" s="618"/>
      <c r="AI139" s="618"/>
      <c r="AJ139" s="618"/>
      <c r="AK139" s="618"/>
      <c r="AL139" s="618"/>
      <c r="AM139" s="618"/>
      <c r="AN139" s="3"/>
      <c r="AO139" s="3"/>
      <c r="AP139" s="3"/>
      <c r="AQ139" s="3"/>
      <c r="AR139" s="3"/>
      <c r="AS139" s="3"/>
      <c r="AT139" s="3"/>
      <c r="AU139" s="3"/>
      <c r="AV139" s="3"/>
      <c r="AW139" s="3"/>
      <c r="AX139" s="3"/>
      <c r="AY139" s="3"/>
      <c r="AZ139" s="3"/>
      <c r="BA139" s="3"/>
      <c r="BB139" s="3"/>
      <c r="BC139" s="3"/>
      <c r="BD139" s="3"/>
      <c r="BE139" s="3"/>
      <c r="BF139" s="3"/>
    </row>
    <row r="140" spans="1:58" ht="14.25" customHeight="1" x14ac:dyDescent="0.45">
      <c r="A140" s="4"/>
      <c r="B140" s="4"/>
      <c r="C140" s="160"/>
      <c r="D140" s="111" t="s">
        <v>51</v>
      </c>
      <c r="E140" s="174">
        <f t="shared" ref="E140:H142" si="2">$E$134/E130</f>
        <v>2.1285187724045862</v>
      </c>
      <c r="F140" s="174">
        <f t="shared" si="2"/>
        <v>2.3291164950963927</v>
      </c>
      <c r="G140" s="174">
        <f t="shared" si="2"/>
        <v>2.700317451051784</v>
      </c>
      <c r="H140" s="174">
        <f t="shared" si="2"/>
        <v>2.2370378964998117</v>
      </c>
      <c r="I140" s="161">
        <f>AVERAGE(E140:H140)</f>
        <v>2.348747653763144</v>
      </c>
      <c r="J140" s="618"/>
      <c r="K140" s="618"/>
      <c r="L140" s="618"/>
      <c r="M140" s="618"/>
      <c r="N140" s="618"/>
      <c r="O140" s="618"/>
      <c r="P140" s="618"/>
      <c r="Q140" s="618"/>
      <c r="R140" s="618"/>
      <c r="S140" s="618"/>
      <c r="T140" s="618"/>
      <c r="U140" s="618"/>
      <c r="V140" s="618"/>
      <c r="W140" s="618"/>
      <c r="X140" s="618"/>
      <c r="Y140" s="618"/>
      <c r="Z140" s="618"/>
      <c r="AA140" s="618"/>
      <c r="AB140" s="618"/>
      <c r="AC140" s="618"/>
      <c r="AD140" s="618"/>
      <c r="AE140" s="618"/>
      <c r="AF140" s="618"/>
      <c r="AG140" s="618"/>
      <c r="AH140" s="618"/>
      <c r="AI140" s="618"/>
      <c r="AJ140" s="618"/>
      <c r="AK140" s="618"/>
      <c r="AL140" s="618"/>
      <c r="AM140" s="618"/>
      <c r="AN140" s="3"/>
      <c r="AO140" s="3"/>
      <c r="AP140" s="3"/>
      <c r="AQ140" s="3"/>
      <c r="AR140" s="3"/>
      <c r="AS140" s="3"/>
      <c r="AT140" s="3"/>
      <c r="AU140" s="3"/>
      <c r="AV140" s="3"/>
      <c r="AW140" s="3"/>
      <c r="AX140" s="3"/>
      <c r="AY140" s="3"/>
      <c r="AZ140" s="3"/>
      <c r="BA140" s="3"/>
      <c r="BB140" s="3"/>
      <c r="BC140" s="3"/>
      <c r="BD140" s="3"/>
      <c r="BE140" s="3"/>
      <c r="BF140" s="3"/>
    </row>
    <row r="141" spans="1:58" ht="14.25" customHeight="1" x14ac:dyDescent="0.45">
      <c r="A141" s="4"/>
      <c r="B141" s="4"/>
      <c r="C141" s="160"/>
      <c r="D141" s="111" t="s">
        <v>50</v>
      </c>
      <c r="E141" s="174">
        <f t="shared" si="2"/>
        <v>2.7606078297760361</v>
      </c>
      <c r="F141" s="174">
        <f t="shared" si="2"/>
        <v>3.0200775036658958</v>
      </c>
      <c r="G141" s="174">
        <f t="shared" si="2"/>
        <v>3.0302549290272109</v>
      </c>
      <c r="H141" s="174">
        <f t="shared" si="2"/>
        <v>2.8528531151652134</v>
      </c>
      <c r="I141" s="161">
        <f>AVERAGE(E141:H141)</f>
        <v>2.915948344408589</v>
      </c>
      <c r="J141" s="618"/>
      <c r="K141" s="618"/>
      <c r="L141" s="618"/>
      <c r="M141" s="618"/>
      <c r="N141" s="618"/>
      <c r="O141" s="618"/>
      <c r="P141" s="618"/>
      <c r="Q141" s="618"/>
      <c r="R141" s="618"/>
      <c r="S141" s="618"/>
      <c r="T141" s="618"/>
      <c r="U141" s="618"/>
      <c r="V141" s="618"/>
      <c r="W141" s="618"/>
      <c r="X141" s="618"/>
      <c r="Y141" s="618"/>
      <c r="Z141" s="618"/>
      <c r="AA141" s="618"/>
      <c r="AB141" s="618"/>
      <c r="AC141" s="618"/>
      <c r="AD141" s="618"/>
      <c r="AE141" s="618"/>
      <c r="AF141" s="618"/>
      <c r="AG141" s="618"/>
      <c r="AH141" s="618"/>
      <c r="AI141" s="618"/>
      <c r="AJ141" s="618"/>
      <c r="AK141" s="618"/>
      <c r="AL141" s="618"/>
      <c r="AM141" s="618"/>
      <c r="AN141" s="3"/>
      <c r="AO141" s="3"/>
      <c r="AP141" s="3"/>
      <c r="AQ141" s="3"/>
      <c r="AR141" s="3"/>
      <c r="AS141" s="3"/>
      <c r="AT141" s="3"/>
      <c r="AU141" s="3"/>
      <c r="AV141" s="3"/>
      <c r="AW141" s="3"/>
      <c r="AX141" s="3"/>
      <c r="AY141" s="3"/>
      <c r="AZ141" s="3"/>
      <c r="BA141" s="3"/>
      <c r="BB141" s="3"/>
      <c r="BC141" s="3"/>
      <c r="BD141" s="3"/>
      <c r="BE141" s="3"/>
      <c r="BF141" s="3"/>
    </row>
    <row r="142" spans="1:58" ht="14.25" customHeight="1" x14ac:dyDescent="0.45">
      <c r="A142" s="4"/>
      <c r="B142" s="4"/>
      <c r="C142" s="139"/>
      <c r="D142" s="166" t="s">
        <v>76</v>
      </c>
      <c r="E142" s="175">
        <f t="shared" si="2"/>
        <v>5.9541298050205027</v>
      </c>
      <c r="F142" s="175">
        <f t="shared" si="2"/>
        <v>6.1418387983134854</v>
      </c>
      <c r="G142" s="175">
        <f t="shared" si="2"/>
        <v>6.5056618702753655</v>
      </c>
      <c r="H142" s="175">
        <f t="shared" si="2"/>
        <v>6.3799110720443251</v>
      </c>
      <c r="I142" s="176">
        <f>AVERAGE(E142:H142)</f>
        <v>6.2453853864134201</v>
      </c>
      <c r="J142" s="618"/>
      <c r="K142" s="618"/>
      <c r="L142" s="618"/>
      <c r="M142" s="618"/>
      <c r="N142" s="618"/>
      <c r="O142" s="618"/>
      <c r="P142" s="618"/>
      <c r="Q142" s="618"/>
      <c r="R142" s="618"/>
      <c r="S142" s="618"/>
      <c r="T142" s="618"/>
      <c r="U142" s="618"/>
      <c r="V142" s="618"/>
      <c r="W142" s="618"/>
      <c r="X142" s="618"/>
      <c r="Y142" s="618"/>
      <c r="Z142" s="618"/>
      <c r="AA142" s="618"/>
      <c r="AB142" s="618"/>
      <c r="AC142" s="618"/>
      <c r="AD142" s="618"/>
      <c r="AE142" s="618"/>
      <c r="AF142" s="618"/>
      <c r="AG142" s="618"/>
      <c r="AH142" s="618"/>
      <c r="AI142" s="618"/>
      <c r="AJ142" s="618"/>
      <c r="AK142" s="618"/>
      <c r="AL142" s="618"/>
      <c r="AM142" s="618"/>
      <c r="AN142" s="3"/>
      <c r="AO142" s="3"/>
      <c r="AP142" s="3"/>
      <c r="AQ142" s="3"/>
      <c r="AR142" s="3"/>
      <c r="AS142" s="3"/>
      <c r="AT142" s="3"/>
      <c r="AU142" s="3"/>
      <c r="AV142" s="3"/>
      <c r="AW142" s="3"/>
      <c r="AX142" s="3"/>
      <c r="AY142" s="3"/>
      <c r="AZ142" s="3"/>
      <c r="BA142" s="3"/>
      <c r="BB142" s="3"/>
      <c r="BC142" s="3"/>
      <c r="BD142" s="3"/>
      <c r="BE142" s="3"/>
      <c r="BF142" s="3"/>
    </row>
    <row r="143" spans="1:58" ht="14.25" customHeight="1" x14ac:dyDescent="0.45">
      <c r="A143" s="618"/>
      <c r="B143" s="618"/>
      <c r="C143" s="618"/>
      <c r="D143" s="618"/>
      <c r="E143" s="618"/>
      <c r="F143" s="618"/>
      <c r="G143" s="618"/>
      <c r="H143" s="618"/>
      <c r="I143" s="618"/>
      <c r="J143" s="618"/>
      <c r="K143" s="618"/>
      <c r="L143" s="618"/>
      <c r="M143" s="618"/>
      <c r="N143" s="618"/>
      <c r="O143" s="618"/>
      <c r="P143" s="618"/>
      <c r="Q143" s="618"/>
      <c r="R143" s="618"/>
      <c r="S143" s="618"/>
      <c r="T143" s="618"/>
      <c r="U143" s="618"/>
      <c r="V143" s="618"/>
      <c r="W143" s="618"/>
      <c r="X143" s="618"/>
      <c r="Y143" s="618"/>
      <c r="Z143" s="618"/>
      <c r="AA143" s="618"/>
      <c r="AB143" s="618"/>
      <c r="AC143" s="618"/>
      <c r="AD143" s="618"/>
      <c r="AE143" s="618"/>
      <c r="AF143" s="618"/>
      <c r="AG143" s="618"/>
      <c r="AH143" s="618"/>
      <c r="AI143" s="618"/>
      <c r="AJ143" s="618"/>
      <c r="AK143" s="618"/>
      <c r="AL143" s="618"/>
      <c r="AM143" s="618"/>
      <c r="AN143" s="3"/>
      <c r="AO143" s="3"/>
      <c r="AP143" s="3"/>
      <c r="AQ143" s="3"/>
      <c r="AR143" s="3"/>
      <c r="AS143" s="3"/>
      <c r="AT143" s="3"/>
      <c r="AU143" s="3"/>
      <c r="AV143" s="3"/>
      <c r="AW143" s="3"/>
      <c r="AX143" s="3"/>
      <c r="AY143" s="3"/>
      <c r="AZ143" s="3"/>
      <c r="BA143" s="3"/>
      <c r="BB143" s="3"/>
      <c r="BC143" s="3"/>
      <c r="BD143" s="3"/>
      <c r="BE143" s="3"/>
      <c r="BF143" s="3"/>
    </row>
    <row r="144" spans="1:58" ht="14.25" customHeight="1" x14ac:dyDescent="0.45">
      <c r="A144" s="4"/>
      <c r="B144" s="4"/>
      <c r="C144" s="8"/>
      <c r="D144" s="122" t="s">
        <v>78</v>
      </c>
      <c r="E144" s="123">
        <v>2018</v>
      </c>
      <c r="F144" s="123">
        <v>2019</v>
      </c>
      <c r="G144" s="123">
        <v>2020</v>
      </c>
      <c r="H144" s="123">
        <v>2021</v>
      </c>
      <c r="I144" s="141">
        <v>2022</v>
      </c>
      <c r="J144" s="141">
        <v>2023</v>
      </c>
      <c r="K144" s="141">
        <v>2024</v>
      </c>
      <c r="L144" s="141">
        <v>2025</v>
      </c>
      <c r="M144" s="141">
        <v>2026</v>
      </c>
      <c r="N144" s="141">
        <v>2027</v>
      </c>
      <c r="O144" s="141">
        <v>2028</v>
      </c>
      <c r="P144" s="141">
        <v>2029</v>
      </c>
      <c r="Q144" s="141">
        <v>2030</v>
      </c>
      <c r="R144" s="141">
        <v>2031</v>
      </c>
      <c r="S144" s="141">
        <v>2032</v>
      </c>
      <c r="T144" s="141">
        <v>2033</v>
      </c>
      <c r="U144" s="141">
        <v>2034</v>
      </c>
      <c r="V144" s="141">
        <v>2035</v>
      </c>
      <c r="W144" s="141">
        <v>2036</v>
      </c>
      <c r="X144" s="141">
        <v>2037</v>
      </c>
      <c r="Y144" s="141">
        <v>2038</v>
      </c>
      <c r="Z144" s="141">
        <v>2039</v>
      </c>
      <c r="AA144" s="141">
        <v>2040</v>
      </c>
      <c r="AB144" s="141">
        <v>2041</v>
      </c>
      <c r="AC144" s="141">
        <v>2042</v>
      </c>
      <c r="AD144" s="141">
        <v>2043</v>
      </c>
      <c r="AE144" s="141">
        <v>2044</v>
      </c>
      <c r="AF144" s="141">
        <v>2045</v>
      </c>
      <c r="AG144" s="141">
        <v>2046</v>
      </c>
      <c r="AH144" s="141">
        <v>2047</v>
      </c>
      <c r="AI144" s="141">
        <v>2048</v>
      </c>
      <c r="AJ144" s="141">
        <v>2049</v>
      </c>
      <c r="AK144" s="141">
        <v>2050</v>
      </c>
      <c r="AL144" s="141">
        <v>2051</v>
      </c>
      <c r="AM144" s="141">
        <v>2052</v>
      </c>
      <c r="AN144" s="141">
        <v>2053</v>
      </c>
      <c r="AO144" s="141">
        <v>2054</v>
      </c>
      <c r="AP144" s="141">
        <v>2055</v>
      </c>
      <c r="AQ144" s="141">
        <v>2056</v>
      </c>
      <c r="AR144" s="141">
        <v>2057</v>
      </c>
      <c r="AS144" s="141">
        <v>2058</v>
      </c>
      <c r="AT144" s="142">
        <v>2059</v>
      </c>
      <c r="AU144" s="141">
        <v>2060</v>
      </c>
      <c r="AV144" s="141">
        <v>2061</v>
      </c>
      <c r="AW144" s="141">
        <v>2062</v>
      </c>
      <c r="AX144" s="141">
        <v>2063</v>
      </c>
      <c r="AY144" s="141">
        <v>2064</v>
      </c>
      <c r="AZ144" s="141">
        <v>2065</v>
      </c>
      <c r="BA144" s="141">
        <v>2066</v>
      </c>
      <c r="BB144" s="141">
        <v>2067</v>
      </c>
      <c r="BC144" s="142">
        <v>2068</v>
      </c>
      <c r="BD144" s="141">
        <v>2069</v>
      </c>
      <c r="BE144" s="142">
        <v>2070</v>
      </c>
      <c r="BF144" s="3"/>
    </row>
    <row r="145" spans="1:58" ht="14.25" customHeight="1" x14ac:dyDescent="0.45">
      <c r="A145" s="618">
        <v>1</v>
      </c>
      <c r="B145" s="10" t="s">
        <v>79</v>
      </c>
      <c r="C145" s="130"/>
      <c r="D145" s="115" t="s">
        <v>41</v>
      </c>
      <c r="E145" s="132">
        <f>'Copia de Combustibles'!D130*$E$305</f>
        <v>753.92003052583027</v>
      </c>
      <c r="F145" s="132">
        <f>'Copia de Combustibles'!E130*$E$305</f>
        <v>796.96985310197272</v>
      </c>
      <c r="G145" s="132">
        <f>'Copia de Combustibles'!F130*$E$305</f>
        <v>735.29581033893191</v>
      </c>
      <c r="H145" s="132">
        <f>'Copia de Combustibles'!G130*$E$305</f>
        <v>682.98298374602746</v>
      </c>
      <c r="I145" s="177">
        <v>685.57</v>
      </c>
      <c r="J145" s="177">
        <v>638.6</v>
      </c>
      <c r="K145" s="177">
        <v>586.91</v>
      </c>
      <c r="L145" s="177">
        <v>541.05999999999995</v>
      </c>
      <c r="M145" s="177">
        <v>317.37</v>
      </c>
      <c r="N145" s="177">
        <v>323.52</v>
      </c>
      <c r="O145" s="177">
        <v>341.26</v>
      </c>
      <c r="P145" s="177">
        <v>359.94</v>
      </c>
      <c r="Q145" s="177">
        <v>379.08</v>
      </c>
      <c r="R145" s="177">
        <v>381.88</v>
      </c>
      <c r="S145" s="177">
        <v>357.9</v>
      </c>
      <c r="T145" s="177">
        <v>335</v>
      </c>
      <c r="U145" s="177">
        <v>311.81</v>
      </c>
      <c r="V145" s="177">
        <v>286.07</v>
      </c>
      <c r="W145" s="177">
        <v>259.54000000000002</v>
      </c>
      <c r="X145" s="177">
        <v>236.7</v>
      </c>
      <c r="Y145" s="132">
        <v>0</v>
      </c>
      <c r="Z145" s="132">
        <v>0</v>
      </c>
      <c r="AA145" s="132">
        <v>0</v>
      </c>
      <c r="AB145" s="132">
        <v>0</v>
      </c>
      <c r="AC145" s="132">
        <v>0</v>
      </c>
      <c r="AD145" s="132">
        <v>0</v>
      </c>
      <c r="AE145" s="132">
        <v>0</v>
      </c>
      <c r="AF145" s="132">
        <v>0</v>
      </c>
      <c r="AG145" s="132">
        <v>0</v>
      </c>
      <c r="AH145" s="132">
        <v>0</v>
      </c>
      <c r="AI145" s="132">
        <v>0</v>
      </c>
      <c r="AJ145" s="132">
        <v>0</v>
      </c>
      <c r="AK145" s="132">
        <v>0</v>
      </c>
      <c r="AL145" s="132">
        <v>0</v>
      </c>
      <c r="AM145" s="132">
        <v>0</v>
      </c>
      <c r="AN145" s="132">
        <v>0</v>
      </c>
      <c r="AO145" s="132">
        <v>0</v>
      </c>
      <c r="AP145" s="132">
        <v>0</v>
      </c>
      <c r="AQ145" s="132">
        <v>0</v>
      </c>
      <c r="AR145" s="132">
        <v>0</v>
      </c>
      <c r="AS145" s="132">
        <v>0</v>
      </c>
      <c r="AT145" s="132">
        <v>0</v>
      </c>
      <c r="AU145" s="132">
        <v>0</v>
      </c>
      <c r="AV145" s="132">
        <v>0</v>
      </c>
      <c r="AW145" s="132">
        <v>0</v>
      </c>
      <c r="AX145" s="132">
        <v>0</v>
      </c>
      <c r="AY145" s="132">
        <v>0</v>
      </c>
      <c r="AZ145" s="132">
        <v>0</v>
      </c>
      <c r="BA145" s="132">
        <v>0</v>
      </c>
      <c r="BB145" s="132">
        <v>0</v>
      </c>
      <c r="BC145" s="132">
        <v>0</v>
      </c>
      <c r="BD145" s="132">
        <v>0</v>
      </c>
      <c r="BE145" s="132">
        <v>0</v>
      </c>
      <c r="BF145" s="3"/>
    </row>
    <row r="146" spans="1:58" ht="14.25" customHeight="1" x14ac:dyDescent="0.45">
      <c r="A146" s="618">
        <v>1</v>
      </c>
      <c r="B146" s="10" t="s">
        <v>80</v>
      </c>
      <c r="C146" s="130"/>
      <c r="D146" s="115" t="s">
        <v>49</v>
      </c>
      <c r="E146" s="132"/>
      <c r="F146" s="132">
        <f>'Copia de Combustibles'!E131*$E$305</f>
        <v>0.12451092049162038</v>
      </c>
      <c r="G146" s="132"/>
      <c r="H146" s="132">
        <f>'Copia de Combustibles'!G131*$E$305</f>
        <v>3.9361462349684806</v>
      </c>
      <c r="I146" s="132">
        <v>0</v>
      </c>
      <c r="J146" s="132">
        <v>0</v>
      </c>
      <c r="K146" s="132">
        <v>0</v>
      </c>
      <c r="L146" s="132">
        <v>0</v>
      </c>
      <c r="M146" s="132">
        <v>0</v>
      </c>
      <c r="N146" s="132">
        <v>0</v>
      </c>
      <c r="O146" s="132">
        <v>0</v>
      </c>
      <c r="P146" s="132">
        <v>0</v>
      </c>
      <c r="Q146" s="132">
        <v>0</v>
      </c>
      <c r="R146" s="132">
        <v>0</v>
      </c>
      <c r="S146" s="132">
        <v>0</v>
      </c>
      <c r="T146" s="132">
        <v>0</v>
      </c>
      <c r="U146" s="132">
        <v>0</v>
      </c>
      <c r="V146" s="132">
        <v>0</v>
      </c>
      <c r="W146" s="132">
        <v>0</v>
      </c>
      <c r="X146" s="132">
        <v>0</v>
      </c>
      <c r="Y146" s="132">
        <v>0</v>
      </c>
      <c r="Z146" s="132">
        <v>0</v>
      </c>
      <c r="AA146" s="132">
        <v>0</v>
      </c>
      <c r="AB146" s="132">
        <v>0</v>
      </c>
      <c r="AC146" s="132">
        <v>0</v>
      </c>
      <c r="AD146" s="132">
        <v>0</v>
      </c>
      <c r="AE146" s="132">
        <v>0</v>
      </c>
      <c r="AF146" s="132">
        <v>0</v>
      </c>
      <c r="AG146" s="132">
        <v>0</v>
      </c>
      <c r="AH146" s="132">
        <v>0</v>
      </c>
      <c r="AI146" s="132">
        <v>0</v>
      </c>
      <c r="AJ146" s="132">
        <v>0</v>
      </c>
      <c r="AK146" s="132">
        <v>0</v>
      </c>
      <c r="AL146" s="132">
        <v>0</v>
      </c>
      <c r="AM146" s="132">
        <v>0</v>
      </c>
      <c r="AN146" s="132">
        <v>0</v>
      </c>
      <c r="AO146" s="132">
        <v>0</v>
      </c>
      <c r="AP146" s="132">
        <v>0</v>
      </c>
      <c r="AQ146" s="132">
        <v>0</v>
      </c>
      <c r="AR146" s="132">
        <v>0</v>
      </c>
      <c r="AS146" s="132">
        <v>0</v>
      </c>
      <c r="AT146" s="132">
        <v>0</v>
      </c>
      <c r="AU146" s="132">
        <v>0</v>
      </c>
      <c r="AV146" s="132">
        <v>0</v>
      </c>
      <c r="AW146" s="132">
        <v>0</v>
      </c>
      <c r="AX146" s="132">
        <v>0</v>
      </c>
      <c r="AY146" s="132">
        <v>0</v>
      </c>
      <c r="AZ146" s="132">
        <v>0</v>
      </c>
      <c r="BA146" s="132">
        <v>0</v>
      </c>
      <c r="BB146" s="132">
        <v>0</v>
      </c>
      <c r="BC146" s="132">
        <v>0</v>
      </c>
      <c r="BD146" s="132">
        <v>0</v>
      </c>
      <c r="BE146" s="132">
        <v>0</v>
      </c>
      <c r="BF146" s="3"/>
    </row>
    <row r="147" spans="1:58" ht="14.25" customHeight="1" x14ac:dyDescent="0.45">
      <c r="A147" s="618">
        <v>1</v>
      </c>
      <c r="B147" s="11" t="s">
        <v>81</v>
      </c>
      <c r="C147" s="130"/>
      <c r="D147" s="115" t="s">
        <v>50</v>
      </c>
      <c r="E147" s="132"/>
      <c r="F147" s="132">
        <f>'Copia de Combustibles'!E132*$E$305</f>
        <v>0.17331841572061829</v>
      </c>
      <c r="G147" s="132"/>
      <c r="H147" s="132"/>
      <c r="I147" s="132">
        <v>0</v>
      </c>
      <c r="J147" s="132">
        <v>0</v>
      </c>
      <c r="K147" s="132">
        <v>0</v>
      </c>
      <c r="L147" s="132">
        <v>0</v>
      </c>
      <c r="M147" s="132">
        <v>0</v>
      </c>
      <c r="N147" s="132">
        <v>0</v>
      </c>
      <c r="O147" s="132">
        <v>0</v>
      </c>
      <c r="P147" s="132">
        <v>0</v>
      </c>
      <c r="Q147" s="132">
        <v>0</v>
      </c>
      <c r="R147" s="132">
        <v>0</v>
      </c>
      <c r="S147" s="132">
        <v>0</v>
      </c>
      <c r="T147" s="132">
        <v>0</v>
      </c>
      <c r="U147" s="132">
        <v>0</v>
      </c>
      <c r="V147" s="132">
        <v>0</v>
      </c>
      <c r="W147" s="132">
        <v>0</v>
      </c>
      <c r="X147" s="132">
        <v>0</v>
      </c>
      <c r="Y147" s="132">
        <v>0</v>
      </c>
      <c r="Z147" s="132">
        <v>0</v>
      </c>
      <c r="AA147" s="132">
        <v>0</v>
      </c>
      <c r="AB147" s="132">
        <v>0</v>
      </c>
      <c r="AC147" s="132">
        <v>0</v>
      </c>
      <c r="AD147" s="132">
        <v>0</v>
      </c>
      <c r="AE147" s="132">
        <v>0</v>
      </c>
      <c r="AF147" s="132">
        <v>0</v>
      </c>
      <c r="AG147" s="132">
        <v>0</v>
      </c>
      <c r="AH147" s="132">
        <v>0</v>
      </c>
      <c r="AI147" s="132">
        <v>0</v>
      </c>
      <c r="AJ147" s="132">
        <v>0</v>
      </c>
      <c r="AK147" s="132">
        <v>0</v>
      </c>
      <c r="AL147" s="132">
        <v>0</v>
      </c>
      <c r="AM147" s="132">
        <v>0</v>
      </c>
      <c r="AN147" s="132">
        <v>0</v>
      </c>
      <c r="AO147" s="132">
        <v>0</v>
      </c>
      <c r="AP147" s="132">
        <v>0</v>
      </c>
      <c r="AQ147" s="132">
        <v>0</v>
      </c>
      <c r="AR147" s="132">
        <v>0</v>
      </c>
      <c r="AS147" s="132">
        <v>0</v>
      </c>
      <c r="AT147" s="132">
        <v>0</v>
      </c>
      <c r="AU147" s="132">
        <v>0</v>
      </c>
      <c r="AV147" s="132">
        <v>0</v>
      </c>
      <c r="AW147" s="132">
        <v>0</v>
      </c>
      <c r="AX147" s="132">
        <v>0</v>
      </c>
      <c r="AY147" s="132">
        <v>0</v>
      </c>
      <c r="AZ147" s="132">
        <v>0</v>
      </c>
      <c r="BA147" s="132">
        <v>0</v>
      </c>
      <c r="BB147" s="132">
        <v>0</v>
      </c>
      <c r="BC147" s="132">
        <v>0</v>
      </c>
      <c r="BD147" s="132">
        <v>0</v>
      </c>
      <c r="BE147" s="132">
        <v>0</v>
      </c>
      <c r="BF147" s="3"/>
    </row>
    <row r="148" spans="1:58" ht="14.25" customHeight="1" x14ac:dyDescent="0.45">
      <c r="A148" s="618">
        <v>1</v>
      </c>
      <c r="B148" s="10" t="s">
        <v>82</v>
      </c>
      <c r="C148" s="130"/>
      <c r="D148" s="115" t="s">
        <v>51</v>
      </c>
      <c r="E148" s="132"/>
      <c r="F148" s="132"/>
      <c r="G148" s="132"/>
      <c r="H148" s="132"/>
      <c r="I148" s="132">
        <v>0</v>
      </c>
      <c r="J148" s="132">
        <v>0</v>
      </c>
      <c r="K148" s="132">
        <v>0</v>
      </c>
      <c r="L148" s="132">
        <v>0</v>
      </c>
      <c r="M148" s="132">
        <v>0</v>
      </c>
      <c r="N148" s="132">
        <v>0</v>
      </c>
      <c r="O148" s="132">
        <v>0</v>
      </c>
      <c r="P148" s="132">
        <v>0</v>
      </c>
      <c r="Q148" s="132">
        <v>0</v>
      </c>
      <c r="R148" s="132">
        <v>0</v>
      </c>
      <c r="S148" s="132">
        <v>0</v>
      </c>
      <c r="T148" s="132">
        <v>0</v>
      </c>
      <c r="U148" s="132">
        <v>0</v>
      </c>
      <c r="V148" s="132">
        <v>0</v>
      </c>
      <c r="W148" s="132">
        <v>0</v>
      </c>
      <c r="X148" s="132">
        <v>0</v>
      </c>
      <c r="Y148" s="132">
        <v>0</v>
      </c>
      <c r="Z148" s="132">
        <v>0</v>
      </c>
      <c r="AA148" s="132">
        <v>0</v>
      </c>
      <c r="AB148" s="132">
        <v>0</v>
      </c>
      <c r="AC148" s="132">
        <v>0</v>
      </c>
      <c r="AD148" s="132">
        <v>0</v>
      </c>
      <c r="AE148" s="132">
        <v>0</v>
      </c>
      <c r="AF148" s="132">
        <v>0</v>
      </c>
      <c r="AG148" s="132">
        <v>0</v>
      </c>
      <c r="AH148" s="132">
        <v>0</v>
      </c>
      <c r="AI148" s="132">
        <v>0</v>
      </c>
      <c r="AJ148" s="132">
        <v>0</v>
      </c>
      <c r="AK148" s="132">
        <v>0</v>
      </c>
      <c r="AL148" s="132">
        <v>0</v>
      </c>
      <c r="AM148" s="132">
        <v>0</v>
      </c>
      <c r="AN148" s="132">
        <v>0</v>
      </c>
      <c r="AO148" s="132">
        <v>0</v>
      </c>
      <c r="AP148" s="132">
        <v>0</v>
      </c>
      <c r="AQ148" s="132">
        <v>0</v>
      </c>
      <c r="AR148" s="132">
        <v>0</v>
      </c>
      <c r="AS148" s="132">
        <v>0</v>
      </c>
      <c r="AT148" s="132">
        <v>0</v>
      </c>
      <c r="AU148" s="132">
        <v>0</v>
      </c>
      <c r="AV148" s="132">
        <v>0</v>
      </c>
      <c r="AW148" s="132">
        <v>0</v>
      </c>
      <c r="AX148" s="132">
        <v>0</v>
      </c>
      <c r="AY148" s="132">
        <v>0</v>
      </c>
      <c r="AZ148" s="132">
        <v>0</v>
      </c>
      <c r="BA148" s="132">
        <v>0</v>
      </c>
      <c r="BB148" s="132">
        <v>0</v>
      </c>
      <c r="BC148" s="132">
        <v>0</v>
      </c>
      <c r="BD148" s="132">
        <v>0</v>
      </c>
      <c r="BE148" s="132">
        <v>0</v>
      </c>
      <c r="BF148" s="3"/>
    </row>
    <row r="149" spans="1:58" ht="14.25" customHeight="1" x14ac:dyDescent="0.45">
      <c r="A149" s="618">
        <v>1</v>
      </c>
      <c r="B149" s="10" t="s">
        <v>83</v>
      </c>
      <c r="C149" s="130"/>
      <c r="D149" s="115" t="s">
        <v>52</v>
      </c>
      <c r="E149" s="132">
        <f>'Copia de Combustibles'!D134*$E$305</f>
        <v>92.112073053208121</v>
      </c>
      <c r="F149" s="132">
        <f>'Copia de Combustibles'!E134*$E$305</f>
        <v>85.703651555256656</v>
      </c>
      <c r="G149" s="132">
        <f>'Copia de Combustibles'!F134*$E$305</f>
        <v>85.165860315981391</v>
      </c>
      <c r="H149" s="132">
        <f>'Copia de Combustibles'!G134*$E$305</f>
        <v>88.949461306124121</v>
      </c>
      <c r="I149" s="132">
        <v>91.65</v>
      </c>
      <c r="J149" s="132">
        <v>89.88</v>
      </c>
      <c r="K149" s="132">
        <v>91.46</v>
      </c>
      <c r="L149" s="132">
        <v>90.16</v>
      </c>
      <c r="M149" s="132">
        <v>91.68</v>
      </c>
      <c r="N149" s="132">
        <v>90.04</v>
      </c>
      <c r="O149" s="132">
        <v>91.36</v>
      </c>
      <c r="P149" s="132">
        <v>90.61</v>
      </c>
      <c r="Q149" s="132">
        <v>91.51</v>
      </c>
      <c r="R149" s="132">
        <v>90.24</v>
      </c>
      <c r="S149" s="132">
        <v>91.39</v>
      </c>
      <c r="T149" s="132">
        <v>90.45</v>
      </c>
      <c r="U149" s="132">
        <v>91.37</v>
      </c>
      <c r="V149" s="132">
        <v>90.76</v>
      </c>
      <c r="W149" s="132">
        <v>91.23</v>
      </c>
      <c r="X149" s="132">
        <v>90.86</v>
      </c>
      <c r="Y149" s="132">
        <v>91.27</v>
      </c>
      <c r="Z149" s="132">
        <v>90.79</v>
      </c>
      <c r="AA149" s="132">
        <v>91.27</v>
      </c>
      <c r="AB149" s="132">
        <v>90.93</v>
      </c>
      <c r="AC149" s="132">
        <v>91.26</v>
      </c>
      <c r="AD149" s="132">
        <v>91.21</v>
      </c>
      <c r="AE149" s="132">
        <v>91.25</v>
      </c>
      <c r="AF149" s="132">
        <v>91.18</v>
      </c>
      <c r="AG149" s="132">
        <v>91.18</v>
      </c>
      <c r="AH149" s="132">
        <v>91.21</v>
      </c>
      <c r="AI149" s="132">
        <v>91.39</v>
      </c>
      <c r="AJ149" s="132">
        <v>91.23</v>
      </c>
      <c r="AK149" s="132">
        <v>91.37</v>
      </c>
      <c r="AL149" s="132">
        <v>91.22</v>
      </c>
      <c r="AM149" s="132">
        <v>91.22</v>
      </c>
      <c r="AN149" s="132">
        <v>91.25</v>
      </c>
      <c r="AO149" s="132">
        <v>91.25</v>
      </c>
      <c r="AP149" s="132">
        <v>91.25</v>
      </c>
      <c r="AQ149" s="132">
        <v>91.25</v>
      </c>
      <c r="AR149" s="132">
        <v>91.26</v>
      </c>
      <c r="AS149" s="132">
        <v>91.27</v>
      </c>
      <c r="AT149" s="132">
        <v>91.27</v>
      </c>
      <c r="AU149" s="132">
        <v>91.26</v>
      </c>
      <c r="AV149" s="132">
        <v>91.26</v>
      </c>
      <c r="AW149" s="132">
        <v>91.25</v>
      </c>
      <c r="AX149" s="132">
        <v>91.25</v>
      </c>
      <c r="AY149" s="132">
        <v>91.25</v>
      </c>
      <c r="AZ149" s="132">
        <v>91.25</v>
      </c>
      <c r="BA149" s="132">
        <v>91.26</v>
      </c>
      <c r="BB149" s="132">
        <v>91.26</v>
      </c>
      <c r="BC149" s="132">
        <v>91.26</v>
      </c>
      <c r="BD149" s="132">
        <v>91.26</v>
      </c>
      <c r="BE149" s="132">
        <v>91.26</v>
      </c>
      <c r="BF149" s="3"/>
    </row>
    <row r="150" spans="1:58" ht="14.25" customHeight="1" x14ac:dyDescent="0.45">
      <c r="A150" s="618">
        <v>1</v>
      </c>
      <c r="B150" s="618"/>
      <c r="C150" s="130"/>
      <c r="D150" s="115" t="s">
        <v>53</v>
      </c>
      <c r="E150" s="132"/>
      <c r="F150" s="132"/>
      <c r="G150" s="132"/>
      <c r="H150" s="132"/>
      <c r="I150" s="132">
        <v>0</v>
      </c>
      <c r="J150" s="132">
        <v>0</v>
      </c>
      <c r="K150" s="132">
        <v>0</v>
      </c>
      <c r="L150" s="132">
        <v>0</v>
      </c>
      <c r="M150" s="132">
        <v>0</v>
      </c>
      <c r="N150" s="132">
        <v>0</v>
      </c>
      <c r="O150" s="132">
        <v>0</v>
      </c>
      <c r="P150" s="132">
        <v>0</v>
      </c>
      <c r="Q150" s="132">
        <v>0</v>
      </c>
      <c r="R150" s="132">
        <v>0</v>
      </c>
      <c r="S150" s="132">
        <v>0</v>
      </c>
      <c r="T150" s="132">
        <v>0</v>
      </c>
      <c r="U150" s="132">
        <v>0</v>
      </c>
      <c r="V150" s="132">
        <v>0</v>
      </c>
      <c r="W150" s="132">
        <v>0</v>
      </c>
      <c r="X150" s="132">
        <v>0</v>
      </c>
      <c r="Y150" s="132">
        <v>0</v>
      </c>
      <c r="Z150" s="132">
        <v>0</v>
      </c>
      <c r="AA150" s="132">
        <v>0</v>
      </c>
      <c r="AB150" s="132">
        <v>0</v>
      </c>
      <c r="AC150" s="132">
        <v>0</v>
      </c>
      <c r="AD150" s="132">
        <v>0</v>
      </c>
      <c r="AE150" s="132">
        <v>0</v>
      </c>
      <c r="AF150" s="132">
        <v>0</v>
      </c>
      <c r="AG150" s="132">
        <v>0</v>
      </c>
      <c r="AH150" s="132">
        <v>0</v>
      </c>
      <c r="AI150" s="132">
        <v>0</v>
      </c>
      <c r="AJ150" s="132">
        <v>0</v>
      </c>
      <c r="AK150" s="132">
        <v>0</v>
      </c>
      <c r="AL150" s="132">
        <v>0</v>
      </c>
      <c r="AM150" s="132">
        <v>0</v>
      </c>
      <c r="AN150" s="132">
        <v>0</v>
      </c>
      <c r="AO150" s="132">
        <v>0</v>
      </c>
      <c r="AP150" s="132">
        <v>0</v>
      </c>
      <c r="AQ150" s="132">
        <v>0</v>
      </c>
      <c r="AR150" s="132">
        <v>0</v>
      </c>
      <c r="AS150" s="132">
        <v>0</v>
      </c>
      <c r="AT150" s="132">
        <v>0</v>
      </c>
      <c r="AU150" s="132">
        <v>0</v>
      </c>
      <c r="AV150" s="132">
        <v>0</v>
      </c>
      <c r="AW150" s="132">
        <v>0</v>
      </c>
      <c r="AX150" s="132">
        <v>0</v>
      </c>
      <c r="AY150" s="132">
        <v>0</v>
      </c>
      <c r="AZ150" s="132">
        <v>0</v>
      </c>
      <c r="BA150" s="132">
        <v>0</v>
      </c>
      <c r="BB150" s="132">
        <v>0</v>
      </c>
      <c r="BC150" s="132">
        <v>0</v>
      </c>
      <c r="BD150" s="132">
        <v>0</v>
      </c>
      <c r="BE150" s="132">
        <v>0</v>
      </c>
      <c r="BF150" s="3"/>
    </row>
    <row r="151" spans="1:58" ht="14.25" customHeight="1" x14ac:dyDescent="0.45">
      <c r="A151" s="618">
        <v>1</v>
      </c>
      <c r="B151" s="11" t="s">
        <v>84</v>
      </c>
      <c r="C151" s="130"/>
      <c r="D151" s="115" t="s">
        <v>66</v>
      </c>
      <c r="E151" s="132">
        <f>'Copia de Combustibles'!D136*$E$305</f>
        <v>30.911147622538447</v>
      </c>
      <c r="F151" s="132">
        <f>'Copia de Combustibles'!E136*$E$305</f>
        <v>31.780154282943105</v>
      </c>
      <c r="G151" s="132">
        <f>'Copia de Combustibles'!F136*$E$305</f>
        <v>29.868855667073657</v>
      </c>
      <c r="H151" s="132">
        <f>'Copia de Combustibles'!G136*$E$305</f>
        <v>32.50662425289385</v>
      </c>
      <c r="I151" s="132">
        <v>34.889800000000001</v>
      </c>
      <c r="J151" s="132">
        <v>34.900599999999997</v>
      </c>
      <c r="K151" s="132">
        <v>34.8977</v>
      </c>
      <c r="L151" s="132">
        <v>34.913600000000002</v>
      </c>
      <c r="M151" s="132">
        <v>34.922600000000003</v>
      </c>
      <c r="N151" s="132">
        <v>34.911099999999998</v>
      </c>
      <c r="O151" s="132">
        <v>34.919600000000003</v>
      </c>
      <c r="P151" s="132">
        <v>34.938600000000001</v>
      </c>
      <c r="Q151" s="132">
        <v>34.935000000000002</v>
      </c>
      <c r="R151" s="132">
        <v>34.922600000000003</v>
      </c>
      <c r="S151" s="132">
        <v>34.938299999999998</v>
      </c>
      <c r="T151" s="132">
        <v>34.9313</v>
      </c>
      <c r="U151" s="132">
        <v>34.942500000000003</v>
      </c>
      <c r="V151" s="132">
        <v>34.942100000000003</v>
      </c>
      <c r="W151" s="132">
        <v>34.937800000000003</v>
      </c>
      <c r="X151" s="132">
        <v>34.941600000000001</v>
      </c>
      <c r="Y151" s="132">
        <v>34.938600000000001</v>
      </c>
      <c r="Z151" s="132">
        <v>34.932200000000002</v>
      </c>
      <c r="AA151" s="132">
        <v>34.935200000000002</v>
      </c>
      <c r="AB151" s="132">
        <v>34.931899999999999</v>
      </c>
      <c r="AC151" s="132">
        <v>34.930900000000001</v>
      </c>
      <c r="AD151" s="132">
        <v>34.937899999999999</v>
      </c>
      <c r="AE151" s="132">
        <v>34.927199999999999</v>
      </c>
      <c r="AF151" s="132">
        <v>34.931899999999999</v>
      </c>
      <c r="AG151" s="132">
        <v>34.922199999999997</v>
      </c>
      <c r="AH151" s="132">
        <v>34.93</v>
      </c>
      <c r="AI151" s="132">
        <v>34.930900000000001</v>
      </c>
      <c r="AJ151" s="132">
        <v>34.9298</v>
      </c>
      <c r="AK151" s="132">
        <v>34.930799999999998</v>
      </c>
      <c r="AL151" s="132">
        <f t="shared" ref="AL151:BE151" si="3">AK151</f>
        <v>34.930799999999998</v>
      </c>
      <c r="AM151" s="132">
        <f t="shared" si="3"/>
        <v>34.930799999999998</v>
      </c>
      <c r="AN151" s="132">
        <f t="shared" si="3"/>
        <v>34.930799999999998</v>
      </c>
      <c r="AO151" s="132">
        <f t="shared" si="3"/>
        <v>34.930799999999998</v>
      </c>
      <c r="AP151" s="132">
        <f t="shared" si="3"/>
        <v>34.930799999999998</v>
      </c>
      <c r="AQ151" s="132">
        <f t="shared" si="3"/>
        <v>34.930799999999998</v>
      </c>
      <c r="AR151" s="132">
        <f t="shared" si="3"/>
        <v>34.930799999999998</v>
      </c>
      <c r="AS151" s="132">
        <f t="shared" si="3"/>
        <v>34.930799999999998</v>
      </c>
      <c r="AT151" s="132">
        <f t="shared" si="3"/>
        <v>34.930799999999998</v>
      </c>
      <c r="AU151" s="132">
        <f t="shared" si="3"/>
        <v>34.930799999999998</v>
      </c>
      <c r="AV151" s="132">
        <f t="shared" si="3"/>
        <v>34.930799999999998</v>
      </c>
      <c r="AW151" s="132">
        <f t="shared" si="3"/>
        <v>34.930799999999998</v>
      </c>
      <c r="AX151" s="132">
        <f t="shared" si="3"/>
        <v>34.930799999999998</v>
      </c>
      <c r="AY151" s="132">
        <f t="shared" si="3"/>
        <v>34.930799999999998</v>
      </c>
      <c r="AZ151" s="132">
        <f t="shared" si="3"/>
        <v>34.930799999999998</v>
      </c>
      <c r="BA151" s="132">
        <f t="shared" si="3"/>
        <v>34.930799999999998</v>
      </c>
      <c r="BB151" s="132">
        <f t="shared" si="3"/>
        <v>34.930799999999998</v>
      </c>
      <c r="BC151" s="132">
        <f t="shared" si="3"/>
        <v>34.930799999999998</v>
      </c>
      <c r="BD151" s="132">
        <f t="shared" si="3"/>
        <v>34.930799999999998</v>
      </c>
      <c r="BE151" s="132">
        <f t="shared" si="3"/>
        <v>34.930799999999998</v>
      </c>
      <c r="BF151" s="3"/>
    </row>
    <row r="152" spans="1:58" ht="14.25" customHeight="1" x14ac:dyDescent="0.45">
      <c r="A152" s="618"/>
      <c r="B152" s="618"/>
      <c r="C152" s="106"/>
      <c r="D152" s="115"/>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6"/>
      <c r="AV152" s="146"/>
      <c r="AW152" s="146"/>
      <c r="AX152" s="146"/>
      <c r="AY152" s="146"/>
      <c r="AZ152" s="146"/>
      <c r="BA152" s="146"/>
      <c r="BB152" s="146"/>
      <c r="BC152" s="146"/>
      <c r="BD152" s="146"/>
      <c r="BE152" s="146"/>
      <c r="BF152" s="3"/>
    </row>
    <row r="153" spans="1:58" ht="14.25" customHeight="1" x14ac:dyDescent="0.45">
      <c r="A153" s="618"/>
      <c r="B153" s="618"/>
      <c r="C153" s="118"/>
      <c r="D153" s="119" t="s">
        <v>25</v>
      </c>
      <c r="E153" s="127">
        <f>SUM(E145:E151)</f>
        <v>876.94325120157691</v>
      </c>
      <c r="F153" s="127">
        <f>SUM(F145:F151)</f>
        <v>914.75148827638475</v>
      </c>
      <c r="G153" s="127">
        <f>SUM(G145:G151)</f>
        <v>850.33052632198689</v>
      </c>
      <c r="H153" s="127">
        <f>SUM(H145:H151)</f>
        <v>808.37521554001398</v>
      </c>
      <c r="I153" s="127">
        <f t="shared" ref="I153:BE153" si="4">SUM(I146:I150)</f>
        <v>91.65</v>
      </c>
      <c r="J153" s="127">
        <f t="shared" si="4"/>
        <v>89.88</v>
      </c>
      <c r="K153" s="127">
        <f t="shared" si="4"/>
        <v>91.46</v>
      </c>
      <c r="L153" s="127">
        <f t="shared" si="4"/>
        <v>90.16</v>
      </c>
      <c r="M153" s="127">
        <f t="shared" si="4"/>
        <v>91.68</v>
      </c>
      <c r="N153" s="127">
        <f t="shared" si="4"/>
        <v>90.04</v>
      </c>
      <c r="O153" s="127">
        <f t="shared" si="4"/>
        <v>91.36</v>
      </c>
      <c r="P153" s="127">
        <f t="shared" si="4"/>
        <v>90.61</v>
      </c>
      <c r="Q153" s="127">
        <f t="shared" si="4"/>
        <v>91.51</v>
      </c>
      <c r="R153" s="127">
        <f t="shared" si="4"/>
        <v>90.24</v>
      </c>
      <c r="S153" s="127">
        <f t="shared" si="4"/>
        <v>91.39</v>
      </c>
      <c r="T153" s="127">
        <f t="shared" si="4"/>
        <v>90.45</v>
      </c>
      <c r="U153" s="127">
        <f t="shared" si="4"/>
        <v>91.37</v>
      </c>
      <c r="V153" s="127">
        <f t="shared" si="4"/>
        <v>90.76</v>
      </c>
      <c r="W153" s="127">
        <f t="shared" si="4"/>
        <v>91.23</v>
      </c>
      <c r="X153" s="127">
        <f t="shared" si="4"/>
        <v>90.86</v>
      </c>
      <c r="Y153" s="127">
        <f t="shared" si="4"/>
        <v>91.27</v>
      </c>
      <c r="Z153" s="127">
        <f t="shared" si="4"/>
        <v>90.79</v>
      </c>
      <c r="AA153" s="127">
        <f t="shared" si="4"/>
        <v>91.27</v>
      </c>
      <c r="AB153" s="127">
        <f t="shared" si="4"/>
        <v>90.93</v>
      </c>
      <c r="AC153" s="127">
        <f t="shared" si="4"/>
        <v>91.26</v>
      </c>
      <c r="AD153" s="127">
        <f t="shared" si="4"/>
        <v>91.21</v>
      </c>
      <c r="AE153" s="127">
        <f t="shared" si="4"/>
        <v>91.25</v>
      </c>
      <c r="AF153" s="127">
        <f t="shared" si="4"/>
        <v>91.18</v>
      </c>
      <c r="AG153" s="127">
        <f t="shared" si="4"/>
        <v>91.18</v>
      </c>
      <c r="AH153" s="127">
        <f t="shared" si="4"/>
        <v>91.21</v>
      </c>
      <c r="AI153" s="127">
        <f t="shared" si="4"/>
        <v>91.39</v>
      </c>
      <c r="AJ153" s="127">
        <f t="shared" si="4"/>
        <v>91.23</v>
      </c>
      <c r="AK153" s="127">
        <f t="shared" si="4"/>
        <v>91.37</v>
      </c>
      <c r="AL153" s="127">
        <f t="shared" si="4"/>
        <v>91.22</v>
      </c>
      <c r="AM153" s="127">
        <f t="shared" si="4"/>
        <v>91.22</v>
      </c>
      <c r="AN153" s="127">
        <f t="shared" si="4"/>
        <v>91.25</v>
      </c>
      <c r="AO153" s="127">
        <f t="shared" si="4"/>
        <v>91.25</v>
      </c>
      <c r="AP153" s="127">
        <f t="shared" si="4"/>
        <v>91.25</v>
      </c>
      <c r="AQ153" s="127">
        <f t="shared" si="4"/>
        <v>91.25</v>
      </c>
      <c r="AR153" s="127">
        <f t="shared" si="4"/>
        <v>91.26</v>
      </c>
      <c r="AS153" s="127">
        <f t="shared" si="4"/>
        <v>91.27</v>
      </c>
      <c r="AT153" s="127">
        <f t="shared" si="4"/>
        <v>91.27</v>
      </c>
      <c r="AU153" s="127">
        <f t="shared" si="4"/>
        <v>91.26</v>
      </c>
      <c r="AV153" s="127">
        <f t="shared" si="4"/>
        <v>91.26</v>
      </c>
      <c r="AW153" s="127">
        <f t="shared" si="4"/>
        <v>91.25</v>
      </c>
      <c r="AX153" s="127">
        <f t="shared" si="4"/>
        <v>91.25</v>
      </c>
      <c r="AY153" s="127">
        <f t="shared" si="4"/>
        <v>91.25</v>
      </c>
      <c r="AZ153" s="127">
        <f t="shared" si="4"/>
        <v>91.25</v>
      </c>
      <c r="BA153" s="127">
        <f t="shared" si="4"/>
        <v>91.26</v>
      </c>
      <c r="BB153" s="127">
        <f t="shared" si="4"/>
        <v>91.26</v>
      </c>
      <c r="BC153" s="127">
        <f t="shared" si="4"/>
        <v>91.26</v>
      </c>
      <c r="BD153" s="127">
        <f t="shared" si="4"/>
        <v>91.26</v>
      </c>
      <c r="BE153" s="127">
        <f t="shared" si="4"/>
        <v>91.26</v>
      </c>
      <c r="BF153" s="3"/>
    </row>
    <row r="154" spans="1:58" ht="14.25" customHeight="1" thickBot="1" x14ac:dyDescent="0.5">
      <c r="A154" s="618"/>
      <c r="B154" s="618">
        <v>1</v>
      </c>
      <c r="C154" s="618">
        <v>2</v>
      </c>
      <c r="D154" s="618">
        <v>3</v>
      </c>
      <c r="E154" s="618">
        <v>4</v>
      </c>
      <c r="F154" s="618">
        <v>5</v>
      </c>
      <c r="G154" s="618">
        <v>6</v>
      </c>
      <c r="H154" s="618">
        <v>7</v>
      </c>
      <c r="I154" s="618">
        <v>8</v>
      </c>
      <c r="J154" s="618">
        <v>9</v>
      </c>
      <c r="K154" s="618">
        <v>10</v>
      </c>
      <c r="L154" s="618">
        <v>11</v>
      </c>
      <c r="M154" s="618">
        <v>12</v>
      </c>
      <c r="N154" s="618">
        <v>13</v>
      </c>
      <c r="O154" s="618">
        <v>14</v>
      </c>
      <c r="P154" s="618">
        <v>15</v>
      </c>
      <c r="Q154" s="618">
        <v>16</v>
      </c>
      <c r="R154" s="618">
        <v>17</v>
      </c>
      <c r="S154" s="618">
        <v>18</v>
      </c>
      <c r="T154" s="618">
        <v>19</v>
      </c>
      <c r="U154" s="618">
        <v>20</v>
      </c>
      <c r="V154" s="618">
        <v>21</v>
      </c>
      <c r="W154" s="618">
        <v>22</v>
      </c>
      <c r="X154" s="618">
        <v>23</v>
      </c>
      <c r="Y154" s="618">
        <v>24</v>
      </c>
      <c r="Z154" s="618">
        <v>25</v>
      </c>
      <c r="AA154" s="618">
        <v>26</v>
      </c>
      <c r="AB154" s="618">
        <v>27</v>
      </c>
      <c r="AC154" s="618">
        <v>28</v>
      </c>
      <c r="AD154" s="618">
        <v>29</v>
      </c>
      <c r="AE154" s="618">
        <v>30</v>
      </c>
      <c r="AF154" s="618">
        <v>31</v>
      </c>
      <c r="AG154" s="618">
        <v>32</v>
      </c>
      <c r="AH154" s="618">
        <v>33</v>
      </c>
      <c r="AI154" s="618">
        <v>34</v>
      </c>
      <c r="AJ154" s="618">
        <v>35</v>
      </c>
      <c r="AK154" s="618">
        <v>36</v>
      </c>
      <c r="AL154" s="618">
        <v>37</v>
      </c>
      <c r="AM154" s="618">
        <v>38</v>
      </c>
      <c r="AN154" s="618">
        <v>39</v>
      </c>
      <c r="AO154" s="618">
        <v>40</v>
      </c>
      <c r="AP154" s="618">
        <v>41</v>
      </c>
      <c r="AQ154" s="618">
        <v>42</v>
      </c>
      <c r="AR154" s="618">
        <v>43</v>
      </c>
      <c r="AS154" s="618">
        <v>44</v>
      </c>
      <c r="AT154" s="618">
        <v>45</v>
      </c>
      <c r="AU154" s="618">
        <v>46</v>
      </c>
      <c r="AV154" s="618">
        <v>47</v>
      </c>
      <c r="AW154" s="618">
        <v>48</v>
      </c>
      <c r="AX154" s="618">
        <v>49</v>
      </c>
      <c r="AY154" s="618">
        <v>50</v>
      </c>
      <c r="AZ154" s="618">
        <v>51</v>
      </c>
      <c r="BA154" s="618">
        <v>52</v>
      </c>
      <c r="BB154" s="618">
        <v>53</v>
      </c>
      <c r="BC154" s="618">
        <v>54</v>
      </c>
      <c r="BD154" s="618">
        <v>55</v>
      </c>
      <c r="BE154" s="618">
        <v>56</v>
      </c>
      <c r="BF154" s="3"/>
    </row>
    <row r="155" spans="1:58" ht="14.25" customHeight="1" x14ac:dyDescent="0.45">
      <c r="A155" s="618"/>
      <c r="B155" s="618"/>
      <c r="C155" s="535" t="s">
        <v>85</v>
      </c>
      <c r="D155" s="536" t="s">
        <v>86</v>
      </c>
      <c r="E155" s="533">
        <v>2018</v>
      </c>
      <c r="F155" s="533">
        <v>2019</v>
      </c>
      <c r="G155" s="533">
        <v>2020</v>
      </c>
      <c r="H155" s="533">
        <v>2021</v>
      </c>
      <c r="I155" s="540" t="s">
        <v>87</v>
      </c>
      <c r="J155" s="618"/>
      <c r="K155" s="618"/>
      <c r="L155" s="618"/>
      <c r="M155" s="618"/>
      <c r="N155" s="618"/>
      <c r="O155" s="618"/>
      <c r="P155" s="618"/>
      <c r="Q155" s="618"/>
      <c r="R155" s="618"/>
      <c r="S155" s="618"/>
      <c r="T155" s="618"/>
      <c r="U155" s="618"/>
      <c r="V155" s="618"/>
      <c r="W155" s="618"/>
      <c r="X155" s="618"/>
      <c r="Y155" s="618"/>
      <c r="Z155" s="618"/>
      <c r="AA155" s="618"/>
      <c r="AB155" s="618"/>
      <c r="AC155" s="618"/>
      <c r="AD155" s="618"/>
      <c r="AE155" s="618"/>
      <c r="AF155" s="618"/>
      <c r="AG155" s="618"/>
      <c r="AH155" s="618"/>
      <c r="AI155" s="618"/>
      <c r="AJ155" s="618"/>
      <c r="AK155" s="618"/>
      <c r="AL155" s="618"/>
      <c r="AM155" s="618"/>
      <c r="AN155" s="618"/>
      <c r="AO155" s="618"/>
      <c r="AP155" s="618"/>
      <c r="AQ155" s="618"/>
      <c r="AR155" s="618"/>
      <c r="AS155" s="618"/>
      <c r="AT155" s="618"/>
      <c r="AU155" s="618"/>
      <c r="AV155" s="618"/>
      <c r="AW155" s="618"/>
      <c r="AX155" s="618"/>
      <c r="AY155" s="618"/>
      <c r="AZ155" s="618"/>
      <c r="BA155" s="618"/>
      <c r="BB155" s="618"/>
      <c r="BC155" s="618"/>
      <c r="BD155" s="618"/>
      <c r="BE155" s="618"/>
      <c r="BF155" s="3"/>
    </row>
    <row r="156" spans="1:58" ht="14.25" customHeight="1" x14ac:dyDescent="0.45">
      <c r="A156" s="618"/>
      <c r="B156" s="618"/>
      <c r="C156" s="537" t="s">
        <v>85</v>
      </c>
      <c r="D156" s="527" t="s">
        <v>49</v>
      </c>
      <c r="E156" s="532">
        <v>2.4474999999999998</v>
      </c>
      <c r="F156" s="532">
        <v>2.1745999999999999</v>
      </c>
      <c r="G156" s="532">
        <v>9.6849999999999996E-5</v>
      </c>
      <c r="H156" s="532">
        <v>6.7120000000000008E-5</v>
      </c>
      <c r="I156" s="541">
        <f>AVERAGE(E156:H156)</f>
        <v>1.1555659924999999</v>
      </c>
      <c r="J156" s="618"/>
      <c r="K156" s="618"/>
      <c r="L156" s="618"/>
      <c r="M156" s="618"/>
      <c r="N156" s="618"/>
      <c r="O156" s="618"/>
      <c r="P156" s="618"/>
      <c r="Q156" s="618"/>
      <c r="R156" s="618"/>
      <c r="S156" s="618"/>
      <c r="T156" s="618"/>
      <c r="U156" s="618"/>
      <c r="V156" s="618"/>
      <c r="W156" s="618"/>
      <c r="X156" s="618"/>
      <c r="Y156" s="618"/>
      <c r="Z156" s="618"/>
      <c r="AA156" s="618"/>
      <c r="AB156" s="618"/>
      <c r="AC156" s="618"/>
      <c r="AD156" s="618"/>
      <c r="AE156" s="618"/>
      <c r="AF156" s="618"/>
      <c r="AG156" s="618"/>
      <c r="AH156" s="618"/>
      <c r="AI156" s="618"/>
      <c r="AJ156" s="618"/>
      <c r="AK156" s="618"/>
      <c r="AL156" s="618"/>
      <c r="AM156" s="618"/>
      <c r="AN156" s="618"/>
      <c r="AO156" s="618"/>
      <c r="AP156" s="618"/>
      <c r="AQ156" s="618"/>
      <c r="AR156" s="618"/>
      <c r="AS156" s="618"/>
      <c r="AT156" s="618"/>
      <c r="AU156" s="618"/>
      <c r="AV156" s="618"/>
      <c r="AW156" s="618"/>
      <c r="AX156" s="618"/>
      <c r="AY156" s="618"/>
      <c r="AZ156" s="618"/>
      <c r="BA156" s="618"/>
      <c r="BB156" s="618"/>
      <c r="BC156" s="618"/>
      <c r="BD156" s="618"/>
      <c r="BE156" s="618"/>
      <c r="BF156" s="3"/>
    </row>
    <row r="157" spans="1:58" ht="14.25" customHeight="1" x14ac:dyDescent="0.45">
      <c r="A157" s="618"/>
      <c r="B157" s="618"/>
      <c r="C157" s="537" t="s">
        <v>85</v>
      </c>
      <c r="D157" s="527" t="s">
        <v>50</v>
      </c>
      <c r="E157" s="532">
        <v>1.9199999999999998E-6</v>
      </c>
      <c r="F157" s="532">
        <v>3.0800000000000002E-6</v>
      </c>
      <c r="G157" s="532">
        <v>3.0800000000000002E-6</v>
      </c>
      <c r="H157" s="532">
        <v>2.8500000000000002E-6</v>
      </c>
      <c r="I157" s="542">
        <f>AVERAGE(E157:H157)</f>
        <v>2.7325000000000001E-6</v>
      </c>
      <c r="J157" s="618"/>
      <c r="K157" s="618"/>
      <c r="L157" s="618"/>
      <c r="M157" s="618"/>
      <c r="N157" s="618"/>
      <c r="O157" s="618"/>
      <c r="P157" s="618"/>
      <c r="Q157" s="618"/>
      <c r="R157" s="618"/>
      <c r="S157" s="618"/>
      <c r="T157" s="618"/>
      <c r="U157" s="618"/>
      <c r="V157" s="618"/>
      <c r="W157" s="618"/>
      <c r="X157" s="618"/>
      <c r="Y157" s="618"/>
      <c r="Z157" s="618"/>
      <c r="AA157" s="618"/>
      <c r="AB157" s="618"/>
      <c r="AC157" s="618"/>
      <c r="AD157" s="618"/>
      <c r="AE157" s="618"/>
      <c r="AF157" s="618"/>
      <c r="AG157" s="618"/>
      <c r="AH157" s="618"/>
      <c r="AI157" s="618"/>
      <c r="AJ157" s="618"/>
      <c r="AK157" s="618"/>
      <c r="AL157" s="618"/>
      <c r="AM157" s="618"/>
      <c r="AN157" s="618"/>
      <c r="AO157" s="618"/>
      <c r="AP157" s="618"/>
      <c r="AQ157" s="618"/>
      <c r="AR157" s="618"/>
      <c r="AS157" s="618"/>
      <c r="AT157" s="618"/>
      <c r="AU157" s="618"/>
      <c r="AV157" s="618"/>
      <c r="AW157" s="618"/>
      <c r="AX157" s="618"/>
      <c r="AY157" s="618"/>
      <c r="AZ157" s="618"/>
      <c r="BA157" s="618"/>
      <c r="BB157" s="618"/>
      <c r="BC157" s="618"/>
      <c r="BD157" s="618"/>
      <c r="BE157" s="618"/>
      <c r="BF157" s="3"/>
    </row>
    <row r="158" spans="1:58" ht="14.25" customHeight="1" x14ac:dyDescent="0.45">
      <c r="A158" s="618"/>
      <c r="B158" s="618"/>
      <c r="C158" s="537" t="s">
        <v>85</v>
      </c>
      <c r="D158" s="527" t="s">
        <v>88</v>
      </c>
      <c r="E158" s="532">
        <v>11.339</v>
      </c>
      <c r="F158" s="532">
        <v>11.673500000000001</v>
      </c>
      <c r="G158" s="532">
        <v>5.9320000000000004</v>
      </c>
      <c r="H158" s="532">
        <v>8.1553000000000004</v>
      </c>
      <c r="I158" s="541">
        <f t="shared" ref="I158:I159" si="5">AVERAGE(E158:H158)</f>
        <v>9.2749500000000005</v>
      </c>
      <c r="J158" s="618"/>
      <c r="K158" s="618"/>
      <c r="L158" s="618"/>
      <c r="M158" s="618"/>
      <c r="N158" s="618"/>
      <c r="O158" s="618"/>
      <c r="P158" s="618"/>
      <c r="Q158" s="618"/>
      <c r="R158" s="618"/>
      <c r="S158" s="618"/>
      <c r="T158" s="618"/>
      <c r="U158" s="618"/>
      <c r="V158" s="618"/>
      <c r="W158" s="618"/>
      <c r="X158" s="618"/>
      <c r="Y158" s="618"/>
      <c r="Z158" s="618"/>
      <c r="AA158" s="618"/>
      <c r="AB158" s="618"/>
      <c r="AC158" s="618"/>
      <c r="AD158" s="618"/>
      <c r="AE158" s="618"/>
      <c r="AF158" s="618"/>
      <c r="AG158" s="618"/>
      <c r="AH158" s="618"/>
      <c r="AI158" s="618"/>
      <c r="AJ158" s="618"/>
      <c r="AK158" s="618"/>
      <c r="AL158" s="618"/>
      <c r="AM158" s="618"/>
      <c r="AN158" s="618"/>
      <c r="AO158" s="618"/>
      <c r="AP158" s="618"/>
      <c r="AQ158" s="618"/>
      <c r="AR158" s="618"/>
      <c r="AS158" s="618"/>
      <c r="AT158" s="618"/>
      <c r="AU158" s="618"/>
      <c r="AV158" s="618"/>
      <c r="AW158" s="618"/>
      <c r="AX158" s="618"/>
      <c r="AY158" s="618"/>
      <c r="AZ158" s="618"/>
      <c r="BA158" s="618"/>
      <c r="BB158" s="618"/>
      <c r="BC158" s="618"/>
      <c r="BD158" s="618"/>
      <c r="BE158" s="618"/>
      <c r="BF158" s="3"/>
    </row>
    <row r="159" spans="1:58" ht="14.25" customHeight="1" x14ac:dyDescent="0.45">
      <c r="A159" s="618"/>
      <c r="B159" s="618"/>
      <c r="C159" s="537" t="s">
        <v>85</v>
      </c>
      <c r="D159" s="527" t="s">
        <v>52</v>
      </c>
      <c r="E159" s="532">
        <v>25.810099999999998</v>
      </c>
      <c r="F159" s="532">
        <v>20.184699999999999</v>
      </c>
      <c r="G159" s="532">
        <v>5.0883000000000003</v>
      </c>
      <c r="H159" s="532">
        <v>34.1524</v>
      </c>
      <c r="I159" s="542">
        <f t="shared" si="5"/>
        <v>21.308875</v>
      </c>
      <c r="J159" s="618"/>
      <c r="K159" s="618"/>
      <c r="L159" s="618"/>
      <c r="M159" s="618"/>
      <c r="N159" s="618"/>
      <c r="O159" s="618"/>
      <c r="P159" s="618"/>
      <c r="Q159" s="618"/>
      <c r="R159" s="618"/>
      <c r="S159" s="618"/>
      <c r="T159" s="618"/>
      <c r="U159" s="618"/>
      <c r="V159" s="618"/>
      <c r="W159" s="618"/>
      <c r="X159" s="618"/>
      <c r="Y159" s="618"/>
      <c r="Z159" s="618"/>
      <c r="AA159" s="618"/>
      <c r="AB159" s="618"/>
      <c r="AC159" s="618"/>
      <c r="AD159" s="618"/>
      <c r="AE159" s="618"/>
      <c r="AF159" s="618"/>
      <c r="AG159" s="618"/>
      <c r="AH159" s="618"/>
      <c r="AI159" s="618"/>
      <c r="AJ159" s="618"/>
      <c r="AK159" s="618"/>
      <c r="AL159" s="618"/>
      <c r="AM159" s="618"/>
      <c r="AN159" s="618"/>
      <c r="AO159" s="618"/>
      <c r="AP159" s="618"/>
      <c r="AQ159" s="618"/>
      <c r="AR159" s="618"/>
      <c r="AS159" s="618"/>
      <c r="AT159" s="618"/>
      <c r="AU159" s="618"/>
      <c r="AV159" s="618"/>
      <c r="AW159" s="618"/>
      <c r="AX159" s="618"/>
      <c r="AY159" s="618"/>
      <c r="AZ159" s="618"/>
      <c r="BA159" s="618"/>
      <c r="BB159" s="618"/>
      <c r="BC159" s="618"/>
      <c r="BD159" s="618"/>
      <c r="BE159" s="618"/>
      <c r="BF159" s="3"/>
    </row>
    <row r="160" spans="1:58" ht="14.25" customHeight="1" x14ac:dyDescent="0.45">
      <c r="A160" s="618"/>
      <c r="B160" s="618"/>
      <c r="C160" s="537" t="s">
        <v>85</v>
      </c>
      <c r="D160" s="527" t="s">
        <v>85</v>
      </c>
      <c r="E160" s="532" t="s">
        <v>85</v>
      </c>
      <c r="F160" s="532" t="s">
        <v>85</v>
      </c>
      <c r="G160" s="532" t="s">
        <v>85</v>
      </c>
      <c r="H160" s="532" t="s">
        <v>85</v>
      </c>
      <c r="I160" s="541"/>
      <c r="J160" s="618"/>
      <c r="K160" s="618"/>
      <c r="L160" s="618"/>
      <c r="M160" s="618"/>
      <c r="N160" s="618"/>
      <c r="O160" s="618"/>
      <c r="P160" s="618"/>
      <c r="Q160" s="618"/>
      <c r="R160" s="618"/>
      <c r="S160" s="618"/>
      <c r="T160" s="618"/>
      <c r="U160" s="618"/>
      <c r="V160" s="618"/>
      <c r="W160" s="618"/>
      <c r="X160" s="618"/>
      <c r="Y160" s="618"/>
      <c r="Z160" s="618"/>
      <c r="AA160" s="618"/>
      <c r="AB160" s="618"/>
      <c r="AC160" s="618"/>
      <c r="AD160" s="618"/>
      <c r="AE160" s="618"/>
      <c r="AF160" s="618"/>
      <c r="AG160" s="618"/>
      <c r="AH160" s="618"/>
      <c r="AI160" s="618"/>
      <c r="AJ160" s="618"/>
      <c r="AK160" s="618"/>
      <c r="AL160" s="618"/>
      <c r="AM160" s="618"/>
      <c r="AN160" s="618"/>
      <c r="AO160" s="618"/>
      <c r="AP160" s="618"/>
      <c r="AQ160" s="618"/>
      <c r="AR160" s="618"/>
      <c r="AS160" s="618"/>
      <c r="AT160" s="618"/>
      <c r="AU160" s="618"/>
      <c r="AV160" s="618"/>
      <c r="AW160" s="618"/>
      <c r="AX160" s="618"/>
      <c r="AY160" s="618"/>
      <c r="AZ160" s="618"/>
      <c r="BA160" s="618"/>
      <c r="BB160" s="618"/>
      <c r="BC160" s="618"/>
      <c r="BD160" s="618"/>
      <c r="BE160" s="618"/>
      <c r="BF160" s="3"/>
    </row>
    <row r="161" spans="1:58" ht="14.25" customHeight="1" thickBot="1" x14ac:dyDescent="0.5">
      <c r="A161" s="618"/>
      <c r="B161" s="618"/>
      <c r="C161" s="538" t="s">
        <v>85</v>
      </c>
      <c r="D161" s="539" t="s">
        <v>25</v>
      </c>
      <c r="E161" s="534">
        <f>SUM(E156:E159)</f>
        <v>39.596601919999998</v>
      </c>
      <c r="F161" s="534">
        <f t="shared" ref="F161:H161" si="6">SUM(F156:F159)</f>
        <v>34.032803080000001</v>
      </c>
      <c r="G161" s="534">
        <f t="shared" si="6"/>
        <v>11.02039993</v>
      </c>
      <c r="H161" s="534">
        <f t="shared" si="6"/>
        <v>42.307769970000003</v>
      </c>
      <c r="I161" s="543">
        <f>SUM(I156:I159)</f>
        <v>31.739393724999999</v>
      </c>
      <c r="J161" s="618"/>
      <c r="K161" s="618"/>
      <c r="L161" s="618"/>
      <c r="M161" s="618"/>
      <c r="N161" s="618"/>
      <c r="O161" s="618"/>
      <c r="P161" s="618"/>
      <c r="Q161" s="618"/>
      <c r="R161" s="618"/>
      <c r="S161" s="618"/>
      <c r="T161" s="618"/>
      <c r="U161" s="618"/>
      <c r="V161" s="618"/>
      <c r="W161" s="618"/>
      <c r="X161" s="618"/>
      <c r="Y161" s="618"/>
      <c r="Z161" s="618"/>
      <c r="AA161" s="618"/>
      <c r="AB161" s="618"/>
      <c r="AC161" s="618"/>
      <c r="AD161" s="618"/>
      <c r="AE161" s="618"/>
      <c r="AF161" s="618"/>
      <c r="AG161" s="618"/>
      <c r="AH161" s="618"/>
      <c r="AI161" s="618"/>
      <c r="AJ161" s="618"/>
      <c r="AK161" s="618"/>
      <c r="AL161" s="618"/>
      <c r="AM161" s="618"/>
      <c r="AN161" s="618"/>
      <c r="AO161" s="618"/>
      <c r="AP161" s="618"/>
      <c r="AQ161" s="618"/>
      <c r="AR161" s="618"/>
      <c r="AS161" s="618"/>
      <c r="AT161" s="618"/>
      <c r="AU161" s="618"/>
      <c r="AV161" s="618"/>
      <c r="AW161" s="618"/>
      <c r="AX161" s="618"/>
      <c r="AY161" s="618"/>
      <c r="AZ161" s="618"/>
      <c r="BA161" s="618"/>
      <c r="BB161" s="618"/>
      <c r="BC161" s="618"/>
      <c r="BD161" s="618"/>
      <c r="BE161" s="618"/>
      <c r="BF161" s="3"/>
    </row>
    <row r="162" spans="1:58" ht="14.25" customHeight="1" thickBot="1" x14ac:dyDescent="0.5">
      <c r="A162" s="618"/>
      <c r="B162" s="618"/>
      <c r="C162" s="618"/>
      <c r="D162" s="618"/>
      <c r="E162" s="618"/>
      <c r="F162" s="618"/>
      <c r="G162" s="618"/>
      <c r="H162" s="618"/>
      <c r="I162" s="618"/>
      <c r="J162" s="618"/>
      <c r="K162" s="618"/>
      <c r="L162" s="618"/>
      <c r="M162" s="618"/>
      <c r="N162" s="618"/>
      <c r="O162" s="618"/>
      <c r="P162" s="618"/>
      <c r="Q162" s="618"/>
      <c r="R162" s="618"/>
      <c r="S162" s="618"/>
      <c r="T162" s="618"/>
      <c r="U162" s="618"/>
      <c r="V162" s="618"/>
      <c r="W162" s="618"/>
      <c r="X162" s="618"/>
      <c r="Y162" s="618"/>
      <c r="Z162" s="618"/>
      <c r="AA162" s="618"/>
      <c r="AB162" s="618"/>
      <c r="AC162" s="618"/>
      <c r="AD162" s="618"/>
      <c r="AE162" s="618"/>
      <c r="AF162" s="618"/>
      <c r="AG162" s="618"/>
      <c r="AH162" s="618"/>
      <c r="AI162" s="618"/>
      <c r="AJ162" s="618"/>
      <c r="AK162" s="618"/>
      <c r="AL162" s="618"/>
      <c r="AM162" s="618"/>
      <c r="AN162" s="618"/>
      <c r="AO162" s="618"/>
      <c r="AP162" s="618"/>
      <c r="AQ162" s="618"/>
      <c r="AR162" s="618"/>
      <c r="AS162" s="618"/>
      <c r="AT162" s="618"/>
      <c r="AU162" s="618"/>
      <c r="AV162" s="618"/>
      <c r="AW162" s="618"/>
      <c r="AX162" s="618"/>
      <c r="AY162" s="618"/>
      <c r="AZ162" s="618"/>
      <c r="BA162" s="618"/>
      <c r="BB162" s="618"/>
      <c r="BC162" s="618"/>
      <c r="BD162" s="618"/>
      <c r="BE162" s="618"/>
      <c r="BF162" s="3"/>
    </row>
    <row r="163" spans="1:58" ht="14.25" customHeight="1" x14ac:dyDescent="0.45">
      <c r="A163" s="618"/>
      <c r="B163" s="618"/>
      <c r="C163" s="535" t="s">
        <v>85</v>
      </c>
      <c r="D163" s="536" t="s">
        <v>89</v>
      </c>
      <c r="E163" s="533">
        <v>2018</v>
      </c>
      <c r="F163" s="533">
        <v>2019</v>
      </c>
      <c r="G163" s="533">
        <v>2020</v>
      </c>
      <c r="H163" s="533">
        <v>2021</v>
      </c>
      <c r="I163" s="540" t="s">
        <v>87</v>
      </c>
      <c r="J163" s="618"/>
      <c r="K163" s="618"/>
      <c r="L163" s="618"/>
      <c r="M163" s="618"/>
      <c r="N163" s="618"/>
      <c r="O163" s="618"/>
      <c r="P163" s="618"/>
      <c r="Q163" s="618"/>
      <c r="R163" s="618"/>
      <c r="S163" s="618"/>
      <c r="T163" s="618"/>
      <c r="U163" s="618"/>
      <c r="V163" s="618"/>
      <c r="W163" s="618"/>
      <c r="X163" s="618"/>
      <c r="Y163" s="618"/>
      <c r="Z163" s="618"/>
      <c r="AA163" s="618"/>
      <c r="AB163" s="618"/>
      <c r="AC163" s="618"/>
      <c r="AD163" s="618"/>
      <c r="AE163" s="618"/>
      <c r="AF163" s="618"/>
      <c r="AG163" s="618"/>
      <c r="AH163" s="618"/>
      <c r="AI163" s="618"/>
      <c r="AJ163" s="618"/>
      <c r="AK163" s="618"/>
      <c r="AL163" s="618"/>
      <c r="AM163" s="618"/>
      <c r="AN163" s="618"/>
      <c r="AO163" s="618"/>
      <c r="AP163" s="618"/>
      <c r="AQ163" s="618"/>
      <c r="AR163" s="618"/>
      <c r="AS163" s="618"/>
      <c r="AT163" s="618"/>
      <c r="AU163" s="618"/>
      <c r="AV163" s="618"/>
      <c r="AW163" s="618"/>
      <c r="AX163" s="618"/>
      <c r="AY163" s="618"/>
      <c r="AZ163" s="618"/>
      <c r="BA163" s="618"/>
      <c r="BB163" s="618"/>
      <c r="BC163" s="618"/>
      <c r="BD163" s="618"/>
      <c r="BE163" s="618"/>
      <c r="BF163" s="3"/>
    </row>
    <row r="164" spans="1:58" ht="14.25" customHeight="1" x14ac:dyDescent="0.45">
      <c r="A164" s="618"/>
      <c r="B164" s="618"/>
      <c r="C164" s="537" t="s">
        <v>85</v>
      </c>
      <c r="D164" s="527" t="s">
        <v>49</v>
      </c>
      <c r="E164" s="532">
        <f>ROUND(E156/E$161,4)</f>
        <v>6.1800000000000001E-2</v>
      </c>
      <c r="F164" s="532">
        <f t="shared" ref="F164:H164" si="7">ROUND(F156/F$161,4)</f>
        <v>6.3899999999999998E-2</v>
      </c>
      <c r="G164" s="532">
        <f t="shared" si="7"/>
        <v>0</v>
      </c>
      <c r="H164" s="532">
        <f t="shared" si="7"/>
        <v>0</v>
      </c>
      <c r="I164" s="541">
        <f>ROUND(AVERAGE(E164:H164),4)</f>
        <v>3.1399999999999997E-2</v>
      </c>
      <c r="J164" s="618"/>
      <c r="K164" s="618"/>
      <c r="L164" s="618"/>
      <c r="M164" s="618"/>
      <c r="N164" s="618"/>
      <c r="O164" s="618"/>
      <c r="P164" s="618"/>
      <c r="Q164" s="618"/>
      <c r="R164" s="618"/>
      <c r="S164" s="618"/>
      <c r="T164" s="618"/>
      <c r="U164" s="618"/>
      <c r="V164" s="618"/>
      <c r="W164" s="618"/>
      <c r="X164" s="618"/>
      <c r="Y164" s="618"/>
      <c r="Z164" s="618"/>
      <c r="AA164" s="618"/>
      <c r="AB164" s="618"/>
      <c r="AC164" s="618"/>
      <c r="AD164" s="618"/>
      <c r="AE164" s="618"/>
      <c r="AF164" s="618"/>
      <c r="AG164" s="618"/>
      <c r="AH164" s="618"/>
      <c r="AI164" s="618"/>
      <c r="AJ164" s="618"/>
      <c r="AK164" s="618"/>
      <c r="AL164" s="618"/>
      <c r="AM164" s="618"/>
      <c r="AN164" s="618"/>
      <c r="AO164" s="618"/>
      <c r="AP164" s="618"/>
      <c r="AQ164" s="618"/>
      <c r="AR164" s="618"/>
      <c r="AS164" s="618"/>
      <c r="AT164" s="618"/>
      <c r="AU164" s="618"/>
      <c r="AV164" s="618"/>
      <c r="AW164" s="618"/>
      <c r="AX164" s="618"/>
      <c r="AY164" s="618"/>
      <c r="AZ164" s="618"/>
      <c r="BA164" s="618"/>
      <c r="BB164" s="618"/>
      <c r="BC164" s="618"/>
      <c r="BD164" s="618"/>
      <c r="BE164" s="618"/>
      <c r="BF164" s="3"/>
    </row>
    <row r="165" spans="1:58" ht="14.25" customHeight="1" x14ac:dyDescent="0.45">
      <c r="A165" s="618"/>
      <c r="B165" s="618"/>
      <c r="C165" s="537" t="s">
        <v>85</v>
      </c>
      <c r="D165" s="527" t="s">
        <v>50</v>
      </c>
      <c r="E165" s="532">
        <f t="shared" ref="E165:H167" si="8">ROUND(E157/E$161,4)</f>
        <v>0</v>
      </c>
      <c r="F165" s="532">
        <f t="shared" si="8"/>
        <v>0</v>
      </c>
      <c r="G165" s="532">
        <f t="shared" si="8"/>
        <v>0</v>
      </c>
      <c r="H165" s="532">
        <f t="shared" si="8"/>
        <v>0</v>
      </c>
      <c r="I165" s="541">
        <f t="shared" ref="I165:I167" si="9">ROUND(AVERAGE(E165:H165),4)</f>
        <v>0</v>
      </c>
      <c r="J165" s="618"/>
      <c r="K165" s="618"/>
      <c r="L165" s="618"/>
      <c r="M165" s="618"/>
      <c r="N165" s="618"/>
      <c r="O165" s="618"/>
      <c r="P165" s="618"/>
      <c r="Q165" s="618"/>
      <c r="R165" s="618"/>
      <c r="S165" s="618"/>
      <c r="T165" s="618"/>
      <c r="U165" s="618"/>
      <c r="V165" s="618"/>
      <c r="W165" s="618"/>
      <c r="X165" s="618"/>
      <c r="Y165" s="618"/>
      <c r="Z165" s="618"/>
      <c r="AA165" s="618"/>
      <c r="AB165" s="618"/>
      <c r="AC165" s="618"/>
      <c r="AD165" s="618"/>
      <c r="AE165" s="618"/>
      <c r="AF165" s="618"/>
      <c r="AG165" s="618"/>
      <c r="AH165" s="618"/>
      <c r="AI165" s="618"/>
      <c r="AJ165" s="618"/>
      <c r="AK165" s="618"/>
      <c r="AL165" s="618"/>
      <c r="AM165" s="618"/>
      <c r="AN165" s="618"/>
      <c r="AO165" s="618"/>
      <c r="AP165" s="618"/>
      <c r="AQ165" s="618"/>
      <c r="AR165" s="618"/>
      <c r="AS165" s="618"/>
      <c r="AT165" s="618"/>
      <c r="AU165" s="618"/>
      <c r="AV165" s="618"/>
      <c r="AW165" s="618"/>
      <c r="AX165" s="618"/>
      <c r="AY165" s="618"/>
      <c r="AZ165" s="618"/>
      <c r="BA165" s="618"/>
      <c r="BB165" s="618"/>
      <c r="BC165" s="618"/>
      <c r="BD165" s="618"/>
      <c r="BE165" s="618"/>
      <c r="BF165" s="3"/>
    </row>
    <row r="166" spans="1:58" ht="14.25" customHeight="1" x14ac:dyDescent="0.45">
      <c r="A166" s="618"/>
      <c r="B166" s="618"/>
      <c r="C166" s="537" t="s">
        <v>85</v>
      </c>
      <c r="D166" s="527" t="s">
        <v>88</v>
      </c>
      <c r="E166" s="532">
        <f t="shared" si="8"/>
        <v>0.28639999999999999</v>
      </c>
      <c r="F166" s="532">
        <f t="shared" si="8"/>
        <v>0.34300000000000003</v>
      </c>
      <c r="G166" s="532">
        <f t="shared" si="8"/>
        <v>0.5383</v>
      </c>
      <c r="H166" s="532">
        <f t="shared" si="8"/>
        <v>0.1928</v>
      </c>
      <c r="I166" s="541">
        <f t="shared" si="9"/>
        <v>0.34010000000000001</v>
      </c>
      <c r="J166" s="618"/>
      <c r="K166" s="618"/>
      <c r="L166" s="618"/>
      <c r="M166" s="618"/>
      <c r="N166" s="618"/>
      <c r="O166" s="618"/>
      <c r="P166" s="618"/>
      <c r="Q166" s="618"/>
      <c r="R166" s="618"/>
      <c r="S166" s="618"/>
      <c r="T166" s="618"/>
      <c r="U166" s="618"/>
      <c r="V166" s="618"/>
      <c r="W166" s="618"/>
      <c r="X166" s="618"/>
      <c r="Y166" s="618"/>
      <c r="Z166" s="618"/>
      <c r="AA166" s="618"/>
      <c r="AB166" s="618"/>
      <c r="AC166" s="618"/>
      <c r="AD166" s="618"/>
      <c r="AE166" s="618"/>
      <c r="AF166" s="618"/>
      <c r="AG166" s="618"/>
      <c r="AH166" s="618"/>
      <c r="AI166" s="618"/>
      <c r="AJ166" s="618"/>
      <c r="AK166" s="618"/>
      <c r="AL166" s="618"/>
      <c r="AM166" s="618"/>
      <c r="AN166" s="618"/>
      <c r="AO166" s="618"/>
      <c r="AP166" s="618"/>
      <c r="AQ166" s="618"/>
      <c r="AR166" s="618"/>
      <c r="AS166" s="618"/>
      <c r="AT166" s="618"/>
      <c r="AU166" s="618"/>
      <c r="AV166" s="618"/>
      <c r="AW166" s="618"/>
      <c r="AX166" s="618"/>
      <c r="AY166" s="618"/>
      <c r="AZ166" s="618"/>
      <c r="BA166" s="618"/>
      <c r="BB166" s="618"/>
      <c r="BC166" s="618"/>
      <c r="BD166" s="618"/>
      <c r="BE166" s="618"/>
      <c r="BF166" s="3"/>
    </row>
    <row r="167" spans="1:58" ht="14.25" customHeight="1" x14ac:dyDescent="0.45">
      <c r="A167" s="618"/>
      <c r="B167" s="618"/>
      <c r="C167" s="537" t="s">
        <v>85</v>
      </c>
      <c r="D167" s="527" t="s">
        <v>52</v>
      </c>
      <c r="E167" s="532">
        <f t="shared" si="8"/>
        <v>0.65180000000000005</v>
      </c>
      <c r="F167" s="532">
        <f t="shared" si="8"/>
        <v>0.59309999999999996</v>
      </c>
      <c r="G167" s="532">
        <f t="shared" si="8"/>
        <v>0.4617</v>
      </c>
      <c r="H167" s="532">
        <f t="shared" si="8"/>
        <v>0.80720000000000003</v>
      </c>
      <c r="I167" s="541">
        <f t="shared" si="9"/>
        <v>0.62849999999999995</v>
      </c>
      <c r="J167" s="618"/>
      <c r="K167" s="618"/>
      <c r="L167" s="618"/>
      <c r="M167" s="618"/>
      <c r="N167" s="618"/>
      <c r="O167" s="618"/>
      <c r="P167" s="618"/>
      <c r="Q167" s="618"/>
      <c r="R167" s="618"/>
      <c r="S167" s="618"/>
      <c r="T167" s="618"/>
      <c r="U167" s="618"/>
      <c r="V167" s="618"/>
      <c r="W167" s="618"/>
      <c r="X167" s="618"/>
      <c r="Y167" s="618"/>
      <c r="Z167" s="618"/>
      <c r="AA167" s="618"/>
      <c r="AB167" s="618"/>
      <c r="AC167" s="618"/>
      <c r="AD167" s="618"/>
      <c r="AE167" s="618"/>
      <c r="AF167" s="618"/>
      <c r="AG167" s="618"/>
      <c r="AH167" s="618"/>
      <c r="AI167" s="618"/>
      <c r="AJ167" s="618"/>
      <c r="AK167" s="618"/>
      <c r="AL167" s="618"/>
      <c r="AM167" s="618"/>
      <c r="AN167" s="618"/>
      <c r="AO167" s="618"/>
      <c r="AP167" s="618"/>
      <c r="AQ167" s="618"/>
      <c r="AR167" s="618"/>
      <c r="AS167" s="618"/>
      <c r="AT167" s="618"/>
      <c r="AU167" s="618"/>
      <c r="AV167" s="618"/>
      <c r="AW167" s="618"/>
      <c r="AX167" s="618"/>
      <c r="AY167" s="618"/>
      <c r="AZ167" s="618"/>
      <c r="BA167" s="618"/>
      <c r="BB167" s="618"/>
      <c r="BC167" s="618"/>
      <c r="BD167" s="618"/>
      <c r="BE167" s="618"/>
      <c r="BF167" s="3"/>
    </row>
    <row r="168" spans="1:58" ht="14.25" customHeight="1" x14ac:dyDescent="0.45">
      <c r="A168" s="618"/>
      <c r="B168" s="618"/>
      <c r="C168" s="537" t="s">
        <v>85</v>
      </c>
      <c r="D168" s="527" t="s">
        <v>85</v>
      </c>
      <c r="E168" s="532" t="s">
        <v>85</v>
      </c>
      <c r="F168" s="532" t="s">
        <v>85</v>
      </c>
      <c r="G168" s="532" t="s">
        <v>85</v>
      </c>
      <c r="H168" s="532" t="s">
        <v>85</v>
      </c>
      <c r="I168" s="541"/>
      <c r="J168" s="618"/>
      <c r="K168" s="618"/>
      <c r="L168" s="618"/>
      <c r="M168" s="618"/>
      <c r="N168" s="618"/>
      <c r="O168" s="618"/>
      <c r="P168" s="618"/>
      <c r="Q168" s="618"/>
      <c r="R168" s="618"/>
      <c r="S168" s="618"/>
      <c r="T168" s="618"/>
      <c r="U168" s="618"/>
      <c r="V168" s="618"/>
      <c r="W168" s="618"/>
      <c r="X168" s="618"/>
      <c r="Y168" s="618"/>
      <c r="Z168" s="618"/>
      <c r="AA168" s="618"/>
      <c r="AB168" s="618"/>
      <c r="AC168" s="618"/>
      <c r="AD168" s="618"/>
      <c r="AE168" s="618"/>
      <c r="AF168" s="618"/>
      <c r="AG168" s="618"/>
      <c r="AH168" s="618"/>
      <c r="AI168" s="618"/>
      <c r="AJ168" s="618"/>
      <c r="AK168" s="618"/>
      <c r="AL168" s="618"/>
      <c r="AM168" s="618"/>
      <c r="AN168" s="618"/>
      <c r="AO168" s="618"/>
      <c r="AP168" s="618"/>
      <c r="AQ168" s="618"/>
      <c r="AR168" s="618"/>
      <c r="AS168" s="618"/>
      <c r="AT168" s="618"/>
      <c r="AU168" s="618"/>
      <c r="AV168" s="618"/>
      <c r="AW168" s="618"/>
      <c r="AX168" s="618"/>
      <c r="AY168" s="618"/>
      <c r="AZ168" s="618"/>
      <c r="BA168" s="618"/>
      <c r="BB168" s="618"/>
      <c r="BC168" s="618"/>
      <c r="BD168" s="618"/>
      <c r="BE168" s="618"/>
      <c r="BF168" s="3"/>
    </row>
    <row r="169" spans="1:58" ht="14.25" customHeight="1" thickBot="1" x14ac:dyDescent="0.5">
      <c r="A169" s="618"/>
      <c r="B169" s="618"/>
      <c r="C169" s="538" t="s">
        <v>85</v>
      </c>
      <c r="D169" s="539" t="s">
        <v>25</v>
      </c>
      <c r="E169" s="534">
        <f>SUM(E164:E167)</f>
        <v>1</v>
      </c>
      <c r="F169" s="534">
        <f t="shared" ref="F169:H169" si="10">SUM(F164:F167)</f>
        <v>1</v>
      </c>
      <c r="G169" s="534">
        <f t="shared" si="10"/>
        <v>1</v>
      </c>
      <c r="H169" s="534">
        <f t="shared" si="10"/>
        <v>1</v>
      </c>
      <c r="I169" s="543">
        <f>SUM(I164:I167)</f>
        <v>1</v>
      </c>
      <c r="J169" s="618"/>
      <c r="K169" s="618"/>
      <c r="L169" s="618"/>
      <c r="M169" s="618"/>
      <c r="N169" s="618"/>
      <c r="O169" s="618"/>
      <c r="P169" s="618"/>
      <c r="Q169" s="618"/>
      <c r="R169" s="618"/>
      <c r="S169" s="618"/>
      <c r="T169" s="618"/>
      <c r="U169" s="618"/>
      <c r="V169" s="618"/>
      <c r="W169" s="618"/>
      <c r="X169" s="618"/>
      <c r="Y169" s="618"/>
      <c r="Z169" s="618"/>
      <c r="AA169" s="618"/>
      <c r="AB169" s="618"/>
      <c r="AC169" s="618"/>
      <c r="AD169" s="618"/>
      <c r="AE169" s="618"/>
      <c r="AF169" s="618"/>
      <c r="AG169" s="618"/>
      <c r="AH169" s="618"/>
      <c r="AI169" s="618"/>
      <c r="AJ169" s="618"/>
      <c r="AK169" s="618"/>
      <c r="AL169" s="618"/>
      <c r="AM169" s="618"/>
      <c r="AN169" s="618"/>
      <c r="AO169" s="618"/>
      <c r="AP169" s="618"/>
      <c r="AQ169" s="618"/>
      <c r="AR169" s="618"/>
      <c r="AS169" s="618"/>
      <c r="AT169" s="618"/>
      <c r="AU169" s="618"/>
      <c r="AV169" s="618"/>
      <c r="AW169" s="618"/>
      <c r="AX169" s="618"/>
      <c r="AY169" s="618"/>
      <c r="AZ169" s="618"/>
      <c r="BA169" s="618"/>
      <c r="BB169" s="618"/>
      <c r="BC169" s="618"/>
      <c r="BD169" s="618"/>
      <c r="BE169" s="618"/>
      <c r="BF169" s="3"/>
    </row>
    <row r="170" spans="1:58" ht="14.25" customHeight="1" thickBot="1" x14ac:dyDescent="0.5">
      <c r="A170" s="618"/>
      <c r="B170" s="618"/>
      <c r="C170" s="618"/>
      <c r="D170" s="618"/>
      <c r="E170" s="618"/>
      <c r="F170" s="618"/>
      <c r="G170" s="618"/>
      <c r="H170" s="618"/>
      <c r="I170" s="618"/>
      <c r="J170" s="618"/>
      <c r="K170" s="618"/>
      <c r="L170" s="618"/>
      <c r="M170" s="618"/>
      <c r="N170" s="618"/>
      <c r="O170" s="618"/>
      <c r="P170" s="618"/>
      <c r="Q170" s="618"/>
      <c r="R170" s="618"/>
      <c r="S170" s="618"/>
      <c r="T170" s="618"/>
      <c r="U170" s="618"/>
      <c r="V170" s="618"/>
      <c r="W170" s="618"/>
      <c r="X170" s="618"/>
      <c r="Y170" s="618"/>
      <c r="Z170" s="618"/>
      <c r="AA170" s="618"/>
      <c r="AB170" s="618"/>
      <c r="AC170" s="618"/>
      <c r="AD170" s="618"/>
      <c r="AE170" s="618"/>
      <c r="AF170" s="618"/>
      <c r="AG170" s="618"/>
      <c r="AH170" s="618"/>
      <c r="AI170" s="618"/>
      <c r="AJ170" s="618"/>
      <c r="AK170" s="618"/>
      <c r="AL170" s="618"/>
      <c r="AM170" s="618"/>
      <c r="AN170" s="618"/>
      <c r="AO170" s="618"/>
      <c r="AP170" s="618"/>
      <c r="AQ170" s="618"/>
      <c r="AR170" s="618"/>
      <c r="AS170" s="618"/>
      <c r="AT170" s="618"/>
      <c r="AU170" s="618"/>
      <c r="AV170" s="618"/>
      <c r="AW170" s="618"/>
      <c r="AX170" s="618"/>
      <c r="AY170" s="618"/>
      <c r="AZ170" s="618"/>
      <c r="BA170" s="618"/>
      <c r="BB170" s="618"/>
      <c r="BC170" s="618"/>
      <c r="BD170" s="618"/>
      <c r="BE170" s="618"/>
      <c r="BF170" s="3"/>
    </row>
    <row r="171" spans="1:58" ht="14.25" customHeight="1" x14ac:dyDescent="0.45">
      <c r="A171" s="4"/>
      <c r="B171" s="4"/>
      <c r="C171" s="8"/>
      <c r="D171" s="122" t="s">
        <v>90</v>
      </c>
      <c r="E171" s="151"/>
      <c r="F171" s="151"/>
      <c r="G171" s="151"/>
      <c r="H171" s="152"/>
      <c r="I171" s="618"/>
      <c r="J171" s="618"/>
      <c r="K171" s="618"/>
      <c r="L171" s="618"/>
      <c r="M171" s="618"/>
      <c r="N171" s="618"/>
      <c r="O171" s="618"/>
      <c r="P171" s="618"/>
      <c r="Q171" s="618"/>
      <c r="R171" s="618"/>
      <c r="S171" s="618"/>
      <c r="T171" s="618"/>
      <c r="U171" s="618"/>
      <c r="V171" s="618"/>
      <c r="W171" s="618"/>
      <c r="X171" s="618"/>
      <c r="Y171" s="618"/>
      <c r="Z171" s="618"/>
      <c r="AA171" s="618"/>
      <c r="AB171" s="618"/>
      <c r="AC171" s="618"/>
      <c r="AD171" s="618"/>
      <c r="AE171" s="618"/>
      <c r="AF171" s="618"/>
      <c r="AG171" s="618"/>
      <c r="AH171" s="618"/>
      <c r="AI171" s="618"/>
      <c r="AJ171" s="618"/>
      <c r="AK171" s="618"/>
      <c r="AL171" s="618"/>
      <c r="AM171" s="618"/>
      <c r="AN171" s="3"/>
      <c r="AO171" s="3"/>
      <c r="AP171" s="3"/>
      <c r="AQ171" s="3"/>
      <c r="AR171" s="3"/>
      <c r="AS171" s="3"/>
      <c r="AT171" s="3"/>
      <c r="AU171" s="3"/>
      <c r="AV171" s="3"/>
      <c r="AW171" s="3"/>
      <c r="AX171" s="3"/>
      <c r="AY171" s="3"/>
      <c r="AZ171" s="3"/>
      <c r="BA171" s="3"/>
      <c r="BB171" s="3"/>
      <c r="BC171" s="3"/>
      <c r="BD171" s="3"/>
      <c r="BE171" s="3"/>
      <c r="BF171" s="3"/>
    </row>
    <row r="172" spans="1:58" ht="14.25" customHeight="1" x14ac:dyDescent="0.45">
      <c r="A172" s="618"/>
      <c r="B172" s="618"/>
      <c r="C172" s="165"/>
      <c r="D172" s="119" t="s">
        <v>91</v>
      </c>
      <c r="E172" s="127">
        <v>70</v>
      </c>
      <c r="F172" s="179"/>
      <c r="G172" s="179"/>
      <c r="H172" s="180"/>
      <c r="I172" s="618"/>
      <c r="J172" s="618"/>
      <c r="K172" s="618"/>
      <c r="L172" s="618"/>
      <c r="M172" s="618"/>
      <c r="N172" s="618"/>
      <c r="O172" s="618"/>
      <c r="P172" s="618"/>
      <c r="Q172" s="618"/>
      <c r="R172" s="618"/>
      <c r="S172" s="618"/>
      <c r="T172" s="618"/>
      <c r="U172" s="618"/>
      <c r="V172" s="618"/>
      <c r="W172" s="618"/>
      <c r="X172" s="618"/>
      <c r="Y172" s="618"/>
      <c r="Z172" s="618"/>
      <c r="AA172" s="618"/>
      <c r="AB172" s="618"/>
      <c r="AC172" s="618"/>
      <c r="AD172" s="618"/>
      <c r="AE172" s="618"/>
      <c r="AF172" s="618"/>
      <c r="AG172" s="618"/>
      <c r="AH172" s="618"/>
      <c r="AI172" s="618"/>
      <c r="AJ172" s="618"/>
      <c r="AK172" s="618"/>
      <c r="AL172" s="618"/>
      <c r="AM172" s="618"/>
      <c r="AN172" s="3"/>
      <c r="AO172" s="3"/>
      <c r="AP172" s="3"/>
      <c r="AQ172" s="3"/>
      <c r="AR172" s="3"/>
      <c r="AS172" s="3"/>
      <c r="AT172" s="3"/>
      <c r="AU172" s="3"/>
      <c r="AV172" s="3"/>
      <c r="AW172" s="3"/>
      <c r="AX172" s="3"/>
      <c r="AY172" s="3"/>
      <c r="AZ172" s="3"/>
      <c r="BA172" s="3"/>
      <c r="BB172" s="3"/>
      <c r="BC172" s="3"/>
      <c r="BD172" s="3"/>
      <c r="BE172" s="3"/>
      <c r="BF172" s="3"/>
    </row>
    <row r="173" spans="1:58" ht="14.25" customHeight="1" x14ac:dyDescent="0.45">
      <c r="A173" s="618"/>
      <c r="B173" s="618"/>
      <c r="C173" s="618"/>
      <c r="D173" s="618"/>
      <c r="E173" s="618"/>
      <c r="F173" s="618"/>
      <c r="G173" s="618"/>
      <c r="H173" s="618"/>
      <c r="I173" s="618"/>
      <c r="J173" s="618"/>
      <c r="K173" s="618"/>
      <c r="L173" s="618"/>
      <c r="M173" s="618"/>
      <c r="N173" s="618"/>
      <c r="O173" s="618"/>
      <c r="P173" s="618"/>
      <c r="Q173" s="618"/>
      <c r="R173" s="618"/>
      <c r="S173" s="618"/>
      <c r="T173" s="618"/>
      <c r="U173" s="618"/>
      <c r="V173" s="618"/>
      <c r="W173" s="618"/>
      <c r="X173" s="618"/>
      <c r="Y173" s="618"/>
      <c r="Z173" s="618"/>
      <c r="AA173" s="618"/>
      <c r="AB173" s="618"/>
      <c r="AC173" s="618"/>
      <c r="AD173" s="618"/>
      <c r="AE173" s="618"/>
      <c r="AF173" s="618"/>
      <c r="AG173" s="618"/>
      <c r="AH173" s="618"/>
      <c r="AI173" s="618"/>
      <c r="AJ173" s="618"/>
      <c r="AK173" s="618"/>
      <c r="AL173" s="618"/>
      <c r="AM173" s="618"/>
      <c r="AN173" s="618"/>
      <c r="AO173" s="3"/>
      <c r="AP173" s="3"/>
      <c r="AQ173" s="3"/>
      <c r="AR173" s="3"/>
      <c r="AS173" s="3"/>
      <c r="AT173" s="3"/>
      <c r="AU173" s="3"/>
      <c r="AV173" s="3"/>
      <c r="AW173" s="3"/>
      <c r="AX173" s="3"/>
      <c r="AY173" s="3"/>
      <c r="AZ173" s="3"/>
      <c r="BA173" s="3"/>
      <c r="BB173" s="3"/>
      <c r="BC173" s="3"/>
      <c r="BD173" s="3"/>
      <c r="BE173" s="3"/>
      <c r="BF173" s="3"/>
    </row>
    <row r="174" spans="1:58" ht="14.25" customHeight="1" x14ac:dyDescent="0.45">
      <c r="A174" s="618"/>
      <c r="B174" s="618"/>
      <c r="C174" s="618"/>
      <c r="D174" s="5"/>
      <c r="E174" s="6"/>
      <c r="F174" s="6"/>
      <c r="G174" s="6"/>
      <c r="H174" s="6"/>
      <c r="I174" s="618"/>
      <c r="J174" s="618"/>
      <c r="K174" s="618"/>
      <c r="L174" s="618"/>
      <c r="M174" s="618"/>
      <c r="N174" s="618"/>
      <c r="O174" s="618"/>
      <c r="P174" s="618"/>
      <c r="Q174" s="618"/>
      <c r="R174" s="618"/>
      <c r="S174" s="618"/>
      <c r="T174" s="618"/>
      <c r="U174" s="618"/>
      <c r="V174" s="618"/>
      <c r="W174" s="618"/>
      <c r="X174" s="618"/>
      <c r="Y174" s="618"/>
      <c r="Z174" s="618"/>
      <c r="AA174" s="618"/>
      <c r="AB174" s="618"/>
      <c r="AC174" s="618"/>
      <c r="AD174" s="618"/>
      <c r="AE174" s="618"/>
      <c r="AF174" s="618"/>
      <c r="AG174" s="618"/>
      <c r="AH174" s="618"/>
      <c r="AI174" s="618"/>
      <c r="AJ174" s="618"/>
      <c r="AK174" s="618"/>
      <c r="AL174" s="618"/>
      <c r="AM174" s="618"/>
      <c r="AN174" s="3"/>
      <c r="AO174" s="3"/>
      <c r="AP174" s="3"/>
      <c r="AQ174" s="3"/>
      <c r="AR174" s="3"/>
      <c r="AS174" s="3"/>
      <c r="AT174" s="3"/>
      <c r="AU174" s="3"/>
      <c r="AV174" s="3"/>
      <c r="AW174" s="3"/>
      <c r="AX174" s="3"/>
      <c r="AY174" s="3"/>
      <c r="AZ174" s="3"/>
      <c r="BA174" s="3"/>
      <c r="BB174" s="3"/>
      <c r="BC174" s="3"/>
      <c r="BD174" s="3"/>
      <c r="BE174" s="3"/>
      <c r="BF174" s="3"/>
    </row>
    <row r="175" spans="1:58" ht="14.25" customHeight="1" x14ac:dyDescent="0.45">
      <c r="A175" s="618"/>
      <c r="B175" s="618"/>
      <c r="C175" s="7"/>
      <c r="D175" s="103"/>
      <c r="E175" s="104"/>
      <c r="F175" s="104"/>
      <c r="G175" s="104"/>
      <c r="H175" s="105"/>
      <c r="I175" s="618"/>
      <c r="J175" s="618"/>
      <c r="K175" s="618"/>
      <c r="L175" s="618"/>
      <c r="M175" s="618"/>
      <c r="N175" s="618"/>
      <c r="O175" s="618"/>
      <c r="P175" s="618"/>
      <c r="Q175" s="618"/>
      <c r="R175" s="618"/>
      <c r="S175" s="618"/>
      <c r="T175" s="618"/>
      <c r="U175" s="618"/>
      <c r="V175" s="618"/>
      <c r="W175" s="618"/>
      <c r="X175" s="618"/>
      <c r="Y175" s="618"/>
      <c r="Z175" s="618"/>
      <c r="AA175" s="618"/>
      <c r="AB175" s="618"/>
      <c r="AC175" s="618"/>
      <c r="AD175" s="618"/>
      <c r="AE175" s="618"/>
      <c r="AF175" s="618"/>
      <c r="AG175" s="618"/>
      <c r="AH175" s="618"/>
      <c r="AI175" s="618"/>
      <c r="AJ175" s="618"/>
      <c r="AK175" s="618"/>
      <c r="AL175" s="618"/>
      <c r="AM175" s="618"/>
      <c r="AN175" s="3"/>
      <c r="AO175" s="3"/>
      <c r="AP175" s="3"/>
      <c r="AQ175" s="3"/>
      <c r="AR175" s="3"/>
      <c r="AS175" s="3"/>
      <c r="AT175" s="3"/>
      <c r="AU175" s="3"/>
      <c r="AV175" s="3"/>
      <c r="AW175" s="3"/>
      <c r="AX175" s="3"/>
      <c r="AY175" s="3"/>
      <c r="AZ175" s="3"/>
      <c r="BA175" s="3"/>
      <c r="BB175" s="3"/>
      <c r="BC175" s="3"/>
      <c r="BD175" s="3"/>
      <c r="BE175" s="3"/>
      <c r="BF175" s="3"/>
    </row>
    <row r="176" spans="1:58" ht="14.25" customHeight="1" x14ac:dyDescent="0.45">
      <c r="A176" s="618"/>
      <c r="B176" s="618"/>
      <c r="C176" s="106"/>
      <c r="D176" s="107" t="s">
        <v>92</v>
      </c>
      <c r="E176" s="108"/>
      <c r="F176" s="108"/>
      <c r="G176" s="108"/>
      <c r="H176" s="109"/>
      <c r="I176" s="618"/>
      <c r="J176" s="618"/>
      <c r="K176" s="618"/>
      <c r="L176" s="618"/>
      <c r="M176" s="618"/>
      <c r="N176" s="618"/>
      <c r="O176" s="618"/>
      <c r="P176" s="618"/>
      <c r="Q176" s="618"/>
      <c r="R176" s="618"/>
      <c r="S176" s="618"/>
      <c r="T176" s="618"/>
      <c r="U176" s="618"/>
      <c r="V176" s="618"/>
      <c r="W176" s="618"/>
      <c r="X176" s="618"/>
      <c r="Y176" s="618"/>
      <c r="Z176" s="618"/>
      <c r="AA176" s="618"/>
      <c r="AB176" s="618"/>
      <c r="AC176" s="618"/>
      <c r="AD176" s="618"/>
      <c r="AE176" s="618"/>
      <c r="AF176" s="618"/>
      <c r="AG176" s="618"/>
      <c r="AH176" s="618"/>
      <c r="AI176" s="618"/>
      <c r="AJ176" s="618"/>
      <c r="AK176" s="618"/>
      <c r="AL176" s="618"/>
      <c r="AM176" s="618"/>
      <c r="AN176" s="3"/>
      <c r="AO176" s="3"/>
      <c r="AP176" s="3"/>
      <c r="AQ176" s="3"/>
      <c r="AR176" s="3"/>
      <c r="AS176" s="3"/>
      <c r="AT176" s="3"/>
      <c r="AU176" s="3"/>
      <c r="AV176" s="3"/>
      <c r="AW176" s="3"/>
      <c r="AX176" s="3"/>
      <c r="AY176" s="3"/>
      <c r="AZ176" s="3"/>
      <c r="BA176" s="3"/>
      <c r="BB176" s="3"/>
      <c r="BC176" s="3"/>
      <c r="BD176" s="3"/>
      <c r="BE176" s="3"/>
      <c r="BF176" s="3"/>
    </row>
    <row r="177" spans="1:58" ht="14.25" customHeight="1" x14ac:dyDescent="0.45">
      <c r="A177" s="618"/>
      <c r="B177" s="618"/>
      <c r="C177" s="160"/>
      <c r="D177" s="111" t="s">
        <v>93</v>
      </c>
      <c r="E177" s="112">
        <v>2018</v>
      </c>
      <c r="F177" s="112">
        <v>2019</v>
      </c>
      <c r="G177" s="112">
        <v>2020</v>
      </c>
      <c r="H177" s="113">
        <v>2021</v>
      </c>
      <c r="I177" s="618"/>
      <c r="J177" s="618"/>
      <c r="K177" s="618"/>
      <c r="L177" s="618"/>
      <c r="M177" s="618"/>
      <c r="N177" s="618"/>
      <c r="O177" s="618"/>
      <c r="P177" s="618"/>
      <c r="Q177" s="618"/>
      <c r="R177" s="618"/>
      <c r="S177" s="618"/>
      <c r="T177" s="618"/>
      <c r="U177" s="618"/>
      <c r="V177" s="618"/>
      <c r="W177" s="618"/>
      <c r="X177" s="618"/>
      <c r="Y177" s="618"/>
      <c r="Z177" s="618"/>
      <c r="AA177" s="618"/>
      <c r="AB177" s="618"/>
      <c r="AC177" s="618"/>
      <c r="AD177" s="618"/>
      <c r="AE177" s="618"/>
      <c r="AF177" s="618"/>
      <c r="AG177" s="618"/>
      <c r="AH177" s="618"/>
      <c r="AI177" s="618"/>
      <c r="AJ177" s="618"/>
      <c r="AK177" s="618"/>
      <c r="AL177" s="618"/>
      <c r="AM177" s="618"/>
      <c r="AN177" s="3"/>
      <c r="AO177" s="3"/>
      <c r="AP177" s="3"/>
      <c r="AQ177" s="3"/>
      <c r="AR177" s="3"/>
      <c r="AS177" s="3"/>
      <c r="AT177" s="3"/>
      <c r="AU177" s="3"/>
      <c r="AV177" s="3"/>
      <c r="AW177" s="3"/>
      <c r="AX177" s="3"/>
      <c r="AY177" s="3"/>
      <c r="AZ177" s="3"/>
      <c r="BA177" s="3"/>
      <c r="BB177" s="3"/>
      <c r="BC177" s="3"/>
      <c r="BD177" s="3"/>
      <c r="BE177" s="3"/>
      <c r="BF177" s="3"/>
    </row>
    <row r="178" spans="1:58" ht="14.25" customHeight="1" x14ac:dyDescent="0.45">
      <c r="A178" s="618">
        <v>1</v>
      </c>
      <c r="B178" s="618"/>
      <c r="C178" s="106"/>
      <c r="D178" s="115" t="s">
        <v>94</v>
      </c>
      <c r="E178" s="132">
        <f>'Copia de Combustibles'!D147*$E$305</f>
        <v>10.121108976373842</v>
      </c>
      <c r="F178" s="132">
        <f>'Copia de Combustibles'!E147*$E$305</f>
        <v>9.809412923986331</v>
      </c>
      <c r="G178" s="132">
        <f>'Copia de Combustibles'!F147*$E$305</f>
        <v>9.4608765506667574</v>
      </c>
      <c r="H178" s="134">
        <f>'Copia de Combustibles'!G147*$E$305</f>
        <v>9.0898252546639533</v>
      </c>
      <c r="I178" s="618"/>
      <c r="J178" s="618"/>
      <c r="K178" s="618"/>
      <c r="L178" s="618"/>
      <c r="M178" s="618"/>
      <c r="N178" s="618"/>
      <c r="O178" s="618"/>
      <c r="P178" s="618"/>
      <c r="Q178" s="618"/>
      <c r="R178" s="618"/>
      <c r="S178" s="618"/>
      <c r="T178" s="618"/>
      <c r="U178" s="618"/>
      <c r="V178" s="618"/>
      <c r="W178" s="618"/>
      <c r="X178" s="618"/>
      <c r="Y178" s="618"/>
      <c r="Z178" s="618"/>
      <c r="AA178" s="618"/>
      <c r="AB178" s="618"/>
      <c r="AC178" s="618"/>
      <c r="AD178" s="618"/>
      <c r="AE178" s="618"/>
      <c r="AF178" s="618"/>
      <c r="AG178" s="618"/>
      <c r="AH178" s="618"/>
      <c r="AI178" s="618"/>
      <c r="AJ178" s="618"/>
      <c r="AK178" s="618"/>
      <c r="AL178" s="618"/>
      <c r="AM178" s="618"/>
      <c r="AN178" s="3"/>
      <c r="AO178" s="3"/>
      <c r="AP178" s="3"/>
      <c r="AQ178" s="3"/>
      <c r="AR178" s="3"/>
      <c r="AS178" s="3"/>
      <c r="AT178" s="3"/>
      <c r="AU178" s="3"/>
      <c r="AV178" s="3"/>
      <c r="AW178" s="3"/>
      <c r="AX178" s="3"/>
      <c r="AY178" s="3"/>
      <c r="AZ178" s="3"/>
      <c r="BA178" s="3"/>
      <c r="BB178" s="3"/>
      <c r="BC178" s="3"/>
      <c r="BD178" s="3"/>
      <c r="BE178" s="3"/>
      <c r="BF178" s="3"/>
    </row>
    <row r="179" spans="1:58" ht="14.25" customHeight="1" x14ac:dyDescent="0.45">
      <c r="A179" s="618">
        <v>1</v>
      </c>
      <c r="B179" s="618"/>
      <c r="C179" s="106"/>
      <c r="D179" s="115" t="s">
        <v>95</v>
      </c>
      <c r="E179" s="132">
        <f>'Copia de Combustibles'!D148*$E$305</f>
        <v>12.162918048479431</v>
      </c>
      <c r="F179" s="132">
        <f>'Copia de Combustibles'!E148*$E$305</f>
        <v>13.515971351404671</v>
      </c>
      <c r="G179" s="132">
        <f>'Copia de Combustibles'!F148*$E$305</f>
        <v>12.951554567699301</v>
      </c>
      <c r="H179" s="134">
        <f>'Copia de Combustibles'!G148*$E$305</f>
        <v>11.647203790450069</v>
      </c>
      <c r="I179" s="618"/>
      <c r="J179" s="618"/>
      <c r="K179" s="618"/>
      <c r="L179" s="618"/>
      <c r="M179" s="618"/>
      <c r="N179" s="618"/>
      <c r="O179" s="618"/>
      <c r="P179" s="618"/>
      <c r="Q179" s="618"/>
      <c r="R179" s="618"/>
      <c r="S179" s="618"/>
      <c r="T179" s="618"/>
      <c r="U179" s="618"/>
      <c r="V179" s="618"/>
      <c r="W179" s="618"/>
      <c r="X179" s="618"/>
      <c r="Y179" s="618"/>
      <c r="Z179" s="618"/>
      <c r="AA179" s="618"/>
      <c r="AB179" s="618"/>
      <c r="AC179" s="618"/>
      <c r="AD179" s="618"/>
      <c r="AE179" s="618"/>
      <c r="AF179" s="618"/>
      <c r="AG179" s="618"/>
      <c r="AH179" s="618"/>
      <c r="AI179" s="618"/>
      <c r="AJ179" s="618"/>
      <c r="AK179" s="618"/>
      <c r="AL179" s="618"/>
      <c r="AM179" s="618"/>
    </row>
    <row r="180" spans="1:58" ht="14.25" customHeight="1" x14ac:dyDescent="0.45">
      <c r="A180" s="618"/>
      <c r="B180" s="618"/>
      <c r="C180" s="106"/>
      <c r="D180" s="115" t="s">
        <v>96</v>
      </c>
      <c r="E180" s="132"/>
      <c r="F180" s="132"/>
      <c r="G180" s="132"/>
      <c r="H180" s="134"/>
      <c r="I180" s="618"/>
      <c r="J180" s="618"/>
      <c r="K180" s="618"/>
      <c r="L180" s="618"/>
      <c r="M180" s="618"/>
      <c r="N180" s="618"/>
      <c r="O180" s="618"/>
      <c r="P180" s="618"/>
      <c r="Q180" s="618"/>
      <c r="R180" s="618"/>
      <c r="S180" s="618"/>
      <c r="T180" s="618"/>
      <c r="U180" s="618"/>
      <c r="V180" s="618"/>
      <c r="W180" s="618"/>
      <c r="X180" s="618"/>
      <c r="Y180" s="618"/>
      <c r="Z180" s="618"/>
      <c r="AA180" s="618"/>
      <c r="AB180" s="618"/>
      <c r="AC180" s="618"/>
      <c r="AD180" s="618"/>
      <c r="AE180" s="618"/>
      <c r="AF180" s="618"/>
      <c r="AG180" s="618"/>
      <c r="AH180" s="618"/>
      <c r="AI180" s="618"/>
      <c r="AJ180" s="618"/>
      <c r="AK180" s="618"/>
      <c r="AL180" s="618"/>
      <c r="AM180" s="618"/>
    </row>
    <row r="181" spans="1:58" ht="14.25" customHeight="1" x14ac:dyDescent="0.45">
      <c r="A181" s="618"/>
      <c r="B181" s="618"/>
      <c r="C181" s="106"/>
      <c r="D181" s="115" t="s">
        <v>97</v>
      </c>
      <c r="E181" s="132"/>
      <c r="F181" s="132"/>
      <c r="G181" s="132"/>
      <c r="H181" s="134"/>
      <c r="I181" s="618"/>
      <c r="J181" s="618"/>
      <c r="K181" s="618"/>
      <c r="L181" s="618"/>
      <c r="M181" s="618"/>
      <c r="N181" s="618"/>
      <c r="O181" s="618"/>
      <c r="P181" s="618"/>
      <c r="Q181" s="618"/>
      <c r="R181" s="618"/>
      <c r="S181" s="618"/>
      <c r="T181" s="618"/>
      <c r="U181" s="618"/>
      <c r="V181" s="618"/>
      <c r="W181" s="618"/>
      <c r="X181" s="618"/>
      <c r="Y181" s="618"/>
      <c r="Z181" s="618"/>
      <c r="AA181" s="618"/>
      <c r="AB181" s="618"/>
      <c r="AC181" s="618"/>
      <c r="AD181" s="618"/>
      <c r="AE181" s="618"/>
      <c r="AF181" s="618"/>
      <c r="AG181" s="618"/>
      <c r="AH181" s="618"/>
      <c r="AI181" s="618"/>
      <c r="AJ181" s="618"/>
      <c r="AK181" s="618"/>
      <c r="AL181" s="618"/>
      <c r="AM181" s="618"/>
    </row>
    <row r="182" spans="1:58" ht="14.25" customHeight="1" x14ac:dyDescent="0.45">
      <c r="A182" s="618"/>
      <c r="B182" s="618"/>
      <c r="C182" s="106"/>
      <c r="D182" s="115" t="s">
        <v>98</v>
      </c>
      <c r="E182" s="132"/>
      <c r="F182" s="132"/>
      <c r="G182" s="132"/>
      <c r="H182" s="134"/>
      <c r="I182" s="618"/>
      <c r="J182" s="618"/>
      <c r="K182" s="618"/>
      <c r="L182" s="618"/>
      <c r="M182" s="618"/>
      <c r="N182" s="618"/>
      <c r="O182" s="618"/>
      <c r="P182" s="618"/>
      <c r="Q182" s="618"/>
      <c r="R182" s="618"/>
      <c r="S182" s="618"/>
      <c r="T182" s="618"/>
      <c r="U182" s="618"/>
      <c r="V182" s="618"/>
      <c r="W182" s="618"/>
      <c r="X182" s="618"/>
      <c r="Y182" s="618"/>
      <c r="Z182" s="618"/>
      <c r="AA182" s="618"/>
      <c r="AB182" s="618"/>
      <c r="AC182" s="618"/>
      <c r="AD182" s="618"/>
      <c r="AE182" s="618"/>
      <c r="AF182" s="618"/>
      <c r="AG182" s="618"/>
      <c r="AH182" s="618"/>
      <c r="AI182" s="618"/>
      <c r="AJ182" s="618"/>
      <c r="AK182" s="618"/>
      <c r="AL182" s="618"/>
      <c r="AM182" s="618"/>
    </row>
    <row r="183" spans="1:58" ht="14.25" customHeight="1" x14ac:dyDescent="0.45">
      <c r="A183" s="618"/>
      <c r="B183" s="618"/>
      <c r="C183" s="106"/>
      <c r="D183" s="115" t="s">
        <v>25</v>
      </c>
      <c r="E183" s="132">
        <f>SUM(E178:E181)</f>
        <v>22.284027024853273</v>
      </c>
      <c r="F183" s="132">
        <f>SUM(F178:F181)</f>
        <v>23.325384275391002</v>
      </c>
      <c r="G183" s="132">
        <f>SUM(G178:G181)</f>
        <v>22.412431118366058</v>
      </c>
      <c r="H183" s="134">
        <f>SUM(H178:H181)</f>
        <v>20.737029045114021</v>
      </c>
      <c r="I183" s="618"/>
      <c r="J183" s="618"/>
      <c r="K183" s="618"/>
      <c r="L183" s="618"/>
      <c r="M183" s="618"/>
      <c r="N183" s="618"/>
      <c r="O183" s="618"/>
      <c r="P183" s="618"/>
      <c r="Q183" s="618"/>
      <c r="R183" s="618"/>
      <c r="S183" s="618"/>
      <c r="T183" s="618"/>
      <c r="U183" s="618"/>
      <c r="V183" s="618"/>
      <c r="W183" s="618"/>
      <c r="X183" s="618"/>
      <c r="Y183" s="618"/>
      <c r="Z183" s="618"/>
      <c r="AA183" s="618"/>
      <c r="AB183" s="618"/>
      <c r="AC183" s="618"/>
      <c r="AD183" s="618"/>
      <c r="AE183" s="618"/>
      <c r="AF183" s="618"/>
      <c r="AG183" s="618"/>
      <c r="AH183" s="618"/>
      <c r="AI183" s="618"/>
      <c r="AJ183" s="618"/>
      <c r="AK183" s="618"/>
      <c r="AL183" s="618"/>
      <c r="AM183" s="618"/>
    </row>
    <row r="184" spans="1:58" ht="14.25" customHeight="1" x14ac:dyDescent="0.45">
      <c r="A184" s="618"/>
      <c r="B184" s="618"/>
      <c r="C184" s="118"/>
      <c r="D184" s="181"/>
      <c r="E184" s="172"/>
      <c r="F184" s="172"/>
      <c r="G184" s="172"/>
      <c r="H184" s="182"/>
      <c r="I184" s="618"/>
      <c r="J184" s="618"/>
      <c r="K184" s="618"/>
      <c r="L184" s="618"/>
      <c r="M184" s="618"/>
      <c r="N184" s="618"/>
      <c r="O184" s="618"/>
      <c r="P184" s="618"/>
      <c r="Q184" s="618"/>
      <c r="R184" s="618"/>
      <c r="S184" s="618"/>
      <c r="T184" s="618"/>
      <c r="U184" s="618"/>
      <c r="V184" s="618"/>
      <c r="W184" s="618"/>
      <c r="X184" s="618"/>
      <c r="Y184" s="618"/>
      <c r="Z184" s="618"/>
      <c r="AA184" s="618"/>
      <c r="AB184" s="618"/>
      <c r="AC184" s="618"/>
      <c r="AD184" s="618"/>
      <c r="AE184" s="618"/>
      <c r="AF184" s="618"/>
      <c r="AG184" s="618"/>
      <c r="AH184" s="618"/>
      <c r="AI184" s="618"/>
      <c r="AJ184" s="618"/>
      <c r="AK184" s="618"/>
      <c r="AL184" s="618"/>
      <c r="AM184" s="618"/>
    </row>
    <row r="185" spans="1:58" ht="14.25" customHeight="1" x14ac:dyDescent="0.45">
      <c r="A185" s="618"/>
      <c r="B185" s="618"/>
      <c r="C185" s="618"/>
      <c r="D185" s="5"/>
      <c r="E185" s="6"/>
      <c r="F185" s="6"/>
      <c r="G185" s="6"/>
      <c r="H185" s="6"/>
      <c r="I185" s="618"/>
      <c r="J185" s="618"/>
      <c r="K185" s="618"/>
      <c r="L185" s="618"/>
      <c r="M185" s="618"/>
      <c r="N185" s="618"/>
      <c r="O185" s="618"/>
      <c r="P185" s="618"/>
      <c r="Q185" s="618"/>
      <c r="R185" s="618"/>
      <c r="S185" s="618"/>
      <c r="T185" s="618"/>
      <c r="U185" s="618"/>
      <c r="V185" s="618"/>
      <c r="W185" s="618"/>
      <c r="X185" s="618"/>
      <c r="Y185" s="618"/>
      <c r="Z185" s="618"/>
      <c r="AA185" s="618"/>
      <c r="AB185" s="618"/>
      <c r="AC185" s="618"/>
      <c r="AD185" s="618"/>
      <c r="AE185" s="618"/>
      <c r="AF185" s="618"/>
      <c r="AG185" s="618"/>
      <c r="AH185" s="618"/>
      <c r="AI185" s="618"/>
      <c r="AJ185" s="618"/>
      <c r="AK185" s="618"/>
      <c r="AL185" s="618"/>
      <c r="AM185" s="618"/>
    </row>
    <row r="186" spans="1:58" ht="14.25" customHeight="1" x14ac:dyDescent="0.45">
      <c r="A186" s="618"/>
      <c r="B186" s="618"/>
      <c r="C186" s="7"/>
      <c r="D186" s="103"/>
      <c r="E186" s="158"/>
      <c r="F186" s="158"/>
      <c r="G186" s="158"/>
      <c r="H186" s="159"/>
      <c r="I186" s="618"/>
      <c r="J186" s="618"/>
      <c r="K186" s="618"/>
      <c r="L186" s="618"/>
      <c r="M186" s="618"/>
      <c r="N186" s="618"/>
      <c r="O186" s="618"/>
      <c r="P186" s="618"/>
      <c r="Q186" s="618"/>
      <c r="R186" s="618"/>
      <c r="S186" s="618"/>
      <c r="T186" s="618"/>
      <c r="U186" s="618"/>
      <c r="V186" s="618"/>
      <c r="W186" s="618"/>
      <c r="X186" s="618"/>
      <c r="Y186" s="618"/>
      <c r="Z186" s="618"/>
      <c r="AA186" s="618"/>
      <c r="AB186" s="618"/>
      <c r="AC186" s="618"/>
      <c r="AD186" s="618"/>
      <c r="AE186" s="618"/>
      <c r="AF186" s="618"/>
      <c r="AG186" s="618"/>
      <c r="AH186" s="618"/>
      <c r="AI186" s="618"/>
      <c r="AJ186" s="618"/>
      <c r="AK186" s="618"/>
      <c r="AL186" s="618"/>
      <c r="AM186" s="618"/>
    </row>
    <row r="187" spans="1:58" ht="23.25" customHeight="1" x14ac:dyDescent="0.45">
      <c r="A187" s="618"/>
      <c r="B187" s="618"/>
      <c r="C187" s="106"/>
      <c r="D187" s="107" t="s">
        <v>99</v>
      </c>
      <c r="E187" s="183"/>
      <c r="F187" s="183"/>
      <c r="G187" s="183"/>
      <c r="H187" s="184"/>
      <c r="I187" s="618"/>
      <c r="J187" s="618"/>
      <c r="K187" s="618"/>
      <c r="L187" s="618"/>
      <c r="M187" s="618"/>
      <c r="N187" s="618"/>
      <c r="O187" s="618"/>
      <c r="P187" s="618"/>
      <c r="Q187" s="618"/>
      <c r="R187" s="618"/>
      <c r="S187" s="618"/>
      <c r="T187" s="618"/>
      <c r="U187" s="618"/>
      <c r="V187" s="618"/>
      <c r="W187" s="618"/>
      <c r="X187" s="618"/>
      <c r="Y187" s="618"/>
      <c r="Z187" s="618"/>
      <c r="AA187" s="618"/>
      <c r="AB187" s="618"/>
      <c r="AC187" s="618"/>
      <c r="AD187" s="618"/>
      <c r="AE187" s="618"/>
      <c r="AF187" s="618"/>
      <c r="AG187" s="618"/>
      <c r="AH187" s="618"/>
      <c r="AI187" s="618"/>
      <c r="AJ187" s="618"/>
      <c r="AK187" s="618"/>
      <c r="AL187" s="618"/>
      <c r="AM187" s="618"/>
    </row>
    <row r="188" spans="1:58" ht="14.25" customHeight="1" x14ac:dyDescent="0.45">
      <c r="A188" s="618"/>
      <c r="B188" s="618"/>
      <c r="C188" s="106"/>
      <c r="D188" s="111"/>
      <c r="E188" s="111"/>
      <c r="F188" s="111"/>
      <c r="G188" s="111"/>
      <c r="H188" s="185"/>
      <c r="I188" s="618"/>
      <c r="J188" s="618"/>
      <c r="K188" s="618"/>
      <c r="L188" s="618"/>
      <c r="M188" s="618"/>
      <c r="N188" s="618"/>
      <c r="O188" s="618"/>
      <c r="P188" s="618"/>
      <c r="Q188" s="618"/>
      <c r="R188" s="618"/>
      <c r="S188" s="618"/>
      <c r="T188" s="618"/>
      <c r="U188" s="618"/>
      <c r="V188" s="618"/>
      <c r="W188" s="618"/>
      <c r="X188" s="618"/>
      <c r="Y188" s="618"/>
      <c r="Z188" s="618"/>
      <c r="AA188" s="618"/>
      <c r="AB188" s="618"/>
      <c r="AC188" s="618"/>
      <c r="AD188" s="618"/>
      <c r="AE188" s="618"/>
      <c r="AF188" s="618"/>
      <c r="AG188" s="618"/>
      <c r="AH188" s="618"/>
      <c r="AI188" s="618"/>
      <c r="AJ188" s="618"/>
      <c r="AK188" s="618"/>
      <c r="AL188" s="618"/>
      <c r="AM188" s="618"/>
    </row>
    <row r="189" spans="1:58" ht="14.25" customHeight="1" x14ac:dyDescent="0.45">
      <c r="A189" s="618"/>
      <c r="B189" s="618"/>
      <c r="C189" s="106"/>
      <c r="D189" s="115" t="s">
        <v>100</v>
      </c>
      <c r="E189" s="186">
        <f>('Copia de Combustibles'!D173/1000)*$E$305</f>
        <v>4.0585789843496407</v>
      </c>
      <c r="F189" s="186">
        <f>('Copia de Combustibles'!E173/1000)*$E$305</f>
        <v>4.1944117344600045</v>
      </c>
      <c r="G189" s="186">
        <f>('Copia de Combustibles'!F173/1000)*$E$305</f>
        <v>3.9184900291424136</v>
      </c>
      <c r="H189" s="187">
        <f>('Copia de Combustibles'!G173/1000)*$E$305</f>
        <v>3.6900253009826045</v>
      </c>
      <c r="I189" s="618"/>
      <c r="J189" s="618"/>
      <c r="K189" s="618"/>
      <c r="L189" s="618"/>
      <c r="M189" s="618"/>
      <c r="N189" s="618"/>
      <c r="O189" s="618"/>
      <c r="P189" s="618"/>
      <c r="Q189" s="618"/>
      <c r="R189" s="618"/>
      <c r="S189" s="618"/>
      <c r="T189" s="618"/>
      <c r="U189" s="618"/>
      <c r="V189" s="618"/>
      <c r="W189" s="618"/>
      <c r="X189" s="618"/>
      <c r="Y189" s="618"/>
      <c r="Z189" s="618"/>
      <c r="AA189" s="618"/>
      <c r="AB189" s="618"/>
      <c r="AC189" s="618"/>
      <c r="AD189" s="618"/>
      <c r="AE189" s="618"/>
      <c r="AF189" s="618"/>
      <c r="AG189" s="618"/>
      <c r="AH189" s="618"/>
      <c r="AI189" s="618"/>
      <c r="AJ189" s="618"/>
      <c r="AK189" s="618"/>
      <c r="AL189" s="618"/>
      <c r="AM189" s="618"/>
    </row>
    <row r="190" spans="1:58" ht="14.25" customHeight="1" x14ac:dyDescent="0.45">
      <c r="A190" s="618"/>
      <c r="B190" s="618"/>
      <c r="C190" s="106"/>
      <c r="D190" s="111"/>
      <c r="E190" s="111"/>
      <c r="F190" s="111"/>
      <c r="G190" s="111"/>
      <c r="H190" s="185"/>
      <c r="I190" s="618"/>
      <c r="J190" s="618"/>
      <c r="K190" s="618"/>
      <c r="L190" s="618"/>
      <c r="M190" s="618"/>
      <c r="N190" s="618"/>
      <c r="O190" s="618"/>
      <c r="P190" s="618"/>
      <c r="Q190" s="618"/>
      <c r="R190" s="618"/>
      <c r="S190" s="618"/>
      <c r="T190" s="618"/>
      <c r="U190" s="618"/>
      <c r="V190" s="618"/>
      <c r="W190" s="618"/>
      <c r="X190" s="618"/>
      <c r="Y190" s="618"/>
      <c r="Z190" s="618"/>
      <c r="AA190" s="618"/>
      <c r="AB190" s="618"/>
      <c r="AC190" s="618"/>
      <c r="AD190" s="618"/>
      <c r="AE190" s="618"/>
      <c r="AF190" s="618"/>
      <c r="AG190" s="618"/>
      <c r="AH190" s="618"/>
      <c r="AI190" s="618"/>
      <c r="AJ190" s="618"/>
      <c r="AK190" s="618"/>
      <c r="AL190" s="618"/>
      <c r="AM190" s="618"/>
    </row>
    <row r="191" spans="1:58" ht="14.25" customHeight="1" x14ac:dyDescent="0.45">
      <c r="A191" s="618"/>
      <c r="B191" s="618"/>
      <c r="C191" s="106"/>
      <c r="D191" s="188" t="s">
        <v>101</v>
      </c>
      <c r="E191" s="189">
        <f>('Copia de Combustibles'!D175/1000)*$E$305</f>
        <v>1084.2884378187171</v>
      </c>
      <c r="F191" s="189">
        <f>('Copia de Combustibles'!E175/1000)*$E$305</f>
        <v>1119.1236010191449</v>
      </c>
      <c r="G191" s="189">
        <f>('Copia de Combustibles'!F175/1000)*$E$305</f>
        <v>1000.3884390483078</v>
      </c>
      <c r="H191" s="190">
        <f>('Copia de Combustibles'!G175/1000)*$E$305</f>
        <v>957.99807050274035</v>
      </c>
      <c r="I191" s="618"/>
      <c r="J191" s="618"/>
      <c r="K191" s="618"/>
      <c r="L191" s="618"/>
      <c r="M191" s="618"/>
      <c r="N191" s="618"/>
      <c r="O191" s="618"/>
      <c r="P191" s="618"/>
      <c r="Q191" s="618"/>
      <c r="R191" s="618"/>
      <c r="S191" s="618"/>
      <c r="T191" s="618"/>
      <c r="U191" s="618"/>
      <c r="V191" s="618"/>
      <c r="W191" s="618"/>
      <c r="X191" s="618"/>
      <c r="Y191" s="618"/>
      <c r="Z191" s="618"/>
      <c r="AA191" s="618"/>
      <c r="AB191" s="618"/>
      <c r="AC191" s="618"/>
      <c r="AD191" s="618"/>
      <c r="AE191" s="618"/>
      <c r="AF191" s="618"/>
      <c r="AG191" s="618"/>
      <c r="AH191" s="618"/>
      <c r="AI191" s="618"/>
      <c r="AJ191" s="618"/>
      <c r="AK191" s="618"/>
      <c r="AL191" s="618"/>
      <c r="AM191" s="618"/>
    </row>
    <row r="192" spans="1:58" ht="14.25" customHeight="1" x14ac:dyDescent="0.45">
      <c r="A192" s="618"/>
      <c r="B192" s="618"/>
      <c r="C192" s="106"/>
      <c r="D192" s="115"/>
      <c r="E192" s="111"/>
      <c r="F192" s="111"/>
      <c r="G192" s="111"/>
      <c r="H192" s="185"/>
      <c r="I192" s="618"/>
      <c r="J192" s="618"/>
      <c r="K192" s="618"/>
      <c r="L192" s="618"/>
      <c r="M192" s="618"/>
      <c r="N192" s="618"/>
      <c r="O192" s="618"/>
      <c r="P192" s="618"/>
      <c r="Q192" s="618"/>
      <c r="R192" s="618"/>
      <c r="S192" s="618"/>
      <c r="T192" s="618"/>
      <c r="U192" s="618"/>
      <c r="V192" s="618"/>
      <c r="W192" s="618"/>
      <c r="X192" s="618"/>
      <c r="Y192" s="618"/>
      <c r="Z192" s="618"/>
      <c r="AA192" s="618"/>
      <c r="AB192" s="618"/>
      <c r="AC192" s="618"/>
      <c r="AD192" s="618"/>
      <c r="AE192" s="618"/>
      <c r="AF192" s="618"/>
      <c r="AG192" s="618"/>
      <c r="AH192" s="618"/>
      <c r="AI192" s="618"/>
      <c r="AJ192" s="618"/>
      <c r="AK192" s="618"/>
      <c r="AL192" s="618"/>
      <c r="AM192" s="618"/>
    </row>
    <row r="193" spans="1:39" ht="14.25" customHeight="1" x14ac:dyDescent="0.45">
      <c r="A193" s="618"/>
      <c r="B193" s="618"/>
      <c r="C193" s="106"/>
      <c r="D193" s="188" t="s">
        <v>102</v>
      </c>
      <c r="E193" s="189">
        <v>101150</v>
      </c>
      <c r="F193" s="111"/>
      <c r="G193" s="111"/>
      <c r="H193" s="185"/>
      <c r="I193" s="618"/>
      <c r="J193" s="618"/>
      <c r="K193" s="618"/>
      <c r="L193" s="618"/>
      <c r="M193" s="618"/>
      <c r="N193" s="618"/>
      <c r="O193" s="618"/>
      <c r="P193" s="618"/>
      <c r="Q193" s="618"/>
      <c r="R193" s="618"/>
      <c r="S193" s="618"/>
      <c r="T193" s="618"/>
      <c r="U193" s="618"/>
      <c r="V193" s="618"/>
      <c r="W193" s="618"/>
      <c r="X193" s="618"/>
      <c r="Y193" s="618"/>
      <c r="Z193" s="618"/>
      <c r="AA193" s="618"/>
      <c r="AB193" s="618"/>
      <c r="AC193" s="618"/>
      <c r="AD193" s="618"/>
      <c r="AE193" s="618"/>
      <c r="AF193" s="618"/>
      <c r="AG193" s="618"/>
      <c r="AH193" s="618"/>
      <c r="AI193" s="618"/>
      <c r="AJ193" s="618"/>
      <c r="AK193" s="618"/>
      <c r="AL193" s="618"/>
      <c r="AM193" s="618"/>
    </row>
    <row r="194" spans="1:39" ht="14.25" customHeight="1" x14ac:dyDescent="0.45">
      <c r="A194" s="618"/>
      <c r="B194" s="618"/>
      <c r="C194" s="106"/>
      <c r="D194" s="111"/>
      <c r="E194" s="111"/>
      <c r="F194" s="111"/>
      <c r="G194" s="111"/>
      <c r="H194" s="185"/>
      <c r="I194" s="618"/>
      <c r="J194" s="618"/>
      <c r="K194" s="618"/>
      <c r="L194" s="618"/>
      <c r="M194" s="618"/>
      <c r="N194" s="618"/>
      <c r="O194" s="618"/>
      <c r="P194" s="618"/>
      <c r="Q194" s="618"/>
      <c r="R194" s="618"/>
      <c r="S194" s="618"/>
      <c r="T194" s="618"/>
      <c r="U194" s="618"/>
      <c r="V194" s="618"/>
      <c r="W194" s="618"/>
      <c r="X194" s="618"/>
      <c r="Y194" s="618"/>
      <c r="Z194" s="618"/>
      <c r="AA194" s="618"/>
      <c r="AB194" s="618"/>
      <c r="AC194" s="618"/>
      <c r="AD194" s="618"/>
      <c r="AE194" s="618"/>
      <c r="AF194" s="618"/>
      <c r="AG194" s="618"/>
      <c r="AH194" s="618"/>
      <c r="AI194" s="618"/>
      <c r="AJ194" s="618"/>
      <c r="AK194" s="618"/>
      <c r="AL194" s="618"/>
      <c r="AM194" s="618"/>
    </row>
    <row r="195" spans="1:39" ht="14.25" customHeight="1" x14ac:dyDescent="0.45">
      <c r="A195" s="618"/>
      <c r="B195" s="618"/>
      <c r="C195" s="118"/>
      <c r="D195" s="181"/>
      <c r="E195" s="191"/>
      <c r="F195" s="191"/>
      <c r="G195" s="191"/>
      <c r="H195" s="192"/>
      <c r="I195" s="618"/>
      <c r="J195" s="618"/>
      <c r="K195" s="618"/>
      <c r="L195" s="618"/>
      <c r="M195" s="618"/>
      <c r="N195" s="618"/>
      <c r="O195" s="618"/>
      <c r="P195" s="618"/>
      <c r="Q195" s="618"/>
      <c r="R195" s="618"/>
      <c r="S195" s="618"/>
      <c r="T195" s="618"/>
      <c r="U195" s="618"/>
      <c r="V195" s="618"/>
      <c r="W195" s="618"/>
      <c r="X195" s="618"/>
      <c r="Y195" s="618"/>
      <c r="Z195" s="618"/>
      <c r="AA195" s="618"/>
      <c r="AB195" s="618"/>
      <c r="AC195" s="618"/>
      <c r="AD195" s="618"/>
      <c r="AE195" s="618"/>
      <c r="AF195" s="618"/>
      <c r="AG195" s="618"/>
      <c r="AH195" s="618"/>
      <c r="AI195" s="618"/>
      <c r="AJ195" s="618"/>
      <c r="AK195" s="618"/>
      <c r="AL195" s="618"/>
      <c r="AM195" s="618"/>
    </row>
    <row r="196" spans="1:39" ht="14.25" customHeight="1" thickBot="1" x14ac:dyDescent="0.5">
      <c r="A196" s="618"/>
      <c r="B196" s="618"/>
      <c r="C196" s="618"/>
      <c r="D196" s="12"/>
      <c r="E196" s="13"/>
      <c r="F196" s="618"/>
      <c r="G196" s="618"/>
      <c r="H196" s="618"/>
      <c r="I196" s="618"/>
      <c r="J196" s="618"/>
      <c r="K196" s="618"/>
      <c r="L196" s="618"/>
      <c r="M196" s="618"/>
      <c r="N196" s="618"/>
      <c r="O196" s="618"/>
      <c r="P196" s="618"/>
      <c r="Q196" s="618"/>
      <c r="R196" s="618"/>
      <c r="S196" s="618"/>
      <c r="T196" s="618"/>
      <c r="U196" s="618"/>
      <c r="V196" s="618"/>
      <c r="W196" s="618"/>
      <c r="X196" s="618"/>
      <c r="Y196" s="618"/>
      <c r="Z196" s="618"/>
      <c r="AA196" s="618"/>
      <c r="AB196" s="618"/>
      <c r="AC196" s="618"/>
      <c r="AD196" s="618"/>
      <c r="AE196" s="618"/>
      <c r="AF196" s="618"/>
      <c r="AG196" s="618"/>
      <c r="AH196" s="618"/>
      <c r="AI196" s="618"/>
      <c r="AJ196" s="618"/>
      <c r="AK196" s="618"/>
      <c r="AL196" s="618"/>
      <c r="AM196" s="618"/>
    </row>
    <row r="197" spans="1:39" ht="14.25" customHeight="1" x14ac:dyDescent="0.45">
      <c r="A197" s="618"/>
      <c r="B197" s="618"/>
      <c r="C197" s="7"/>
      <c r="D197" s="103"/>
      <c r="E197" s="193" t="s">
        <v>103</v>
      </c>
      <c r="F197" s="158"/>
      <c r="G197" s="158"/>
      <c r="H197" s="159"/>
      <c r="I197" s="618"/>
      <c r="J197" s="618"/>
      <c r="K197" s="618"/>
      <c r="L197" s="618"/>
      <c r="M197" s="618"/>
      <c r="N197" s="618"/>
      <c r="O197" s="618"/>
      <c r="P197" s="618"/>
      <c r="Q197" s="618"/>
      <c r="R197" s="618"/>
      <c r="S197" s="618"/>
      <c r="T197" s="618"/>
      <c r="U197" s="618"/>
      <c r="V197" s="618"/>
      <c r="W197" s="618"/>
      <c r="X197" s="618"/>
      <c r="Y197" s="618"/>
      <c r="Z197" s="618"/>
      <c r="AA197" s="618"/>
      <c r="AB197" s="618"/>
      <c r="AC197" s="618"/>
      <c r="AD197" s="618"/>
      <c r="AE197" s="618"/>
      <c r="AF197" s="618"/>
      <c r="AG197" s="618"/>
      <c r="AH197" s="618"/>
      <c r="AI197" s="618"/>
      <c r="AJ197" s="618"/>
      <c r="AK197" s="618"/>
      <c r="AL197" s="618"/>
      <c r="AM197" s="618"/>
    </row>
    <row r="198" spans="1:39" ht="14.25" customHeight="1" x14ac:dyDescent="0.45">
      <c r="A198" s="618"/>
      <c r="B198" s="618"/>
      <c r="C198" s="106"/>
      <c r="D198" s="107" t="s">
        <v>104</v>
      </c>
      <c r="E198" s="112">
        <v>2018</v>
      </c>
      <c r="F198" s="112">
        <v>2019</v>
      </c>
      <c r="G198" s="112">
        <v>2020</v>
      </c>
      <c r="H198" s="113">
        <v>2021</v>
      </c>
      <c r="I198" s="618"/>
      <c r="J198" s="618"/>
      <c r="K198" s="618"/>
      <c r="L198" s="618"/>
      <c r="M198" s="618"/>
      <c r="N198" s="618"/>
      <c r="O198" s="618"/>
      <c r="P198" s="618"/>
      <c r="Q198" s="618"/>
      <c r="R198" s="618"/>
      <c r="S198" s="618"/>
      <c r="T198" s="618"/>
      <c r="U198" s="618"/>
      <c r="V198" s="618"/>
      <c r="W198" s="618"/>
      <c r="X198" s="618"/>
      <c r="Y198" s="618"/>
      <c r="Z198" s="618"/>
      <c r="AA198" s="618"/>
      <c r="AB198" s="618"/>
      <c r="AC198" s="618"/>
      <c r="AD198" s="618"/>
      <c r="AE198" s="618"/>
      <c r="AF198" s="618"/>
      <c r="AG198" s="618"/>
      <c r="AH198" s="618"/>
      <c r="AI198" s="618"/>
      <c r="AJ198" s="618"/>
      <c r="AK198" s="618"/>
      <c r="AL198" s="618"/>
      <c r="AM198" s="618"/>
    </row>
    <row r="199" spans="1:39" ht="14" customHeight="1" x14ac:dyDescent="0.45">
      <c r="A199" s="618"/>
      <c r="B199" s="618"/>
      <c r="C199" s="106"/>
      <c r="D199" s="111" t="s">
        <v>105</v>
      </c>
      <c r="E199" s="544">
        <f>-E72</f>
        <v>358.92393323984743</v>
      </c>
      <c r="F199" s="529">
        <f>-F72</f>
        <v>326.45060325472599</v>
      </c>
      <c r="G199" s="529">
        <f>-G72</f>
        <v>268.48812604806034</v>
      </c>
      <c r="H199" s="529">
        <f>-H72</f>
        <v>331.31386792252459</v>
      </c>
      <c r="I199" s="618"/>
      <c r="J199" s="618"/>
      <c r="K199" s="618"/>
      <c r="L199" s="618"/>
      <c r="M199" s="618"/>
      <c r="N199" s="618"/>
      <c r="O199" s="618"/>
      <c r="P199" s="618"/>
      <c r="Q199" s="618"/>
      <c r="R199" s="618"/>
      <c r="S199" s="618"/>
      <c r="T199" s="618"/>
      <c r="U199" s="618"/>
      <c r="V199" s="618"/>
      <c r="W199" s="618"/>
      <c r="X199" s="618"/>
      <c r="Y199" s="618"/>
      <c r="Z199" s="618"/>
      <c r="AA199" s="618"/>
      <c r="AB199" s="618"/>
      <c r="AC199" s="618"/>
      <c r="AD199" s="618"/>
      <c r="AE199" s="618"/>
      <c r="AF199" s="618"/>
      <c r="AG199" s="618"/>
      <c r="AH199" s="618"/>
      <c r="AI199" s="618"/>
      <c r="AJ199" s="618"/>
      <c r="AK199" s="618"/>
      <c r="AL199" s="618"/>
      <c r="AM199" s="618"/>
    </row>
    <row r="200" spans="1:39" ht="14.25" customHeight="1" x14ac:dyDescent="0.45">
      <c r="A200" s="618"/>
      <c r="B200" s="618"/>
      <c r="C200" s="106"/>
      <c r="D200" s="111" t="s">
        <v>106</v>
      </c>
      <c r="E200" s="439">
        <v>0</v>
      </c>
      <c r="F200" s="439">
        <v>0</v>
      </c>
      <c r="G200" s="439">
        <v>0</v>
      </c>
      <c r="H200" s="523">
        <v>0</v>
      </c>
      <c r="I200" s="618"/>
      <c r="J200" s="618"/>
      <c r="K200" s="618"/>
      <c r="L200" s="618"/>
      <c r="M200" s="618"/>
      <c r="N200" s="618"/>
      <c r="O200" s="618"/>
      <c r="P200" s="618"/>
      <c r="Q200" s="618"/>
      <c r="R200" s="618"/>
      <c r="S200" s="618"/>
      <c r="T200" s="618"/>
      <c r="U200" s="618"/>
      <c r="V200" s="618"/>
      <c r="W200" s="618"/>
      <c r="X200" s="618"/>
      <c r="Y200" s="618"/>
      <c r="Z200" s="618"/>
      <c r="AA200" s="618"/>
      <c r="AB200" s="618"/>
      <c r="AC200" s="618"/>
      <c r="AD200" s="618"/>
      <c r="AE200" s="618"/>
      <c r="AF200" s="618"/>
      <c r="AG200" s="618"/>
      <c r="AH200" s="618"/>
      <c r="AI200" s="618"/>
      <c r="AJ200" s="618"/>
      <c r="AK200" s="618"/>
      <c r="AL200" s="618"/>
      <c r="AM200" s="618"/>
    </row>
    <row r="201" spans="1:39" ht="14.25" customHeight="1" x14ac:dyDescent="0.45">
      <c r="A201" s="618"/>
      <c r="B201" s="618"/>
      <c r="C201" s="106"/>
      <c r="D201" s="111" t="s">
        <v>107</v>
      </c>
      <c r="E201" s="439">
        <v>0</v>
      </c>
      <c r="F201" s="439">
        <v>0</v>
      </c>
      <c r="G201" s="439">
        <v>0</v>
      </c>
      <c r="H201" s="523">
        <v>0</v>
      </c>
      <c r="I201" s="618"/>
      <c r="J201" s="618"/>
      <c r="K201" s="618"/>
      <c r="L201" s="618"/>
      <c r="M201" s="618"/>
      <c r="N201" s="618"/>
      <c r="O201" s="618"/>
      <c r="P201" s="618"/>
      <c r="Q201" s="618"/>
      <c r="R201" s="618"/>
      <c r="S201" s="618"/>
      <c r="T201" s="618"/>
      <c r="U201" s="618"/>
      <c r="V201" s="618"/>
      <c r="W201" s="618"/>
      <c r="X201" s="618"/>
      <c r="Y201" s="618"/>
      <c r="Z201" s="618"/>
      <c r="AA201" s="618"/>
      <c r="AB201" s="618"/>
      <c r="AC201" s="618"/>
      <c r="AD201" s="618"/>
      <c r="AE201" s="618"/>
      <c r="AF201" s="618"/>
      <c r="AG201" s="618"/>
      <c r="AH201" s="618"/>
      <c r="AI201" s="618"/>
      <c r="AJ201" s="618"/>
      <c r="AK201" s="618"/>
      <c r="AL201" s="618"/>
      <c r="AM201" s="618"/>
    </row>
    <row r="202" spans="1:39" ht="14.25" customHeight="1" x14ac:dyDescent="0.45">
      <c r="A202" s="618"/>
      <c r="B202" s="618"/>
      <c r="C202" s="106"/>
      <c r="D202" s="111" t="s">
        <v>108</v>
      </c>
      <c r="E202" s="529">
        <v>5.0000000000000001E-3</v>
      </c>
      <c r="F202" s="529">
        <v>3.0000000000000001E-3</v>
      </c>
      <c r="G202" s="529">
        <v>2E-3</v>
      </c>
      <c r="H202" s="530">
        <v>4.0000000000000001E-3</v>
      </c>
      <c r="I202" s="618"/>
      <c r="J202" s="618"/>
      <c r="K202" s="618"/>
      <c r="L202" s="618"/>
      <c r="M202" s="618"/>
      <c r="N202" s="618"/>
      <c r="O202" s="618"/>
      <c r="P202" s="618"/>
      <c r="Q202" s="618"/>
      <c r="R202" s="618"/>
      <c r="S202" s="618"/>
      <c r="T202" s="618"/>
      <c r="U202" s="618"/>
      <c r="V202" s="618"/>
      <c r="W202" s="618"/>
      <c r="X202" s="618"/>
      <c r="Y202" s="618"/>
      <c r="Z202" s="618"/>
      <c r="AA202" s="618"/>
      <c r="AB202" s="618"/>
      <c r="AC202" s="618"/>
      <c r="AD202" s="618"/>
      <c r="AE202" s="618"/>
      <c r="AF202" s="618"/>
      <c r="AG202" s="618"/>
      <c r="AH202" s="618"/>
      <c r="AI202" s="618"/>
      <c r="AJ202" s="618"/>
      <c r="AK202" s="618"/>
      <c r="AL202" s="618"/>
      <c r="AM202" s="618"/>
    </row>
    <row r="203" spans="1:39" ht="14.25" customHeight="1" x14ac:dyDescent="0.45">
      <c r="A203" s="618"/>
      <c r="B203" s="618"/>
      <c r="C203" s="106"/>
      <c r="D203" s="111" t="s">
        <v>109</v>
      </c>
      <c r="E203" s="529">
        <v>2E-3</v>
      </c>
      <c r="F203" s="529">
        <v>2E-3</v>
      </c>
      <c r="G203" s="529">
        <v>2E-3</v>
      </c>
      <c r="H203" s="530">
        <v>2E-3</v>
      </c>
      <c r="I203" s="618"/>
      <c r="J203" s="618"/>
      <c r="K203" s="618"/>
      <c r="L203" s="618"/>
      <c r="M203" s="618"/>
      <c r="N203" s="618"/>
      <c r="O203" s="618"/>
      <c r="P203" s="618"/>
      <c r="Q203" s="618"/>
      <c r="R203" s="618"/>
      <c r="S203" s="618"/>
      <c r="T203" s="618"/>
      <c r="U203" s="618"/>
      <c r="V203" s="618"/>
      <c r="W203" s="618"/>
      <c r="X203" s="618"/>
      <c r="Y203" s="618"/>
      <c r="Z203" s="618"/>
      <c r="AA203" s="618"/>
      <c r="AB203" s="618"/>
      <c r="AC203" s="618"/>
      <c r="AD203" s="618"/>
      <c r="AE203" s="618"/>
      <c r="AF203" s="618"/>
      <c r="AG203" s="618"/>
      <c r="AH203" s="618"/>
      <c r="AI203" s="618"/>
      <c r="AJ203" s="618"/>
      <c r="AK203" s="618"/>
      <c r="AL203" s="618"/>
      <c r="AM203" s="618"/>
    </row>
    <row r="204" spans="1:39" ht="14.25" customHeight="1" x14ac:dyDescent="0.45">
      <c r="A204" s="618"/>
      <c r="B204" s="618"/>
      <c r="C204" s="106"/>
      <c r="D204" s="111" t="s">
        <v>110</v>
      </c>
      <c r="E204" s="529">
        <v>0.124</v>
      </c>
      <c r="F204" s="529">
        <v>0.14299999999999999</v>
      </c>
      <c r="G204" s="529">
        <v>0.13100000000000001</v>
      </c>
      <c r="H204" s="530">
        <v>0.14299999999999999</v>
      </c>
      <c r="I204" s="618"/>
      <c r="J204" s="618"/>
      <c r="K204" s="618"/>
      <c r="L204" s="618"/>
      <c r="M204" s="618"/>
      <c r="N204" s="618"/>
      <c r="O204" s="618"/>
      <c r="P204" s="618"/>
      <c r="Q204" s="618"/>
      <c r="R204" s="618"/>
      <c r="S204" s="618"/>
      <c r="T204" s="618"/>
      <c r="U204" s="618"/>
      <c r="V204" s="618"/>
      <c r="W204" s="618"/>
      <c r="X204" s="618"/>
      <c r="Y204" s="618"/>
      <c r="Z204" s="618"/>
      <c r="AA204" s="618"/>
      <c r="AB204" s="618"/>
      <c r="AC204" s="618"/>
      <c r="AD204" s="618"/>
      <c r="AE204" s="618"/>
      <c r="AF204" s="618"/>
      <c r="AG204" s="618"/>
      <c r="AH204" s="618"/>
      <c r="AI204" s="618"/>
      <c r="AJ204" s="618"/>
      <c r="AK204" s="618"/>
      <c r="AL204" s="618"/>
      <c r="AM204" s="618"/>
    </row>
    <row r="205" spans="1:39" ht="14.25" customHeight="1" x14ac:dyDescent="0.45">
      <c r="A205" s="618"/>
      <c r="B205" s="618"/>
      <c r="C205" s="106"/>
      <c r="D205" s="111" t="s">
        <v>111</v>
      </c>
      <c r="E205" s="546">
        <v>4.7619999999999996</v>
      </c>
      <c r="F205" s="546">
        <v>4.8760000000000003</v>
      </c>
      <c r="G205" s="546">
        <v>4.21</v>
      </c>
      <c r="H205" s="547">
        <v>4.4039999999999999</v>
      </c>
      <c r="I205" s="618"/>
      <c r="J205" s="618"/>
      <c r="K205" s="618"/>
      <c r="L205" s="618"/>
      <c r="M205" s="618"/>
      <c r="N205" s="618"/>
      <c r="O205" s="618"/>
      <c r="P205" s="618"/>
      <c r="Q205" s="618"/>
      <c r="R205" s="618"/>
      <c r="S205" s="618"/>
      <c r="T205" s="618"/>
      <c r="U205" s="618"/>
      <c r="V205" s="618"/>
      <c r="W205" s="618"/>
      <c r="X205" s="618"/>
      <c r="Y205" s="618"/>
      <c r="Z205" s="618"/>
      <c r="AA205" s="618"/>
      <c r="AB205" s="618"/>
      <c r="AC205" s="618"/>
      <c r="AD205" s="618"/>
      <c r="AE205" s="618"/>
      <c r="AF205" s="618"/>
      <c r="AG205" s="618"/>
      <c r="AH205" s="618"/>
      <c r="AI205" s="618"/>
      <c r="AJ205" s="618"/>
      <c r="AK205" s="618"/>
      <c r="AL205" s="618"/>
      <c r="AM205" s="618"/>
    </row>
    <row r="206" spans="1:39" ht="14.25" customHeight="1" x14ac:dyDescent="0.45">
      <c r="A206" s="618"/>
      <c r="B206" s="618"/>
      <c r="C206" s="106"/>
      <c r="D206" s="111" t="s">
        <v>112</v>
      </c>
      <c r="E206" s="546">
        <v>8.4949999999999992</v>
      </c>
      <c r="F206" s="546">
        <v>7.7359999999999998</v>
      </c>
      <c r="G206" s="546">
        <v>6.5</v>
      </c>
      <c r="H206" s="547">
        <v>7.7130000000000001</v>
      </c>
      <c r="I206" s="618"/>
      <c r="J206" s="618"/>
      <c r="K206" s="618"/>
      <c r="L206" s="618"/>
      <c r="M206" s="618"/>
      <c r="N206" s="618"/>
      <c r="O206" s="618"/>
      <c r="P206" s="618"/>
      <c r="Q206" s="618"/>
      <c r="R206" s="618"/>
      <c r="S206" s="618"/>
      <c r="T206" s="618"/>
      <c r="U206" s="618"/>
      <c r="V206" s="618"/>
      <c r="W206" s="618"/>
      <c r="X206" s="618"/>
      <c r="Y206" s="618"/>
      <c r="Z206" s="618"/>
      <c r="AA206" s="618"/>
      <c r="AB206" s="618"/>
      <c r="AC206" s="618"/>
      <c r="AD206" s="618"/>
      <c r="AE206" s="618"/>
      <c r="AF206" s="618"/>
      <c r="AG206" s="618"/>
      <c r="AH206" s="618"/>
      <c r="AI206" s="618"/>
      <c r="AJ206" s="618"/>
      <c r="AK206" s="618"/>
      <c r="AL206" s="618"/>
      <c r="AM206" s="618"/>
    </row>
    <row r="207" spans="1:39" ht="14.25" customHeight="1" x14ac:dyDescent="0.45">
      <c r="A207" s="618"/>
      <c r="B207" s="618"/>
      <c r="C207" s="106"/>
      <c r="D207" s="111" t="s">
        <v>113</v>
      </c>
      <c r="E207" s="546">
        <v>1.175</v>
      </c>
      <c r="F207" s="546">
        <v>1.159</v>
      </c>
      <c r="G207" s="546">
        <v>0.92900000000000005</v>
      </c>
      <c r="H207" s="547">
        <v>1.0269999999999999</v>
      </c>
      <c r="I207" s="618"/>
      <c r="J207" s="618"/>
      <c r="K207" s="618"/>
      <c r="L207" s="618"/>
      <c r="M207" s="618"/>
      <c r="N207" s="618"/>
      <c r="O207" s="618"/>
      <c r="P207" s="618"/>
      <c r="Q207" s="618"/>
      <c r="R207" s="618"/>
      <c r="S207" s="618"/>
      <c r="T207" s="618"/>
      <c r="U207" s="618"/>
      <c r="V207" s="618"/>
      <c r="W207" s="618"/>
      <c r="X207" s="618"/>
      <c r="Y207" s="618"/>
      <c r="Z207" s="618"/>
      <c r="AA207" s="618"/>
      <c r="AB207" s="618"/>
      <c r="AC207" s="618"/>
      <c r="AD207" s="618"/>
      <c r="AE207" s="618"/>
      <c r="AF207" s="618"/>
      <c r="AG207" s="618"/>
      <c r="AH207" s="618"/>
      <c r="AI207" s="618"/>
      <c r="AJ207" s="618"/>
      <c r="AK207" s="618"/>
      <c r="AL207" s="618"/>
      <c r="AM207" s="618"/>
    </row>
    <row r="208" spans="1:39" ht="14.25" customHeight="1" x14ac:dyDescent="0.45">
      <c r="A208" s="618"/>
      <c r="B208" s="618"/>
      <c r="C208" s="106"/>
      <c r="D208" s="111" t="s">
        <v>114</v>
      </c>
      <c r="E208" s="529">
        <v>0</v>
      </c>
      <c r="F208" s="529">
        <v>0</v>
      </c>
      <c r="G208" s="529">
        <v>0</v>
      </c>
      <c r="H208" s="529">
        <v>0</v>
      </c>
      <c r="I208" s="618"/>
      <c r="J208" s="618"/>
      <c r="K208" s="618"/>
      <c r="L208" s="618"/>
      <c r="M208" s="618"/>
      <c r="N208" s="618"/>
      <c r="O208" s="618"/>
      <c r="P208" s="618"/>
      <c r="Q208" s="618"/>
      <c r="R208" s="618"/>
      <c r="S208" s="618"/>
      <c r="T208" s="618"/>
      <c r="U208" s="618"/>
      <c r="V208" s="618"/>
      <c r="W208" s="618"/>
      <c r="X208" s="618"/>
      <c r="Y208" s="618"/>
      <c r="Z208" s="618"/>
      <c r="AA208" s="618"/>
      <c r="AB208" s="618"/>
      <c r="AC208" s="618"/>
      <c r="AD208" s="618"/>
      <c r="AE208" s="618"/>
      <c r="AF208" s="618"/>
      <c r="AG208" s="618"/>
      <c r="AH208" s="618"/>
      <c r="AI208" s="618"/>
      <c r="AJ208" s="618"/>
      <c r="AK208" s="618"/>
      <c r="AL208" s="618"/>
      <c r="AM208" s="618"/>
    </row>
    <row r="209" spans="1:39" ht="14.25" customHeight="1" x14ac:dyDescent="0.45">
      <c r="A209" s="618"/>
      <c r="B209" s="618"/>
      <c r="C209" s="106"/>
      <c r="D209" s="111" t="s">
        <v>115</v>
      </c>
      <c r="E209" s="529">
        <v>0</v>
      </c>
      <c r="F209" s="529">
        <v>0</v>
      </c>
      <c r="G209" s="529">
        <v>0</v>
      </c>
      <c r="H209" s="529">
        <v>0</v>
      </c>
      <c r="I209" s="618"/>
      <c r="J209" s="618"/>
      <c r="K209" s="618"/>
      <c r="L209" s="618"/>
      <c r="M209" s="618"/>
      <c r="N209" s="618"/>
      <c r="O209" s="618"/>
      <c r="P209" s="618"/>
      <c r="Q209" s="618"/>
      <c r="R209" s="618"/>
      <c r="S209" s="618"/>
      <c r="T209" s="618"/>
      <c r="U209" s="618"/>
      <c r="V209" s="618"/>
      <c r="W209" s="618"/>
      <c r="X209" s="618"/>
      <c r="Y209" s="618"/>
      <c r="Z209" s="618"/>
      <c r="AA209" s="618"/>
      <c r="AB209" s="618"/>
      <c r="AC209" s="618"/>
      <c r="AD209" s="618"/>
      <c r="AE209" s="618"/>
      <c r="AF209" s="618"/>
      <c r="AG209" s="618"/>
      <c r="AH209" s="618"/>
      <c r="AI209" s="618"/>
      <c r="AJ209" s="618"/>
      <c r="AK209" s="618"/>
      <c r="AL209" s="618"/>
      <c r="AM209" s="618"/>
    </row>
    <row r="210" spans="1:39" ht="14.25" customHeight="1" x14ac:dyDescent="0.45">
      <c r="A210" s="618"/>
      <c r="B210" s="618"/>
      <c r="C210" s="106"/>
      <c r="D210" s="111" t="s">
        <v>116</v>
      </c>
      <c r="E210" s="529">
        <v>0</v>
      </c>
      <c r="F210" s="529">
        <v>0</v>
      </c>
      <c r="G210" s="529">
        <v>0</v>
      </c>
      <c r="H210" s="529">
        <v>0</v>
      </c>
      <c r="I210" s="618"/>
      <c r="J210" s="618"/>
      <c r="K210" s="618"/>
      <c r="L210" s="618"/>
      <c r="M210" s="618"/>
      <c r="N210" s="618"/>
      <c r="O210" s="618"/>
      <c r="P210" s="618"/>
      <c r="Q210" s="618"/>
      <c r="R210" s="618"/>
      <c r="S210" s="618"/>
      <c r="T210" s="618"/>
      <c r="U210" s="618"/>
      <c r="V210" s="618"/>
      <c r="W210" s="618"/>
      <c r="X210" s="618"/>
      <c r="Y210" s="618"/>
      <c r="Z210" s="618"/>
      <c r="AA210" s="618"/>
      <c r="AB210" s="618"/>
      <c r="AC210" s="618"/>
      <c r="AD210" s="618"/>
      <c r="AE210" s="618"/>
      <c r="AF210" s="618"/>
      <c r="AG210" s="618"/>
      <c r="AH210" s="618"/>
      <c r="AI210" s="618"/>
      <c r="AJ210" s="618"/>
      <c r="AK210" s="618"/>
      <c r="AL210" s="618"/>
      <c r="AM210" s="618"/>
    </row>
    <row r="211" spans="1:39" ht="14.25" customHeight="1" x14ac:dyDescent="0.45">
      <c r="A211" s="618"/>
      <c r="B211" s="618"/>
      <c r="C211" s="106"/>
      <c r="D211" s="115" t="s">
        <v>59</v>
      </c>
      <c r="E211" s="531">
        <f>SUM(E199:E210)</f>
        <v>373.48693323984747</v>
      </c>
      <c r="F211" s="531">
        <f t="shared" ref="F211:H211" si="11">SUM(F199:F210)</f>
        <v>340.36960325472592</v>
      </c>
      <c r="G211" s="531">
        <f t="shared" si="11"/>
        <v>280.26212604806028</v>
      </c>
      <c r="H211" s="531">
        <f t="shared" si="11"/>
        <v>344.6068679225246</v>
      </c>
      <c r="I211" s="618"/>
      <c r="J211" s="618"/>
      <c r="K211" s="618"/>
      <c r="L211" s="618"/>
      <c r="M211" s="618"/>
      <c r="N211" s="618"/>
      <c r="O211" s="618"/>
      <c r="P211" s="618"/>
      <c r="Q211" s="618"/>
      <c r="R211" s="618"/>
      <c r="S211" s="618"/>
      <c r="T211" s="618"/>
      <c r="U211" s="618"/>
      <c r="V211" s="618"/>
      <c r="W211" s="618"/>
      <c r="X211" s="618"/>
      <c r="Y211" s="618"/>
      <c r="Z211" s="618"/>
      <c r="AA211" s="618"/>
      <c r="AB211" s="618"/>
      <c r="AC211" s="618"/>
      <c r="AD211" s="618"/>
      <c r="AE211" s="618"/>
      <c r="AF211" s="618"/>
      <c r="AG211" s="618"/>
      <c r="AH211" s="618"/>
      <c r="AI211" s="618"/>
      <c r="AJ211" s="618"/>
      <c r="AK211" s="618"/>
      <c r="AL211" s="618"/>
      <c r="AM211" s="618"/>
    </row>
    <row r="212" spans="1:39" ht="14.25" customHeight="1" x14ac:dyDescent="0.45">
      <c r="A212" s="618"/>
      <c r="B212" s="618"/>
      <c r="C212" s="556" t="s">
        <v>117</v>
      </c>
      <c r="D212" s="181"/>
      <c r="E212" s="191"/>
      <c r="F212" s="191"/>
      <c r="G212" s="191"/>
      <c r="H212" s="192"/>
      <c r="I212" s="618"/>
      <c r="J212" s="618"/>
      <c r="K212" s="618"/>
      <c r="L212" s="618"/>
      <c r="M212" s="618"/>
      <c r="N212" s="618"/>
      <c r="O212" s="618"/>
      <c r="P212" s="618"/>
      <c r="Q212" s="618"/>
      <c r="R212" s="618"/>
      <c r="S212" s="618"/>
      <c r="T212" s="618"/>
      <c r="U212" s="618"/>
      <c r="V212" s="618"/>
      <c r="W212" s="618"/>
      <c r="X212" s="618"/>
      <c r="Y212" s="618"/>
      <c r="Z212" s="618"/>
      <c r="AA212" s="618"/>
      <c r="AB212" s="618"/>
      <c r="AC212" s="618"/>
      <c r="AD212" s="618"/>
      <c r="AE212" s="618"/>
      <c r="AF212" s="618"/>
      <c r="AG212" s="618"/>
      <c r="AH212" s="618"/>
      <c r="AI212" s="618"/>
      <c r="AJ212" s="618"/>
      <c r="AK212" s="618"/>
      <c r="AL212" s="618"/>
      <c r="AM212" s="618"/>
    </row>
    <row r="213" spans="1:39" ht="14.25" customHeight="1" thickBot="1" x14ac:dyDescent="0.5">
      <c r="A213" s="618"/>
      <c r="B213" s="618"/>
      <c r="C213" s="618"/>
      <c r="D213" s="12"/>
      <c r="E213" s="13"/>
      <c r="F213" s="618"/>
      <c r="G213" s="618"/>
      <c r="H213" s="618"/>
      <c r="I213" s="618"/>
      <c r="J213" s="618"/>
      <c r="K213" s="618"/>
      <c r="L213" s="618"/>
      <c r="M213" s="618"/>
      <c r="N213" s="618"/>
      <c r="O213" s="618"/>
      <c r="P213" s="618"/>
      <c r="Q213" s="618"/>
      <c r="R213" s="618"/>
      <c r="S213" s="618"/>
      <c r="T213" s="618"/>
      <c r="U213" s="618"/>
      <c r="V213" s="618"/>
      <c r="W213" s="618"/>
      <c r="X213" s="618"/>
      <c r="Y213" s="618"/>
      <c r="Z213" s="618"/>
      <c r="AA213" s="618"/>
      <c r="AB213" s="618"/>
      <c r="AC213" s="618"/>
      <c r="AD213" s="618"/>
      <c r="AE213" s="618"/>
      <c r="AF213" s="618"/>
      <c r="AG213" s="618"/>
      <c r="AH213" s="618"/>
      <c r="AI213" s="618"/>
      <c r="AJ213" s="618"/>
      <c r="AK213" s="618"/>
      <c r="AL213" s="618"/>
      <c r="AM213" s="618"/>
    </row>
    <row r="214" spans="1:39" ht="14.25" customHeight="1" thickBot="1" x14ac:dyDescent="0.5">
      <c r="A214" s="618"/>
      <c r="B214" s="618"/>
      <c r="C214" s="7"/>
      <c r="D214" s="103"/>
      <c r="E214" s="193" t="s">
        <v>103</v>
      </c>
      <c r="F214" s="158"/>
      <c r="G214" s="158"/>
      <c r="H214" s="159"/>
      <c r="I214" s="618"/>
      <c r="J214" s="618"/>
      <c r="K214" s="618"/>
      <c r="L214" s="618"/>
      <c r="M214" s="618"/>
      <c r="N214" s="618"/>
      <c r="O214" s="618"/>
      <c r="P214" s="618"/>
      <c r="Q214" s="618"/>
      <c r="R214" s="618"/>
      <c r="S214" s="618"/>
      <c r="T214" s="618"/>
      <c r="U214" s="618"/>
      <c r="V214" s="618"/>
      <c r="W214" s="618"/>
      <c r="X214" s="618"/>
      <c r="Y214" s="618"/>
      <c r="Z214" s="618"/>
      <c r="AA214" s="618"/>
      <c r="AB214" s="618"/>
      <c r="AC214" s="618"/>
      <c r="AD214" s="618"/>
      <c r="AE214" s="618"/>
      <c r="AF214" s="618"/>
      <c r="AG214" s="618"/>
      <c r="AH214" s="618"/>
      <c r="AI214" s="618"/>
      <c r="AJ214" s="618"/>
      <c r="AK214" s="618"/>
      <c r="AL214" s="618"/>
      <c r="AM214" s="618"/>
    </row>
    <row r="215" spans="1:39" ht="14.25" customHeight="1" x14ac:dyDescent="0.45">
      <c r="A215" s="618"/>
      <c r="B215" s="618"/>
      <c r="C215" s="106"/>
      <c r="D215" s="107" t="s">
        <v>118</v>
      </c>
      <c r="E215" s="112">
        <v>2018</v>
      </c>
      <c r="F215" s="112">
        <v>2019</v>
      </c>
      <c r="G215" s="112">
        <v>2020</v>
      </c>
      <c r="H215" s="113">
        <v>2021</v>
      </c>
      <c r="I215" s="540" t="s">
        <v>37</v>
      </c>
      <c r="J215" s="618"/>
      <c r="K215" s="618"/>
      <c r="L215" s="618"/>
      <c r="M215" s="618"/>
      <c r="N215" s="618"/>
      <c r="O215" s="618"/>
      <c r="P215" s="618"/>
      <c r="Q215" s="618"/>
      <c r="R215" s="618"/>
      <c r="S215" s="618"/>
      <c r="T215" s="618"/>
      <c r="U215" s="618"/>
      <c r="V215" s="618"/>
      <c r="W215" s="618"/>
      <c r="X215" s="618"/>
      <c r="Y215" s="618"/>
      <c r="Z215" s="618"/>
      <c r="AA215" s="618"/>
      <c r="AB215" s="618"/>
      <c r="AC215" s="618"/>
      <c r="AD215" s="618"/>
      <c r="AE215" s="618"/>
      <c r="AF215" s="618"/>
      <c r="AG215" s="618"/>
      <c r="AH215" s="618"/>
      <c r="AI215" s="618"/>
      <c r="AJ215" s="618"/>
      <c r="AK215" s="618"/>
      <c r="AL215" s="618"/>
      <c r="AM215" s="618"/>
    </row>
    <row r="216" spans="1:39" ht="14.25" customHeight="1" x14ac:dyDescent="0.45">
      <c r="A216" s="618"/>
      <c r="B216" s="618"/>
      <c r="C216" s="106"/>
      <c r="D216" s="111" t="s">
        <v>119</v>
      </c>
      <c r="E216" s="443">
        <f>ROUND(E199/E$199,4)</f>
        <v>1</v>
      </c>
      <c r="F216" s="443">
        <f t="shared" ref="F216:H216" si="12">ROUND(F199/F$199,4)</f>
        <v>1</v>
      </c>
      <c r="G216" s="443">
        <f t="shared" si="12"/>
        <v>1</v>
      </c>
      <c r="H216" s="443">
        <f t="shared" si="12"/>
        <v>1</v>
      </c>
      <c r="I216" s="541">
        <f>ROUND(AVERAGE(E216:H216),4)</f>
        <v>1</v>
      </c>
      <c r="J216" s="618"/>
      <c r="K216" s="618"/>
      <c r="L216" s="618"/>
      <c r="M216" s="618"/>
      <c r="N216" s="618"/>
      <c r="O216" s="618"/>
      <c r="P216" s="618"/>
      <c r="Q216" s="618"/>
      <c r="R216" s="618"/>
      <c r="S216" s="618"/>
      <c r="T216" s="618"/>
      <c r="U216" s="618"/>
      <c r="V216" s="618"/>
      <c r="W216" s="618"/>
      <c r="X216" s="618"/>
      <c r="Y216" s="618"/>
      <c r="Z216" s="618"/>
      <c r="AA216" s="618"/>
      <c r="AB216" s="618"/>
      <c r="AC216" s="618"/>
      <c r="AD216" s="618"/>
      <c r="AE216" s="618"/>
      <c r="AF216" s="618"/>
      <c r="AG216" s="618"/>
      <c r="AH216" s="618"/>
      <c r="AI216" s="618"/>
      <c r="AJ216" s="618"/>
      <c r="AK216" s="618"/>
      <c r="AL216" s="618"/>
      <c r="AM216" s="618"/>
    </row>
    <row r="217" spans="1:39" ht="14.25" customHeight="1" x14ac:dyDescent="0.45">
      <c r="A217" s="618"/>
      <c r="B217" s="618"/>
      <c r="C217" s="106"/>
      <c r="D217" s="111" t="s">
        <v>106</v>
      </c>
      <c r="E217" s="443">
        <f t="shared" ref="E217:H227" si="13">ROUND(E200/E$199,4)</f>
        <v>0</v>
      </c>
      <c r="F217" s="443">
        <f t="shared" si="13"/>
        <v>0</v>
      </c>
      <c r="G217" s="443">
        <f t="shared" si="13"/>
        <v>0</v>
      </c>
      <c r="H217" s="443">
        <f t="shared" si="13"/>
        <v>0</v>
      </c>
      <c r="I217" s="541">
        <f t="shared" ref="I217:I227" si="14">ROUND(AVERAGE(E217:H217),4)</f>
        <v>0</v>
      </c>
      <c r="J217" s="618"/>
      <c r="K217" s="618"/>
      <c r="L217" s="618"/>
      <c r="M217" s="618"/>
      <c r="N217" s="618"/>
      <c r="O217" s="618"/>
      <c r="P217" s="618"/>
      <c r="Q217" s="618"/>
      <c r="R217" s="618"/>
      <c r="S217" s="618"/>
      <c r="T217" s="618"/>
      <c r="U217" s="618"/>
      <c r="V217" s="618"/>
      <c r="W217" s="618"/>
      <c r="X217" s="618"/>
      <c r="Y217" s="618"/>
      <c r="Z217" s="618"/>
      <c r="AA217" s="618"/>
      <c r="AB217" s="618"/>
      <c r="AC217" s="618"/>
      <c r="AD217" s="618"/>
      <c r="AE217" s="618"/>
      <c r="AF217" s="618"/>
      <c r="AG217" s="618"/>
      <c r="AH217" s="618"/>
      <c r="AI217" s="618"/>
      <c r="AJ217" s="618"/>
      <c r="AK217" s="618"/>
      <c r="AL217" s="618"/>
      <c r="AM217" s="618"/>
    </row>
    <row r="218" spans="1:39" ht="14.25" customHeight="1" x14ac:dyDescent="0.45">
      <c r="A218" s="618"/>
      <c r="B218" s="618"/>
      <c r="C218" s="106"/>
      <c r="D218" s="111" t="s">
        <v>107</v>
      </c>
      <c r="E218" s="443">
        <f t="shared" si="13"/>
        <v>0</v>
      </c>
      <c r="F218" s="443">
        <f t="shared" si="13"/>
        <v>0</v>
      </c>
      <c r="G218" s="443">
        <f t="shared" si="13"/>
        <v>0</v>
      </c>
      <c r="H218" s="443">
        <f t="shared" si="13"/>
        <v>0</v>
      </c>
      <c r="I218" s="541">
        <f t="shared" si="14"/>
        <v>0</v>
      </c>
      <c r="J218" s="618"/>
      <c r="K218" s="618"/>
      <c r="L218" s="618"/>
      <c r="M218" s="618"/>
      <c r="N218" s="618"/>
      <c r="O218" s="618"/>
      <c r="P218" s="618"/>
      <c r="Q218" s="618"/>
      <c r="R218" s="618"/>
      <c r="S218" s="618"/>
      <c r="T218" s="618"/>
      <c r="U218" s="618"/>
      <c r="V218" s="618"/>
      <c r="W218" s="618"/>
      <c r="X218" s="618"/>
      <c r="Y218" s="618"/>
      <c r="Z218" s="618"/>
      <c r="AA218" s="618"/>
      <c r="AB218" s="618"/>
      <c r="AC218" s="618"/>
      <c r="AD218" s="618"/>
      <c r="AE218" s="618"/>
      <c r="AF218" s="618"/>
      <c r="AG218" s="618"/>
      <c r="AH218" s="618"/>
      <c r="AI218" s="618"/>
      <c r="AJ218" s="618"/>
      <c r="AK218" s="618"/>
      <c r="AL218" s="618"/>
      <c r="AM218" s="618"/>
    </row>
    <row r="219" spans="1:39" ht="14.25" customHeight="1" x14ac:dyDescent="0.45">
      <c r="A219" s="618"/>
      <c r="B219" s="618"/>
      <c r="C219" s="106"/>
      <c r="D219" s="111" t="s">
        <v>108</v>
      </c>
      <c r="E219" s="443">
        <f t="shared" si="13"/>
        <v>0</v>
      </c>
      <c r="F219" s="443">
        <f t="shared" si="13"/>
        <v>0</v>
      </c>
      <c r="G219" s="443">
        <f t="shared" si="13"/>
        <v>0</v>
      </c>
      <c r="H219" s="443">
        <f t="shared" si="13"/>
        <v>0</v>
      </c>
      <c r="I219" s="541">
        <f t="shared" si="14"/>
        <v>0</v>
      </c>
      <c r="J219" s="618"/>
      <c r="K219" s="618"/>
      <c r="L219" s="618"/>
      <c r="M219" s="618"/>
      <c r="N219" s="618"/>
      <c r="O219" s="618"/>
      <c r="P219" s="618"/>
      <c r="Q219" s="618"/>
      <c r="R219" s="618"/>
      <c r="S219" s="618"/>
      <c r="T219" s="618"/>
      <c r="U219" s="618"/>
      <c r="V219" s="618"/>
      <c r="W219" s="618"/>
      <c r="X219" s="618"/>
      <c r="Y219" s="618"/>
      <c r="Z219" s="618"/>
      <c r="AA219" s="618"/>
      <c r="AB219" s="618"/>
      <c r="AC219" s="618"/>
      <c r="AD219" s="618"/>
      <c r="AE219" s="618"/>
      <c r="AF219" s="618"/>
      <c r="AG219" s="618"/>
      <c r="AH219" s="618"/>
      <c r="AI219" s="618"/>
      <c r="AJ219" s="618"/>
      <c r="AK219" s="618"/>
      <c r="AL219" s="618"/>
      <c r="AM219" s="618"/>
    </row>
    <row r="220" spans="1:39" ht="14.25" customHeight="1" x14ac:dyDescent="0.45">
      <c r="A220" s="618"/>
      <c r="B220" s="618"/>
      <c r="C220" s="106"/>
      <c r="D220" s="111" t="s">
        <v>109</v>
      </c>
      <c r="E220" s="443">
        <f t="shared" si="13"/>
        <v>0</v>
      </c>
      <c r="F220" s="443">
        <f t="shared" si="13"/>
        <v>0</v>
      </c>
      <c r="G220" s="443">
        <f t="shared" si="13"/>
        <v>0</v>
      </c>
      <c r="H220" s="443">
        <f t="shared" si="13"/>
        <v>0</v>
      </c>
      <c r="I220" s="541">
        <f t="shared" si="14"/>
        <v>0</v>
      </c>
      <c r="J220" s="618"/>
      <c r="K220" s="618"/>
      <c r="L220" s="618"/>
      <c r="M220" s="618"/>
      <c r="N220" s="618"/>
      <c r="O220" s="618"/>
      <c r="P220" s="618"/>
      <c r="Q220" s="618"/>
      <c r="R220" s="618"/>
      <c r="S220" s="618"/>
      <c r="T220" s="618"/>
      <c r="U220" s="618"/>
      <c r="V220" s="618"/>
      <c r="W220" s="618"/>
      <c r="X220" s="618"/>
      <c r="Y220" s="618"/>
      <c r="Z220" s="618"/>
      <c r="AA220" s="618"/>
      <c r="AB220" s="618"/>
      <c r="AC220" s="618"/>
      <c r="AD220" s="618"/>
      <c r="AE220" s="618"/>
      <c r="AF220" s="618"/>
      <c r="AG220" s="618"/>
      <c r="AH220" s="618"/>
      <c r="AI220" s="618"/>
      <c r="AJ220" s="618"/>
      <c r="AK220" s="618"/>
      <c r="AL220" s="618"/>
      <c r="AM220" s="618"/>
    </row>
    <row r="221" spans="1:39" ht="14.25" customHeight="1" x14ac:dyDescent="0.45">
      <c r="A221" s="618"/>
      <c r="B221" s="618"/>
      <c r="C221" s="106"/>
      <c r="D221" s="111" t="s">
        <v>110</v>
      </c>
      <c r="E221" s="443">
        <f t="shared" si="13"/>
        <v>2.9999999999999997E-4</v>
      </c>
      <c r="F221" s="443">
        <f t="shared" si="13"/>
        <v>4.0000000000000002E-4</v>
      </c>
      <c r="G221" s="443">
        <f t="shared" si="13"/>
        <v>5.0000000000000001E-4</v>
      </c>
      <c r="H221" s="443">
        <f t="shared" si="13"/>
        <v>4.0000000000000002E-4</v>
      </c>
      <c r="I221" s="541">
        <f t="shared" si="14"/>
        <v>4.0000000000000002E-4</v>
      </c>
      <c r="J221" s="618"/>
      <c r="K221" s="618"/>
      <c r="L221" s="618"/>
      <c r="M221" s="618"/>
      <c r="N221" s="618"/>
      <c r="O221" s="618"/>
      <c r="P221" s="618"/>
      <c r="Q221" s="618"/>
      <c r="R221" s="618"/>
      <c r="S221" s="618"/>
      <c r="T221" s="618"/>
      <c r="U221" s="618"/>
      <c r="V221" s="618"/>
      <c r="W221" s="618"/>
      <c r="X221" s="618"/>
      <c r="Y221" s="618"/>
      <c r="Z221" s="618"/>
      <c r="AA221" s="618"/>
      <c r="AB221" s="618"/>
      <c r="AC221" s="618"/>
      <c r="AD221" s="618"/>
      <c r="AE221" s="618"/>
      <c r="AF221" s="618"/>
      <c r="AG221" s="618"/>
      <c r="AH221" s="618"/>
      <c r="AI221" s="618"/>
      <c r="AJ221" s="618"/>
      <c r="AK221" s="618"/>
      <c r="AL221" s="618"/>
      <c r="AM221" s="618"/>
    </row>
    <row r="222" spans="1:39" ht="14.25" customHeight="1" x14ac:dyDescent="0.45">
      <c r="A222" s="618"/>
      <c r="B222" s="618"/>
      <c r="C222" s="106"/>
      <c r="D222" s="111" t="s">
        <v>111</v>
      </c>
      <c r="E222" s="443">
        <f t="shared" si="13"/>
        <v>1.3299999999999999E-2</v>
      </c>
      <c r="F222" s="443">
        <f t="shared" si="13"/>
        <v>1.49E-2</v>
      </c>
      <c r="G222" s="443">
        <f t="shared" si="13"/>
        <v>1.5699999999999999E-2</v>
      </c>
      <c r="H222" s="443">
        <f t="shared" si="13"/>
        <v>1.3299999999999999E-2</v>
      </c>
      <c r="I222" s="541">
        <f t="shared" si="14"/>
        <v>1.43E-2</v>
      </c>
      <c r="J222" s="618"/>
      <c r="K222" s="618"/>
      <c r="L222" s="618"/>
      <c r="M222" s="618"/>
      <c r="N222" s="618"/>
      <c r="O222" s="618"/>
      <c r="P222" s="618"/>
      <c r="Q222" s="618"/>
      <c r="R222" s="618"/>
      <c r="S222" s="618"/>
      <c r="T222" s="618"/>
      <c r="U222" s="618"/>
      <c r="V222" s="618"/>
      <c r="W222" s="618"/>
      <c r="X222" s="618"/>
      <c r="Y222" s="618"/>
      <c r="Z222" s="618"/>
      <c r="AA222" s="618"/>
      <c r="AB222" s="618"/>
      <c r="AC222" s="618"/>
      <c r="AD222" s="618"/>
      <c r="AE222" s="618"/>
      <c r="AF222" s="618"/>
      <c r="AG222" s="618"/>
      <c r="AH222" s="618"/>
      <c r="AI222" s="618"/>
      <c r="AJ222" s="618"/>
      <c r="AK222" s="618"/>
      <c r="AL222" s="618"/>
      <c r="AM222" s="618"/>
    </row>
    <row r="223" spans="1:39" ht="14.25" customHeight="1" x14ac:dyDescent="0.45">
      <c r="A223" s="618"/>
      <c r="B223" s="618"/>
      <c r="C223" s="106"/>
      <c r="D223" s="111" t="s">
        <v>112</v>
      </c>
      <c r="E223" s="443">
        <f t="shared" si="13"/>
        <v>2.3699999999999999E-2</v>
      </c>
      <c r="F223" s="443">
        <f t="shared" si="13"/>
        <v>2.3699999999999999E-2</v>
      </c>
      <c r="G223" s="443">
        <f t="shared" si="13"/>
        <v>2.4199999999999999E-2</v>
      </c>
      <c r="H223" s="443">
        <f t="shared" si="13"/>
        <v>2.3300000000000001E-2</v>
      </c>
      <c r="I223" s="541">
        <f t="shared" si="14"/>
        <v>2.3699999999999999E-2</v>
      </c>
      <c r="J223" s="618"/>
      <c r="K223" s="618"/>
      <c r="L223" s="618"/>
      <c r="M223" s="618"/>
      <c r="N223" s="618"/>
      <c r="O223" s="618"/>
      <c r="P223" s="618"/>
      <c r="Q223" s="618"/>
      <c r="R223" s="618"/>
      <c r="S223" s="618"/>
      <c r="T223" s="618"/>
      <c r="U223" s="618"/>
      <c r="V223" s="618"/>
      <c r="W223" s="618"/>
      <c r="X223" s="618"/>
      <c r="Y223" s="618"/>
      <c r="Z223" s="618"/>
      <c r="AA223" s="618"/>
      <c r="AB223" s="618"/>
      <c r="AC223" s="618"/>
      <c r="AD223" s="618"/>
      <c r="AE223" s="618"/>
      <c r="AF223" s="618"/>
      <c r="AG223" s="618"/>
      <c r="AH223" s="618"/>
      <c r="AI223" s="618"/>
      <c r="AJ223" s="618"/>
      <c r="AK223" s="618"/>
      <c r="AL223" s="618"/>
      <c r="AM223" s="618"/>
    </row>
    <row r="224" spans="1:39" ht="14.25" customHeight="1" x14ac:dyDescent="0.45">
      <c r="A224" s="618"/>
      <c r="B224" s="618"/>
      <c r="C224" s="106"/>
      <c r="D224" s="111" t="s">
        <v>113</v>
      </c>
      <c r="E224" s="443">
        <f t="shared" si="13"/>
        <v>3.3E-3</v>
      </c>
      <c r="F224" s="443">
        <f t="shared" si="13"/>
        <v>3.5999999999999999E-3</v>
      </c>
      <c r="G224" s="443">
        <f t="shared" si="13"/>
        <v>3.5000000000000001E-3</v>
      </c>
      <c r="H224" s="443">
        <f t="shared" si="13"/>
        <v>3.0999999999999999E-3</v>
      </c>
      <c r="I224" s="541">
        <f t="shared" si="14"/>
        <v>3.3999999999999998E-3</v>
      </c>
      <c r="J224" s="618"/>
      <c r="K224" s="618"/>
      <c r="L224" s="618"/>
      <c r="M224" s="618"/>
      <c r="N224" s="618"/>
      <c r="O224" s="618"/>
      <c r="P224" s="618"/>
      <c r="Q224" s="618"/>
      <c r="R224" s="618"/>
      <c r="S224" s="618"/>
      <c r="T224" s="618"/>
      <c r="U224" s="618"/>
      <c r="V224" s="618"/>
      <c r="W224" s="618"/>
      <c r="X224" s="618"/>
      <c r="Y224" s="618"/>
      <c r="Z224" s="618"/>
      <c r="AA224" s="618"/>
      <c r="AB224" s="618"/>
      <c r="AC224" s="618"/>
      <c r="AD224" s="618"/>
      <c r="AE224" s="618"/>
      <c r="AF224" s="618"/>
      <c r="AG224" s="618"/>
      <c r="AH224" s="618"/>
      <c r="AI224" s="618"/>
      <c r="AJ224" s="618"/>
      <c r="AK224" s="618"/>
      <c r="AL224" s="618"/>
      <c r="AM224" s="618"/>
    </row>
    <row r="225" spans="1:39" ht="14.25" customHeight="1" x14ac:dyDescent="0.45">
      <c r="A225" s="618"/>
      <c r="B225" s="618"/>
      <c r="C225" s="106"/>
      <c r="D225" s="111" t="s">
        <v>114</v>
      </c>
      <c r="E225" s="443">
        <f t="shared" si="13"/>
        <v>0</v>
      </c>
      <c r="F225" s="443">
        <f t="shared" si="13"/>
        <v>0</v>
      </c>
      <c r="G225" s="443">
        <f t="shared" si="13"/>
        <v>0</v>
      </c>
      <c r="H225" s="443">
        <f t="shared" si="13"/>
        <v>0</v>
      </c>
      <c r="I225" s="541">
        <f t="shared" si="14"/>
        <v>0</v>
      </c>
      <c r="J225" s="618"/>
      <c r="K225" s="618"/>
      <c r="L225" s="618"/>
      <c r="M225" s="618"/>
      <c r="N225" s="618"/>
      <c r="O225" s="618"/>
      <c r="P225" s="618"/>
      <c r="Q225" s="618"/>
      <c r="R225" s="618"/>
      <c r="S225" s="618"/>
      <c r="T225" s="618"/>
      <c r="U225" s="618"/>
      <c r="V225" s="618"/>
      <c r="W225" s="618"/>
      <c r="X225" s="618"/>
      <c r="Y225" s="618"/>
      <c r="Z225" s="618"/>
      <c r="AA225" s="618"/>
      <c r="AB225" s="618"/>
      <c r="AC225" s="618"/>
      <c r="AD225" s="618"/>
      <c r="AE225" s="618"/>
      <c r="AF225" s="618"/>
      <c r="AG225" s="618"/>
      <c r="AH225" s="618"/>
      <c r="AI225" s="618"/>
      <c r="AJ225" s="618"/>
      <c r="AK225" s="618"/>
      <c r="AL225" s="618"/>
      <c r="AM225" s="618"/>
    </row>
    <row r="226" spans="1:39" ht="14.25" customHeight="1" x14ac:dyDescent="0.45">
      <c r="A226" s="618"/>
      <c r="B226" s="618"/>
      <c r="C226" s="106"/>
      <c r="D226" s="111" t="s">
        <v>115</v>
      </c>
      <c r="E226" s="443">
        <f t="shared" si="13"/>
        <v>0</v>
      </c>
      <c r="F226" s="443">
        <f t="shared" si="13"/>
        <v>0</v>
      </c>
      <c r="G226" s="443">
        <f t="shared" si="13"/>
        <v>0</v>
      </c>
      <c r="H226" s="443">
        <f t="shared" si="13"/>
        <v>0</v>
      </c>
      <c r="I226" s="541">
        <f t="shared" si="14"/>
        <v>0</v>
      </c>
      <c r="J226" s="618"/>
      <c r="K226" s="618"/>
      <c r="L226" s="618"/>
      <c r="M226" s="618"/>
      <c r="N226" s="618"/>
      <c r="O226" s="618"/>
      <c r="P226" s="618"/>
      <c r="Q226" s="618"/>
      <c r="R226" s="618"/>
      <c r="S226" s="618"/>
      <c r="T226" s="618"/>
      <c r="U226" s="618"/>
      <c r="V226" s="618"/>
      <c r="W226" s="618"/>
      <c r="X226" s="618"/>
      <c r="Y226" s="618"/>
      <c r="Z226" s="618"/>
      <c r="AA226" s="618"/>
      <c r="AB226" s="618"/>
      <c r="AC226" s="618"/>
      <c r="AD226" s="618"/>
      <c r="AE226" s="618"/>
      <c r="AF226" s="618"/>
      <c r="AG226" s="618"/>
      <c r="AH226" s="618"/>
      <c r="AI226" s="618"/>
      <c r="AJ226" s="618"/>
      <c r="AK226" s="618"/>
      <c r="AL226" s="618"/>
      <c r="AM226" s="618"/>
    </row>
    <row r="227" spans="1:39" ht="14.25" customHeight="1" x14ac:dyDescent="0.45">
      <c r="A227" s="618"/>
      <c r="B227" s="618"/>
      <c r="C227" s="106"/>
      <c r="D227" s="111" t="s">
        <v>116</v>
      </c>
      <c r="E227" s="443">
        <f t="shared" si="13"/>
        <v>0</v>
      </c>
      <c r="F227" s="443">
        <f t="shared" si="13"/>
        <v>0</v>
      </c>
      <c r="G227" s="443">
        <f t="shared" si="13"/>
        <v>0</v>
      </c>
      <c r="H227" s="443">
        <f t="shared" si="13"/>
        <v>0</v>
      </c>
      <c r="I227" s="541">
        <f t="shared" si="14"/>
        <v>0</v>
      </c>
      <c r="J227" s="618"/>
      <c r="K227" s="618"/>
      <c r="L227" s="618"/>
      <c r="M227" s="618"/>
      <c r="N227" s="618"/>
      <c r="O227" s="618"/>
      <c r="P227" s="618"/>
      <c r="Q227" s="618"/>
      <c r="R227" s="618"/>
      <c r="S227" s="618"/>
      <c r="T227" s="618"/>
      <c r="U227" s="618"/>
      <c r="V227" s="618"/>
      <c r="W227" s="618"/>
      <c r="X227" s="618"/>
      <c r="Y227" s="618"/>
      <c r="Z227" s="618"/>
      <c r="AA227" s="618"/>
      <c r="AB227" s="618"/>
      <c r="AC227" s="618"/>
      <c r="AD227" s="618"/>
      <c r="AE227" s="618"/>
      <c r="AF227" s="618"/>
      <c r="AG227" s="618"/>
      <c r="AH227" s="618"/>
      <c r="AI227" s="618"/>
      <c r="AJ227" s="618"/>
      <c r="AK227" s="618"/>
      <c r="AL227" s="618"/>
      <c r="AM227" s="618"/>
    </row>
    <row r="228" spans="1:39" ht="14.25" customHeight="1" x14ac:dyDescent="0.45">
      <c r="A228" s="618"/>
      <c r="B228" s="618"/>
      <c r="C228" s="106"/>
      <c r="D228" s="115" t="s">
        <v>59</v>
      </c>
      <c r="E228" s="531">
        <f>SUM(E216:E227)</f>
        <v>1.0406000000000002</v>
      </c>
      <c r="F228" s="531">
        <f>SUM(F216:F227)</f>
        <v>1.0426</v>
      </c>
      <c r="G228" s="531">
        <f>SUM(G216:G227)</f>
        <v>1.0439000000000001</v>
      </c>
      <c r="H228" s="531">
        <f>SUM(H216:H227)</f>
        <v>1.0401000000000002</v>
      </c>
      <c r="I228" s="541">
        <f>SUM(I216:I227)</f>
        <v>1.0418000000000001</v>
      </c>
      <c r="J228" s="618"/>
      <c r="K228" s="618"/>
      <c r="L228" s="618"/>
      <c r="M228" s="618"/>
      <c r="N228" s="618"/>
      <c r="O228" s="618"/>
      <c r="P228" s="618"/>
      <c r="Q228" s="618"/>
      <c r="R228" s="618"/>
      <c r="S228" s="618"/>
      <c r="T228" s="618"/>
      <c r="U228" s="618"/>
      <c r="V228" s="618"/>
      <c r="W228" s="618"/>
      <c r="X228" s="618"/>
      <c r="Y228" s="618"/>
      <c r="Z228" s="618"/>
      <c r="AA228" s="618"/>
      <c r="AB228" s="618"/>
      <c r="AC228" s="618"/>
      <c r="AD228" s="618"/>
      <c r="AE228" s="618"/>
      <c r="AF228" s="618"/>
      <c r="AG228" s="618"/>
      <c r="AH228" s="618"/>
      <c r="AI228" s="618"/>
      <c r="AJ228" s="618"/>
      <c r="AK228" s="618"/>
      <c r="AL228" s="618"/>
      <c r="AM228" s="618"/>
    </row>
    <row r="229" spans="1:39" ht="14.25" customHeight="1" thickBot="1" x14ac:dyDescent="0.5">
      <c r="A229" s="618"/>
      <c r="B229" s="618"/>
      <c r="C229" s="118"/>
      <c r="D229" s="181"/>
      <c r="E229" s="191"/>
      <c r="F229" s="191"/>
      <c r="G229" s="191"/>
      <c r="H229" s="192"/>
      <c r="I229" s="618"/>
      <c r="J229" s="618"/>
      <c r="K229" s="618"/>
      <c r="L229" s="618"/>
      <c r="M229" s="618"/>
      <c r="N229" s="618"/>
      <c r="O229" s="618"/>
      <c r="P229" s="618"/>
      <c r="Q229" s="618"/>
      <c r="R229" s="618"/>
      <c r="S229" s="618"/>
      <c r="T229" s="618"/>
      <c r="U229" s="618"/>
      <c r="V229" s="618"/>
      <c r="W229" s="618"/>
      <c r="X229" s="618"/>
      <c r="Y229" s="618"/>
      <c r="Z229" s="618"/>
      <c r="AA229" s="618"/>
      <c r="AB229" s="618"/>
      <c r="AC229" s="618"/>
      <c r="AD229" s="618"/>
      <c r="AE229" s="618"/>
      <c r="AF229" s="618"/>
      <c r="AG229" s="618"/>
      <c r="AH229" s="618"/>
      <c r="AI229" s="618"/>
      <c r="AJ229" s="618"/>
      <c r="AK229" s="618"/>
      <c r="AL229" s="618"/>
      <c r="AM229" s="618"/>
    </row>
    <row r="230" spans="1:39" ht="14.25" customHeight="1" x14ac:dyDescent="0.45">
      <c r="A230" s="618"/>
      <c r="B230" s="618"/>
      <c r="C230" s="618"/>
      <c r="D230" s="12"/>
      <c r="E230" s="13"/>
      <c r="F230" s="618"/>
      <c r="G230" s="618"/>
      <c r="H230" s="618"/>
      <c r="I230" s="618"/>
      <c r="J230" s="618"/>
      <c r="K230" s="618"/>
      <c r="L230" s="618"/>
      <c r="M230" s="618"/>
      <c r="N230" s="618"/>
      <c r="O230" s="618"/>
      <c r="P230" s="618"/>
      <c r="Q230" s="618"/>
      <c r="R230" s="618"/>
      <c r="S230" s="618"/>
      <c r="T230" s="618"/>
      <c r="U230" s="618"/>
      <c r="V230" s="618"/>
      <c r="W230" s="618"/>
      <c r="X230" s="618"/>
      <c r="Y230" s="618"/>
      <c r="Z230" s="618"/>
      <c r="AA230" s="618"/>
      <c r="AB230" s="618"/>
      <c r="AC230" s="618"/>
      <c r="AD230" s="618"/>
      <c r="AE230" s="618"/>
      <c r="AF230" s="618"/>
      <c r="AG230" s="618"/>
      <c r="AH230" s="618"/>
      <c r="AI230" s="618"/>
      <c r="AJ230" s="618"/>
      <c r="AK230" s="618"/>
      <c r="AL230" s="618"/>
      <c r="AM230" s="618"/>
    </row>
    <row r="231" spans="1:39" ht="14.25" customHeight="1" thickBot="1" x14ac:dyDescent="0.5">
      <c r="A231" s="618"/>
      <c r="B231" s="618"/>
      <c r="C231" s="548" t="s">
        <v>85</v>
      </c>
      <c r="D231" s="549" t="s">
        <v>85</v>
      </c>
      <c r="E231" s="550" t="s">
        <v>103</v>
      </c>
      <c r="F231" s="550" t="s">
        <v>85</v>
      </c>
      <c r="G231" s="550" t="s">
        <v>85</v>
      </c>
      <c r="H231" s="551" t="s">
        <v>85</v>
      </c>
      <c r="I231" s="618"/>
      <c r="J231" s="618"/>
      <c r="K231" s="618"/>
      <c r="L231" s="618"/>
      <c r="M231" s="618"/>
      <c r="N231" s="618"/>
      <c r="O231" s="618"/>
      <c r="P231" s="618"/>
      <c r="Q231" s="618"/>
      <c r="R231" s="618"/>
      <c r="S231" s="618"/>
      <c r="T231" s="618"/>
      <c r="U231" s="618"/>
      <c r="V231" s="618"/>
      <c r="W231" s="618"/>
      <c r="X231" s="618"/>
      <c r="Y231" s="618"/>
      <c r="Z231" s="618"/>
      <c r="AA231" s="618"/>
      <c r="AB231" s="618"/>
      <c r="AC231" s="618"/>
      <c r="AD231" s="618"/>
      <c r="AE231" s="618"/>
      <c r="AF231" s="618"/>
      <c r="AG231" s="618"/>
      <c r="AH231" s="618"/>
      <c r="AI231" s="618"/>
      <c r="AJ231" s="618"/>
      <c r="AK231" s="618"/>
      <c r="AL231" s="618"/>
      <c r="AM231" s="618"/>
    </row>
    <row r="232" spans="1:39" ht="14.25" customHeight="1" x14ac:dyDescent="0.45">
      <c r="A232" s="618"/>
      <c r="B232" s="618"/>
      <c r="C232" s="552" t="s">
        <v>85</v>
      </c>
      <c r="D232" s="553" t="s">
        <v>120</v>
      </c>
      <c r="E232" s="554">
        <v>2018</v>
      </c>
      <c r="F232" s="554">
        <v>2019</v>
      </c>
      <c r="G232" s="554">
        <v>2020</v>
      </c>
      <c r="H232" s="555">
        <v>2021</v>
      </c>
      <c r="I232" s="540" t="s">
        <v>37</v>
      </c>
      <c r="J232" s="618"/>
      <c r="K232" s="618"/>
      <c r="L232" s="618"/>
      <c r="M232" s="618"/>
      <c r="N232" s="618"/>
      <c r="O232" s="618"/>
      <c r="P232" s="618"/>
      <c r="Q232" s="618"/>
      <c r="R232" s="618"/>
      <c r="S232" s="618"/>
      <c r="T232" s="618"/>
      <c r="U232" s="618"/>
      <c r="V232" s="618"/>
      <c r="W232" s="618"/>
      <c r="X232" s="618"/>
      <c r="Y232" s="618"/>
      <c r="Z232" s="618"/>
      <c r="AA232" s="618"/>
      <c r="AB232" s="618"/>
      <c r="AC232" s="618"/>
      <c r="AD232" s="618"/>
      <c r="AE232" s="618"/>
      <c r="AF232" s="618"/>
      <c r="AG232" s="618"/>
      <c r="AH232" s="618"/>
      <c r="AI232" s="618"/>
      <c r="AJ232" s="618"/>
      <c r="AK232" s="618"/>
      <c r="AL232" s="618"/>
      <c r="AM232" s="618"/>
    </row>
    <row r="233" spans="1:39" ht="14.25" customHeight="1" x14ac:dyDescent="0.45">
      <c r="A233" s="618"/>
      <c r="B233" s="618"/>
      <c r="C233" s="552" t="s">
        <v>85</v>
      </c>
      <c r="D233" s="545" t="s">
        <v>121</v>
      </c>
      <c r="E233" s="561">
        <v>6.077</v>
      </c>
      <c r="F233" s="561">
        <v>6.6</v>
      </c>
      <c r="G233" s="561">
        <v>6.1820000000000004</v>
      </c>
      <c r="H233" s="562">
        <v>5.9489999999999998</v>
      </c>
      <c r="I233" s="541">
        <f>AVERAGE(E233:H233)</f>
        <v>6.202</v>
      </c>
      <c r="J233" s="618"/>
      <c r="K233" s="618"/>
      <c r="L233" s="618"/>
      <c r="M233" s="618"/>
      <c r="N233" s="618"/>
      <c r="O233" s="618"/>
      <c r="P233" s="618"/>
      <c r="Q233" s="618"/>
      <c r="R233" s="618"/>
      <c r="S233" s="618"/>
      <c r="T233" s="618"/>
      <c r="U233" s="618"/>
      <c r="V233" s="618"/>
      <c r="W233" s="618"/>
      <c r="X233" s="618"/>
      <c r="Y233" s="618"/>
      <c r="Z233" s="618"/>
      <c r="AA233" s="618"/>
      <c r="AB233" s="618"/>
      <c r="AC233" s="618"/>
      <c r="AD233" s="618"/>
      <c r="AE233" s="618"/>
      <c r="AF233" s="618"/>
      <c r="AG233" s="618"/>
      <c r="AH233" s="618"/>
      <c r="AI233" s="618"/>
      <c r="AJ233" s="618"/>
      <c r="AK233" s="618"/>
      <c r="AL233" s="618"/>
      <c r="AM233" s="618"/>
    </row>
    <row r="234" spans="1:39" ht="14.25" customHeight="1" x14ac:dyDescent="0.45">
      <c r="A234" s="618"/>
      <c r="B234" s="618"/>
      <c r="C234" s="552" t="s">
        <v>85</v>
      </c>
      <c r="D234" s="545" t="s">
        <v>106</v>
      </c>
      <c r="E234" s="559">
        <v>0</v>
      </c>
      <c r="F234" s="559">
        <v>0</v>
      </c>
      <c r="G234" s="559">
        <v>0</v>
      </c>
      <c r="H234" s="560">
        <v>0</v>
      </c>
      <c r="I234" s="541">
        <f t="shared" ref="I234:I237" si="15">AVERAGE(E234:H234)</f>
        <v>0</v>
      </c>
      <c r="J234" s="618"/>
      <c r="K234" s="618"/>
      <c r="L234" s="618"/>
      <c r="M234" s="618"/>
      <c r="N234" s="618"/>
      <c r="O234" s="618"/>
      <c r="P234" s="618"/>
      <c r="Q234" s="618"/>
      <c r="R234" s="618"/>
      <c r="S234" s="618"/>
      <c r="T234" s="618"/>
      <c r="U234" s="618"/>
      <c r="V234" s="618"/>
      <c r="W234" s="618"/>
      <c r="X234" s="618"/>
      <c r="Y234" s="618"/>
      <c r="Z234" s="618"/>
      <c r="AA234" s="618"/>
      <c r="AB234" s="618"/>
      <c r="AC234" s="618"/>
      <c r="AD234" s="618"/>
      <c r="AE234" s="618"/>
      <c r="AF234" s="618"/>
      <c r="AG234" s="618"/>
      <c r="AH234" s="618"/>
      <c r="AI234" s="618"/>
      <c r="AJ234" s="618"/>
      <c r="AK234" s="618"/>
      <c r="AL234" s="618"/>
      <c r="AM234" s="618"/>
    </row>
    <row r="235" spans="1:39" ht="14.25" customHeight="1" x14ac:dyDescent="0.45">
      <c r="A235" s="618"/>
      <c r="B235" s="618"/>
      <c r="C235" s="552" t="s">
        <v>85</v>
      </c>
      <c r="D235" s="545" t="s">
        <v>107</v>
      </c>
      <c r="E235" s="559">
        <v>0</v>
      </c>
      <c r="F235" s="559">
        <v>0</v>
      </c>
      <c r="G235" s="559">
        <v>0</v>
      </c>
      <c r="H235" s="560">
        <v>0</v>
      </c>
      <c r="I235" s="541">
        <f t="shared" si="15"/>
        <v>0</v>
      </c>
      <c r="J235" s="618"/>
      <c r="K235" s="618"/>
      <c r="L235" s="618"/>
      <c r="M235" s="618"/>
      <c r="N235" s="618"/>
      <c r="O235" s="618"/>
      <c r="P235" s="618"/>
      <c r="Q235" s="618"/>
      <c r="R235" s="618"/>
      <c r="S235" s="618"/>
      <c r="T235" s="618"/>
      <c r="U235" s="618"/>
      <c r="V235" s="618"/>
      <c r="W235" s="618"/>
      <c r="X235" s="618"/>
      <c r="Y235" s="618"/>
      <c r="Z235" s="618"/>
      <c r="AA235" s="618"/>
      <c r="AB235" s="618"/>
      <c r="AC235" s="618"/>
      <c r="AD235" s="618"/>
      <c r="AE235" s="618"/>
      <c r="AF235" s="618"/>
      <c r="AG235" s="618"/>
      <c r="AH235" s="618"/>
      <c r="AI235" s="618"/>
      <c r="AJ235" s="618"/>
      <c r="AK235" s="618"/>
      <c r="AL235" s="618"/>
      <c r="AM235" s="618"/>
    </row>
    <row r="236" spans="1:39" ht="14.25" customHeight="1" x14ac:dyDescent="0.45">
      <c r="A236" s="618"/>
      <c r="B236" s="618"/>
      <c r="C236" s="552" t="s">
        <v>85</v>
      </c>
      <c r="D236" s="545" t="s">
        <v>108</v>
      </c>
      <c r="E236" s="559">
        <v>0.77790585263904999</v>
      </c>
      <c r="F236" s="559">
        <v>0.63698410701126296</v>
      </c>
      <c r="G236" s="559">
        <v>0.65812665225344202</v>
      </c>
      <c r="H236" s="560">
        <v>0.62603093541346799</v>
      </c>
      <c r="I236" s="541">
        <f t="shared" si="15"/>
        <v>0.67476188682930582</v>
      </c>
      <c r="J236" s="618"/>
      <c r="K236" s="618"/>
      <c r="L236" s="618"/>
      <c r="M236" s="618"/>
      <c r="N236" s="618"/>
      <c r="O236" s="618"/>
      <c r="P236" s="618"/>
      <c r="Q236" s="618"/>
      <c r="R236" s="618"/>
      <c r="S236" s="618"/>
      <c r="T236" s="618"/>
      <c r="U236" s="618"/>
      <c r="V236" s="618"/>
      <c r="W236" s="618"/>
      <c r="X236" s="618"/>
      <c r="Y236" s="618"/>
      <c r="Z236" s="618"/>
      <c r="AA236" s="618"/>
      <c r="AB236" s="618"/>
      <c r="AC236" s="618"/>
      <c r="AD236" s="618"/>
      <c r="AE236" s="618"/>
      <c r="AF236" s="618"/>
      <c r="AG236" s="618"/>
      <c r="AH236" s="618"/>
      <c r="AI236" s="618"/>
      <c r="AJ236" s="618"/>
      <c r="AK236" s="618"/>
      <c r="AL236" s="618"/>
      <c r="AM236" s="618"/>
    </row>
    <row r="237" spans="1:39" ht="14.25" customHeight="1" x14ac:dyDescent="0.45">
      <c r="A237" s="618"/>
      <c r="B237" s="618"/>
      <c r="C237" s="552" t="s">
        <v>85</v>
      </c>
      <c r="D237" s="545" t="s">
        <v>109</v>
      </c>
      <c r="E237" s="559">
        <v>0.66368679125049801</v>
      </c>
      <c r="F237" s="559">
        <v>0.73780892327967695</v>
      </c>
      <c r="G237" s="559">
        <v>0.62795806610636695</v>
      </c>
      <c r="H237" s="560">
        <v>0.70793970208527202</v>
      </c>
      <c r="I237" s="541">
        <f t="shared" si="15"/>
        <v>0.6843483706804534</v>
      </c>
      <c r="J237" s="618"/>
      <c r="K237" s="618"/>
      <c r="L237" s="618"/>
      <c r="M237" s="618"/>
      <c r="N237" s="618"/>
      <c r="O237" s="618"/>
      <c r="P237" s="618"/>
      <c r="Q237" s="618"/>
      <c r="R237" s="618"/>
      <c r="S237" s="618"/>
      <c r="T237" s="618"/>
      <c r="U237" s="618"/>
      <c r="V237" s="618"/>
      <c r="W237" s="618"/>
      <c r="X237" s="618"/>
      <c r="Y237" s="618"/>
      <c r="Z237" s="618"/>
      <c r="AA237" s="618"/>
      <c r="AB237" s="618"/>
      <c r="AC237" s="618"/>
      <c r="AD237" s="618"/>
      <c r="AE237" s="618"/>
      <c r="AF237" s="618"/>
      <c r="AG237" s="618"/>
      <c r="AH237" s="618"/>
      <c r="AI237" s="618"/>
      <c r="AJ237" s="618"/>
      <c r="AK237" s="618"/>
      <c r="AL237" s="618"/>
      <c r="AM237" s="618"/>
    </row>
    <row r="238" spans="1:39" ht="14.25" customHeight="1" x14ac:dyDescent="0.45">
      <c r="A238" s="618"/>
      <c r="B238" s="618"/>
      <c r="C238" s="552" t="s">
        <v>85</v>
      </c>
      <c r="D238" s="527" t="s">
        <v>59</v>
      </c>
      <c r="E238" s="559">
        <f>SUM(E233:E237)</f>
        <v>7.5185926438895478</v>
      </c>
      <c r="F238" s="559">
        <f>SUM(F233:F237)</f>
        <v>7.9747930302909396</v>
      </c>
      <c r="G238" s="559">
        <f>SUM(G233:G237)</f>
        <v>7.4680847183598091</v>
      </c>
      <c r="H238" s="560">
        <f>SUM(H233:H237)</f>
        <v>7.2829706374987397</v>
      </c>
      <c r="I238" s="541">
        <f>SUM(I233:I237)</f>
        <v>7.5611102575097595</v>
      </c>
      <c r="J238" s="618"/>
      <c r="K238" s="618"/>
      <c r="L238" s="618"/>
      <c r="M238" s="618"/>
      <c r="N238" s="618"/>
      <c r="O238" s="618"/>
      <c r="P238" s="618"/>
      <c r="Q238" s="618"/>
      <c r="R238" s="618"/>
      <c r="S238" s="618"/>
      <c r="T238" s="618"/>
      <c r="U238" s="618"/>
      <c r="V238" s="618"/>
      <c r="W238" s="618"/>
      <c r="X238" s="618"/>
      <c r="Y238" s="618"/>
      <c r="Z238" s="618"/>
      <c r="AA238" s="618"/>
      <c r="AB238" s="618"/>
      <c r="AC238" s="618"/>
      <c r="AD238" s="618"/>
      <c r="AE238" s="618"/>
      <c r="AF238" s="618"/>
      <c r="AG238" s="618"/>
      <c r="AH238" s="618"/>
      <c r="AI238" s="618"/>
      <c r="AJ238" s="618"/>
      <c r="AK238" s="618"/>
      <c r="AL238" s="618"/>
      <c r="AM238" s="618"/>
    </row>
    <row r="239" spans="1:39" ht="14.25" customHeight="1" thickBot="1" x14ac:dyDescent="0.5">
      <c r="A239" s="618"/>
      <c r="B239" s="618"/>
      <c r="C239" s="556" t="s">
        <v>122</v>
      </c>
      <c r="D239" s="181"/>
      <c r="E239" s="557" t="s">
        <v>85</v>
      </c>
      <c r="F239" s="557" t="s">
        <v>85</v>
      </c>
      <c r="G239" s="557" t="s">
        <v>85</v>
      </c>
      <c r="H239" s="558" t="s">
        <v>85</v>
      </c>
      <c r="I239" s="618"/>
      <c r="J239" s="618"/>
      <c r="K239" s="618"/>
      <c r="L239" s="618"/>
      <c r="M239" s="618"/>
      <c r="N239" s="618"/>
      <c r="O239" s="618"/>
      <c r="P239" s="618"/>
      <c r="Q239" s="618"/>
      <c r="R239" s="618"/>
      <c r="S239" s="618"/>
      <c r="T239" s="618"/>
      <c r="U239" s="618"/>
      <c r="V239" s="618"/>
      <c r="W239" s="618"/>
      <c r="X239" s="618"/>
      <c r="Y239" s="618"/>
      <c r="Z239" s="618"/>
      <c r="AA239" s="618"/>
      <c r="AB239" s="618"/>
      <c r="AC239" s="618"/>
      <c r="AD239" s="618"/>
      <c r="AE239" s="618"/>
      <c r="AF239" s="618"/>
      <c r="AG239" s="618"/>
      <c r="AH239" s="618"/>
      <c r="AI239" s="618"/>
      <c r="AJ239" s="618"/>
      <c r="AK239" s="618"/>
      <c r="AL239" s="618"/>
      <c r="AM239" s="618"/>
    </row>
    <row r="240" spans="1:39" ht="14.25" customHeight="1" thickBot="1" x14ac:dyDescent="0.5">
      <c r="A240" s="618"/>
      <c r="B240" s="618"/>
      <c r="C240" s="618"/>
      <c r="D240" s="12"/>
      <c r="E240" s="13"/>
      <c r="F240" s="618"/>
      <c r="G240" s="618"/>
      <c r="H240" s="618"/>
      <c r="I240" s="618"/>
      <c r="J240" s="618"/>
      <c r="K240" s="618"/>
      <c r="L240" s="618"/>
      <c r="M240" s="618"/>
      <c r="N240" s="618"/>
      <c r="O240" s="618"/>
      <c r="P240" s="618"/>
      <c r="Q240" s="618"/>
      <c r="R240" s="618"/>
      <c r="S240" s="618"/>
      <c r="T240" s="618"/>
      <c r="U240" s="618"/>
      <c r="V240" s="618"/>
      <c r="W240" s="618"/>
      <c r="X240" s="618"/>
      <c r="Y240" s="618"/>
      <c r="Z240" s="618"/>
      <c r="AA240" s="618"/>
      <c r="AB240" s="618"/>
      <c r="AC240" s="618"/>
      <c r="AD240" s="618"/>
      <c r="AE240" s="618"/>
      <c r="AF240" s="618"/>
      <c r="AG240" s="618"/>
      <c r="AH240" s="618"/>
      <c r="AI240" s="618"/>
      <c r="AJ240" s="618"/>
      <c r="AK240" s="618"/>
      <c r="AL240" s="618"/>
      <c r="AM240" s="618"/>
    </row>
    <row r="241" spans="1:39" ht="14.25" customHeight="1" thickBot="1" x14ac:dyDescent="0.5">
      <c r="A241" s="618"/>
      <c r="B241" s="618"/>
      <c r="C241" s="548" t="s">
        <v>85</v>
      </c>
      <c r="D241" s="549" t="s">
        <v>85</v>
      </c>
      <c r="E241" s="550"/>
      <c r="F241" s="550" t="s">
        <v>85</v>
      </c>
      <c r="G241" s="550" t="s">
        <v>85</v>
      </c>
      <c r="H241" s="551" t="s">
        <v>85</v>
      </c>
      <c r="I241" s="618"/>
      <c r="J241" s="618"/>
      <c r="K241" s="618"/>
      <c r="L241" s="618"/>
      <c r="M241" s="618"/>
      <c r="N241" s="618"/>
      <c r="O241" s="618"/>
      <c r="P241" s="618"/>
      <c r="Q241" s="618"/>
      <c r="R241" s="618"/>
      <c r="S241" s="618"/>
      <c r="T241" s="618"/>
      <c r="U241" s="618"/>
      <c r="V241" s="618"/>
      <c r="W241" s="618"/>
      <c r="X241" s="618"/>
      <c r="Y241" s="618"/>
      <c r="Z241" s="618"/>
      <c r="AA241" s="618"/>
      <c r="AB241" s="618"/>
      <c r="AC241" s="618"/>
      <c r="AD241" s="618"/>
      <c r="AE241" s="618"/>
      <c r="AF241" s="618"/>
      <c r="AG241" s="618"/>
      <c r="AH241" s="618"/>
      <c r="AI241" s="618"/>
      <c r="AJ241" s="618"/>
      <c r="AK241" s="618"/>
      <c r="AL241" s="618"/>
      <c r="AM241" s="618"/>
    </row>
    <row r="242" spans="1:39" ht="14.25" customHeight="1" x14ac:dyDescent="0.45">
      <c r="A242" s="618"/>
      <c r="B242" s="618"/>
      <c r="C242" s="552" t="s">
        <v>85</v>
      </c>
      <c r="D242" s="553" t="s">
        <v>123</v>
      </c>
      <c r="E242" s="563">
        <v>2018</v>
      </c>
      <c r="F242" s="563">
        <v>2019</v>
      </c>
      <c r="G242" s="563">
        <v>2020</v>
      </c>
      <c r="H242" s="564">
        <v>2021</v>
      </c>
      <c r="I242" s="540" t="s">
        <v>37</v>
      </c>
      <c r="J242" s="618"/>
      <c r="K242" s="618"/>
      <c r="L242" s="618"/>
      <c r="M242" s="618"/>
      <c r="N242" s="618"/>
      <c r="O242" s="618"/>
      <c r="P242" s="618"/>
      <c r="Q242" s="618"/>
      <c r="R242" s="618"/>
      <c r="S242" s="618"/>
      <c r="T242" s="618"/>
      <c r="U242" s="618"/>
      <c r="V242" s="618"/>
      <c r="W242" s="618"/>
      <c r="X242" s="618"/>
      <c r="Y242" s="618"/>
      <c r="Z242" s="618"/>
      <c r="AA242" s="618"/>
      <c r="AB242" s="618"/>
      <c r="AC242" s="618"/>
      <c r="AD242" s="618"/>
      <c r="AE242" s="618"/>
      <c r="AF242" s="618"/>
      <c r="AG242" s="618"/>
      <c r="AH242" s="618"/>
      <c r="AI242" s="618"/>
      <c r="AJ242" s="618"/>
      <c r="AK242" s="618"/>
      <c r="AL242" s="618"/>
      <c r="AM242" s="618"/>
    </row>
    <row r="243" spans="1:39" ht="14.25" customHeight="1" x14ac:dyDescent="0.45">
      <c r="A243" s="618"/>
      <c r="B243" s="618"/>
      <c r="C243" s="552" t="s">
        <v>85</v>
      </c>
      <c r="D243" s="545" t="s">
        <v>121</v>
      </c>
      <c r="E243" s="565">
        <f>ROUND(E233/E$238,4)</f>
        <v>0.80830000000000002</v>
      </c>
      <c r="F243" s="565">
        <f t="shared" ref="F243:H243" si="16">ROUND(F233/F$238,4)</f>
        <v>0.8276</v>
      </c>
      <c r="G243" s="565">
        <f t="shared" si="16"/>
        <v>0.82779999999999998</v>
      </c>
      <c r="H243" s="565">
        <f t="shared" si="16"/>
        <v>0.81679999999999997</v>
      </c>
      <c r="I243" s="541">
        <f>AVERAGE(E243:H243)</f>
        <v>0.82012499999999999</v>
      </c>
      <c r="J243" s="618"/>
      <c r="K243" s="618"/>
      <c r="L243" s="618"/>
      <c r="M243" s="618"/>
      <c r="N243" s="618"/>
      <c r="O243" s="618"/>
      <c r="P243" s="618"/>
      <c r="Q243" s="618"/>
      <c r="R243" s="618"/>
      <c r="S243" s="618"/>
      <c r="T243" s="618"/>
      <c r="U243" s="618"/>
      <c r="V243" s="618"/>
      <c r="W243" s="618"/>
      <c r="X243" s="618"/>
      <c r="Y243" s="618"/>
      <c r="Z243" s="618"/>
      <c r="AA243" s="618"/>
      <c r="AB243" s="618"/>
      <c r="AC243" s="618"/>
      <c r="AD243" s="618"/>
      <c r="AE243" s="618"/>
      <c r="AF243" s="618"/>
      <c r="AG243" s="618"/>
      <c r="AH243" s="618"/>
      <c r="AI243" s="618"/>
      <c r="AJ243" s="618"/>
      <c r="AK243" s="618"/>
      <c r="AL243" s="618"/>
      <c r="AM243" s="618"/>
    </row>
    <row r="244" spans="1:39" ht="14.25" customHeight="1" x14ac:dyDescent="0.45">
      <c r="A244" s="618"/>
      <c r="B244" s="618"/>
      <c r="C244" s="552" t="s">
        <v>85</v>
      </c>
      <c r="D244" s="545" t="s">
        <v>106</v>
      </c>
      <c r="E244" s="565">
        <f t="shared" ref="E244:H247" si="17">ROUND(E234/E$238,4)</f>
        <v>0</v>
      </c>
      <c r="F244" s="565">
        <f t="shared" si="17"/>
        <v>0</v>
      </c>
      <c r="G244" s="565">
        <f t="shared" si="17"/>
        <v>0</v>
      </c>
      <c r="H244" s="565">
        <f t="shared" si="17"/>
        <v>0</v>
      </c>
      <c r="I244" s="541">
        <f t="shared" ref="I244:I247" si="18">AVERAGE(E244:H244)</f>
        <v>0</v>
      </c>
      <c r="J244" s="618"/>
      <c r="K244" s="618"/>
      <c r="L244" s="618"/>
      <c r="M244" s="618"/>
      <c r="N244" s="618"/>
      <c r="O244" s="618"/>
      <c r="P244" s="618"/>
      <c r="Q244" s="618"/>
      <c r="R244" s="618"/>
      <c r="S244" s="618"/>
      <c r="T244" s="618"/>
      <c r="U244" s="618"/>
      <c r="V244" s="618"/>
      <c r="W244" s="618"/>
      <c r="X244" s="618"/>
      <c r="Y244" s="618"/>
      <c r="Z244" s="618"/>
      <c r="AA244" s="618"/>
      <c r="AB244" s="618"/>
      <c r="AC244" s="618"/>
      <c r="AD244" s="618"/>
      <c r="AE244" s="618"/>
      <c r="AF244" s="618"/>
      <c r="AG244" s="618"/>
      <c r="AH244" s="618"/>
      <c r="AI244" s="618"/>
      <c r="AJ244" s="618"/>
      <c r="AK244" s="618"/>
      <c r="AL244" s="618"/>
      <c r="AM244" s="618"/>
    </row>
    <row r="245" spans="1:39" ht="14.25" customHeight="1" x14ac:dyDescent="0.45">
      <c r="A245" s="618"/>
      <c r="B245" s="618"/>
      <c r="C245" s="552" t="s">
        <v>85</v>
      </c>
      <c r="D245" s="545" t="s">
        <v>107</v>
      </c>
      <c r="E245" s="565">
        <f t="shared" si="17"/>
        <v>0</v>
      </c>
      <c r="F245" s="565">
        <f t="shared" si="17"/>
        <v>0</v>
      </c>
      <c r="G245" s="565">
        <f t="shared" si="17"/>
        <v>0</v>
      </c>
      <c r="H245" s="565">
        <f t="shared" si="17"/>
        <v>0</v>
      </c>
      <c r="I245" s="541">
        <f t="shared" si="18"/>
        <v>0</v>
      </c>
      <c r="J245" s="618"/>
      <c r="K245" s="618"/>
      <c r="L245" s="618"/>
      <c r="M245" s="618"/>
      <c r="N245" s="618"/>
      <c r="O245" s="618"/>
      <c r="P245" s="618"/>
      <c r="Q245" s="618"/>
      <c r="R245" s="618"/>
      <c r="S245" s="618"/>
      <c r="T245" s="618"/>
      <c r="U245" s="618"/>
      <c r="V245" s="618"/>
      <c r="W245" s="618"/>
      <c r="X245" s="618"/>
      <c r="Y245" s="618"/>
      <c r="Z245" s="618"/>
      <c r="AA245" s="618"/>
      <c r="AB245" s="618"/>
      <c r="AC245" s="618"/>
      <c r="AD245" s="618"/>
      <c r="AE245" s="618"/>
      <c r="AF245" s="618"/>
      <c r="AG245" s="618"/>
      <c r="AH245" s="618"/>
      <c r="AI245" s="618"/>
      <c r="AJ245" s="618"/>
      <c r="AK245" s="618"/>
      <c r="AL245" s="618"/>
      <c r="AM245" s="618"/>
    </row>
    <row r="246" spans="1:39" ht="14.25" customHeight="1" x14ac:dyDescent="0.45">
      <c r="A246" s="618"/>
      <c r="B246" s="618"/>
      <c r="C246" s="552" t="s">
        <v>85</v>
      </c>
      <c r="D246" s="545" t="s">
        <v>108</v>
      </c>
      <c r="E246" s="565">
        <f t="shared" si="17"/>
        <v>0.10349999999999999</v>
      </c>
      <c r="F246" s="565">
        <f t="shared" si="17"/>
        <v>7.9899999999999999E-2</v>
      </c>
      <c r="G246" s="565">
        <f t="shared" si="17"/>
        <v>8.8099999999999998E-2</v>
      </c>
      <c r="H246" s="565">
        <f t="shared" si="17"/>
        <v>8.5999999999999993E-2</v>
      </c>
      <c r="I246" s="541">
        <f t="shared" si="18"/>
        <v>8.937500000000001E-2</v>
      </c>
      <c r="J246" s="618"/>
      <c r="K246" s="618"/>
      <c r="L246" s="618"/>
      <c r="M246" s="618"/>
      <c r="N246" s="618"/>
      <c r="O246" s="618"/>
      <c r="P246" s="618"/>
      <c r="Q246" s="618"/>
      <c r="R246" s="618"/>
      <c r="S246" s="618"/>
      <c r="T246" s="618"/>
      <c r="U246" s="618"/>
      <c r="V246" s="618"/>
      <c r="W246" s="618"/>
      <c r="X246" s="618"/>
      <c r="Y246" s="618"/>
      <c r="Z246" s="618"/>
      <c r="AA246" s="618"/>
      <c r="AB246" s="618"/>
      <c r="AC246" s="618"/>
      <c r="AD246" s="618"/>
      <c r="AE246" s="618"/>
      <c r="AF246" s="618"/>
      <c r="AG246" s="618"/>
      <c r="AH246" s="618"/>
      <c r="AI246" s="618"/>
      <c r="AJ246" s="618"/>
      <c r="AK246" s="618"/>
      <c r="AL246" s="618"/>
      <c r="AM246" s="618"/>
    </row>
    <row r="247" spans="1:39" ht="14.25" customHeight="1" x14ac:dyDescent="0.45">
      <c r="A247" s="618"/>
      <c r="B247" s="618"/>
      <c r="C247" s="552" t="s">
        <v>85</v>
      </c>
      <c r="D247" s="545" t="s">
        <v>109</v>
      </c>
      <c r="E247" s="565">
        <f t="shared" si="17"/>
        <v>8.8300000000000003E-2</v>
      </c>
      <c r="F247" s="565">
        <f t="shared" si="17"/>
        <v>9.2499999999999999E-2</v>
      </c>
      <c r="G247" s="565">
        <f t="shared" si="17"/>
        <v>8.4099999999999994E-2</v>
      </c>
      <c r="H247" s="565">
        <f t="shared" si="17"/>
        <v>9.7199999999999995E-2</v>
      </c>
      <c r="I247" s="541">
        <f t="shared" si="18"/>
        <v>9.0525000000000008E-2</v>
      </c>
      <c r="J247" s="618"/>
      <c r="K247" s="618"/>
      <c r="L247" s="618"/>
      <c r="M247" s="618"/>
      <c r="N247" s="618"/>
      <c r="O247" s="618"/>
      <c r="P247" s="618"/>
      <c r="Q247" s="618"/>
      <c r="R247" s="618"/>
      <c r="S247" s="618"/>
      <c r="T247" s="618"/>
      <c r="U247" s="618"/>
      <c r="V247" s="618"/>
      <c r="W247" s="618"/>
      <c r="X247" s="618"/>
      <c r="Y247" s="618"/>
      <c r="Z247" s="618"/>
      <c r="AA247" s="618"/>
      <c r="AB247" s="618"/>
      <c r="AC247" s="618"/>
      <c r="AD247" s="618"/>
      <c r="AE247" s="618"/>
      <c r="AF247" s="618"/>
      <c r="AG247" s="618"/>
      <c r="AH247" s="618"/>
      <c r="AI247" s="618"/>
      <c r="AJ247" s="618"/>
      <c r="AK247" s="618"/>
      <c r="AL247" s="618"/>
      <c r="AM247" s="618"/>
    </row>
    <row r="248" spans="1:39" ht="14.25" customHeight="1" x14ac:dyDescent="0.45">
      <c r="A248" s="618"/>
      <c r="B248" s="618"/>
      <c r="C248" s="552" t="s">
        <v>85</v>
      </c>
      <c r="D248" s="527" t="s">
        <v>59</v>
      </c>
      <c r="E248" s="566">
        <f>SUM(E243:E247)</f>
        <v>1.0001</v>
      </c>
      <c r="F248" s="566">
        <f>SUM(F243:F247)</f>
        <v>1</v>
      </c>
      <c r="G248" s="566">
        <f>SUM(G243:G247)</f>
        <v>0.99999999999999989</v>
      </c>
      <c r="H248" s="567">
        <f>SUM(H243:H247)</f>
        <v>0.99999999999999989</v>
      </c>
      <c r="I248" s="541">
        <f>SUM(I243:I247)</f>
        <v>1.0000249999999999</v>
      </c>
      <c r="J248" s="618"/>
      <c r="K248" s="618"/>
      <c r="L248" s="618"/>
      <c r="M248" s="618"/>
      <c r="N248" s="618"/>
      <c r="O248" s="618"/>
      <c r="P248" s="618"/>
      <c r="Q248" s="618"/>
      <c r="R248" s="618"/>
      <c r="S248" s="618"/>
      <c r="T248" s="618"/>
      <c r="U248" s="618"/>
      <c r="V248" s="618"/>
      <c r="W248" s="618"/>
      <c r="X248" s="618"/>
      <c r="Y248" s="618"/>
      <c r="Z248" s="618"/>
      <c r="AA248" s="618"/>
      <c r="AB248" s="618"/>
      <c r="AC248" s="618"/>
      <c r="AD248" s="618"/>
      <c r="AE248" s="618"/>
      <c r="AF248" s="618"/>
      <c r="AG248" s="618"/>
      <c r="AH248" s="618"/>
      <c r="AI248" s="618"/>
      <c r="AJ248" s="618"/>
      <c r="AK248" s="618"/>
      <c r="AL248" s="618"/>
      <c r="AM248" s="618"/>
    </row>
    <row r="249" spans="1:39" ht="14.25" customHeight="1" thickBot="1" x14ac:dyDescent="0.5">
      <c r="A249" s="618"/>
      <c r="B249" s="618"/>
      <c r="C249" s="556" t="s">
        <v>122</v>
      </c>
      <c r="D249" s="181"/>
      <c r="E249" s="568" t="s">
        <v>85</v>
      </c>
      <c r="F249" s="568" t="s">
        <v>85</v>
      </c>
      <c r="G249" s="568" t="s">
        <v>85</v>
      </c>
      <c r="H249" s="569" t="s">
        <v>85</v>
      </c>
      <c r="I249" s="618"/>
      <c r="J249" s="618"/>
      <c r="K249" s="618"/>
      <c r="L249" s="618"/>
      <c r="M249" s="618"/>
      <c r="N249" s="618"/>
      <c r="O249" s="618"/>
      <c r="P249" s="618"/>
      <c r="Q249" s="618"/>
      <c r="R249" s="618"/>
      <c r="S249" s="618"/>
      <c r="T249" s="618"/>
      <c r="U249" s="618"/>
      <c r="V249" s="618"/>
      <c r="W249" s="618"/>
      <c r="X249" s="618"/>
      <c r="Y249" s="618"/>
      <c r="Z249" s="618"/>
      <c r="AA249" s="618"/>
      <c r="AB249" s="618"/>
      <c r="AC249" s="618"/>
      <c r="AD249" s="618"/>
      <c r="AE249" s="618"/>
      <c r="AF249" s="618"/>
      <c r="AG249" s="618"/>
      <c r="AH249" s="618"/>
      <c r="AI249" s="618"/>
      <c r="AJ249" s="618"/>
      <c r="AK249" s="618"/>
      <c r="AL249" s="618"/>
      <c r="AM249" s="618"/>
    </row>
    <row r="250" spans="1:39" ht="14.25" customHeight="1" x14ac:dyDescent="0.45">
      <c r="A250" s="618"/>
      <c r="B250" s="618"/>
      <c r="C250" s="618"/>
      <c r="D250" s="12"/>
      <c r="E250" s="13"/>
      <c r="F250" s="618"/>
      <c r="G250" s="618"/>
      <c r="H250" s="618"/>
      <c r="I250" s="618"/>
      <c r="J250" s="618"/>
      <c r="K250" s="618"/>
      <c r="L250" s="618"/>
      <c r="M250" s="618"/>
      <c r="N250" s="618"/>
      <c r="O250" s="618"/>
      <c r="P250" s="618"/>
      <c r="Q250" s="618"/>
      <c r="R250" s="618"/>
      <c r="S250" s="618"/>
      <c r="T250" s="618"/>
      <c r="U250" s="618"/>
      <c r="V250" s="618"/>
      <c r="W250" s="618"/>
      <c r="X250" s="618"/>
      <c r="Y250" s="618"/>
      <c r="Z250" s="618"/>
      <c r="AA250" s="618"/>
      <c r="AB250" s="618"/>
      <c r="AC250" s="618"/>
      <c r="AD250" s="618"/>
      <c r="AE250" s="618"/>
      <c r="AF250" s="618"/>
      <c r="AG250" s="618"/>
      <c r="AH250" s="618"/>
      <c r="AI250" s="618"/>
      <c r="AJ250" s="618"/>
      <c r="AK250" s="618"/>
      <c r="AL250" s="618"/>
      <c r="AM250" s="618"/>
    </row>
    <row r="251" spans="1:39" ht="14.25" customHeight="1" x14ac:dyDescent="0.45">
      <c r="A251" s="618"/>
      <c r="B251" s="618"/>
      <c r="C251" s="618"/>
      <c r="D251" s="12"/>
      <c r="E251" s="13"/>
      <c r="F251" s="618"/>
      <c r="G251" s="618"/>
      <c r="H251" s="618"/>
      <c r="I251" s="618"/>
      <c r="J251" s="618"/>
      <c r="K251" s="618"/>
      <c r="L251" s="618"/>
      <c r="M251" s="618"/>
      <c r="N251" s="618"/>
      <c r="O251" s="618"/>
      <c r="P251" s="618"/>
      <c r="Q251" s="618"/>
      <c r="R251" s="618"/>
      <c r="S251" s="618"/>
      <c r="T251" s="618"/>
      <c r="U251" s="618"/>
      <c r="V251" s="618"/>
      <c r="W251" s="618"/>
      <c r="X251" s="618"/>
      <c r="Y251" s="618"/>
      <c r="Z251" s="618"/>
      <c r="AA251" s="618"/>
      <c r="AB251" s="618"/>
      <c r="AC251" s="618"/>
      <c r="AD251" s="618"/>
      <c r="AE251" s="618"/>
      <c r="AF251" s="618"/>
      <c r="AG251" s="618"/>
      <c r="AH251" s="618"/>
      <c r="AI251" s="618"/>
      <c r="AJ251" s="618"/>
      <c r="AK251" s="618"/>
      <c r="AL251" s="618"/>
      <c r="AM251" s="618"/>
    </row>
    <row r="252" spans="1:39" ht="14.25" customHeight="1" x14ac:dyDescent="0.45">
      <c r="A252" s="618"/>
      <c r="B252" s="618"/>
      <c r="C252" s="7"/>
      <c r="D252" s="103"/>
      <c r="E252" s="193" t="s">
        <v>103</v>
      </c>
      <c r="F252" s="158"/>
      <c r="G252" s="158"/>
      <c r="H252" s="159"/>
      <c r="I252" s="618"/>
      <c r="J252" s="618"/>
      <c r="K252" s="618"/>
      <c r="L252" s="618"/>
      <c r="M252" s="618"/>
      <c r="N252" s="618"/>
      <c r="O252" s="618"/>
      <c r="P252" s="618"/>
      <c r="Q252" s="618"/>
      <c r="R252" s="618"/>
      <c r="S252" s="618"/>
      <c r="T252" s="618"/>
      <c r="U252" s="618"/>
      <c r="V252" s="618"/>
      <c r="W252" s="618"/>
      <c r="X252" s="618"/>
      <c r="Y252" s="618"/>
      <c r="Z252" s="618"/>
      <c r="AA252" s="618"/>
      <c r="AB252" s="618"/>
      <c r="AC252" s="618"/>
      <c r="AD252" s="618"/>
      <c r="AE252" s="618"/>
      <c r="AF252" s="618"/>
      <c r="AG252" s="618"/>
      <c r="AH252" s="618"/>
      <c r="AI252" s="618"/>
      <c r="AJ252" s="618"/>
      <c r="AK252" s="618"/>
      <c r="AL252" s="618"/>
      <c r="AM252" s="618"/>
    </row>
    <row r="253" spans="1:39" ht="14.25" customHeight="1" x14ac:dyDescent="0.45">
      <c r="A253" s="618"/>
      <c r="B253" s="618"/>
      <c r="C253" s="106"/>
      <c r="D253" s="107" t="s">
        <v>124</v>
      </c>
      <c r="E253" s="112">
        <v>2018</v>
      </c>
      <c r="F253" s="112">
        <v>2019</v>
      </c>
      <c r="G253" s="112">
        <v>2020</v>
      </c>
      <c r="H253" s="113">
        <v>2021</v>
      </c>
      <c r="I253" s="618"/>
      <c r="J253" s="618"/>
      <c r="K253" s="618"/>
      <c r="L253" s="618"/>
      <c r="M253" s="618"/>
      <c r="N253" s="618"/>
      <c r="O253" s="618"/>
      <c r="P253" s="618"/>
      <c r="Q253" s="618"/>
      <c r="R253" s="618"/>
      <c r="S253" s="618"/>
      <c r="T253" s="618"/>
      <c r="U253" s="618"/>
      <c r="V253" s="618"/>
      <c r="W253" s="618"/>
      <c r="X253" s="618"/>
      <c r="Y253" s="618"/>
      <c r="Z253" s="618"/>
      <c r="AA253" s="618"/>
      <c r="AB253" s="618"/>
      <c r="AC253" s="618"/>
      <c r="AD253" s="618"/>
      <c r="AE253" s="618"/>
      <c r="AF253" s="618"/>
      <c r="AG253" s="618"/>
      <c r="AH253" s="618"/>
      <c r="AI253" s="618"/>
      <c r="AJ253" s="618"/>
      <c r="AK253" s="618"/>
      <c r="AL253" s="618"/>
      <c r="AM253" s="618"/>
    </row>
    <row r="254" spans="1:39" ht="14.25" customHeight="1" x14ac:dyDescent="0.45">
      <c r="A254" s="618">
        <v>2</v>
      </c>
      <c r="B254" s="618"/>
      <c r="C254" s="106"/>
      <c r="D254" s="111" t="s">
        <v>119</v>
      </c>
      <c r="E254" s="194">
        <f>'Copia de Combustibles'!D157*$E$305</f>
        <v>15.491889765932257</v>
      </c>
      <c r="F254" s="194">
        <f>'Copia de Combustibles'!E157*$E$305</f>
        <v>16.328033741304914</v>
      </c>
      <c r="G254" s="194">
        <f>'Copia de Combustibles'!F157*$E$305</f>
        <v>16.44997140438009</v>
      </c>
      <c r="H254" s="195">
        <f>'Copia de Combustibles'!G157*$E$305</f>
        <v>15.904155198234053</v>
      </c>
      <c r="I254" s="618"/>
      <c r="J254" s="618"/>
      <c r="K254" s="618"/>
      <c r="L254" s="618"/>
      <c r="M254" s="618"/>
      <c r="N254" s="618"/>
      <c r="O254" s="618"/>
      <c r="P254" s="618"/>
      <c r="Q254" s="618"/>
      <c r="R254" s="618"/>
      <c r="S254" s="618"/>
      <c r="T254" s="618"/>
      <c r="U254" s="618"/>
      <c r="V254" s="618"/>
      <c r="W254" s="618"/>
      <c r="X254" s="618"/>
      <c r="Y254" s="618"/>
      <c r="Z254" s="618"/>
      <c r="AA254" s="618"/>
      <c r="AB254" s="618"/>
      <c r="AC254" s="618"/>
      <c r="AD254" s="618"/>
      <c r="AE254" s="618"/>
      <c r="AF254" s="618"/>
      <c r="AG254" s="618"/>
      <c r="AH254" s="618"/>
      <c r="AI254" s="618"/>
      <c r="AJ254" s="618"/>
      <c r="AK254" s="618"/>
      <c r="AL254" s="618"/>
      <c r="AM254" s="618"/>
    </row>
    <row r="255" spans="1:39" ht="14.25" customHeight="1" x14ac:dyDescent="0.45">
      <c r="A255" s="618">
        <v>2</v>
      </c>
      <c r="B255" s="618"/>
      <c r="C255" s="106"/>
      <c r="D255" s="111" t="s">
        <v>106</v>
      </c>
      <c r="E255" s="194">
        <f>'Copia de Combustibles'!D158*$E$305</f>
        <v>19.875839081254167</v>
      </c>
      <c r="F255" s="194">
        <f>'Copia de Combustibles'!E158*$E$305</f>
        <v>17.762252921284396</v>
      </c>
      <c r="G255" s="194">
        <f>'Copia de Combustibles'!F158*$E$305</f>
        <v>15.340919325934417</v>
      </c>
      <c r="H255" s="195">
        <f>'Copia de Combustibles'!G158*$E$305</f>
        <v>15.282853772089092</v>
      </c>
      <c r="I255" s="618"/>
      <c r="J255" s="618"/>
      <c r="K255" s="618"/>
      <c r="L255" s="618"/>
      <c r="M255" s="618"/>
      <c r="N255" s="618"/>
      <c r="O255" s="618"/>
      <c r="P255" s="618"/>
      <c r="Q255" s="618"/>
      <c r="R255" s="618"/>
      <c r="S255" s="618"/>
      <c r="T255" s="618"/>
      <c r="U255" s="618"/>
      <c r="V255" s="618"/>
      <c r="W255" s="618"/>
      <c r="X255" s="618"/>
      <c r="Y255" s="618"/>
      <c r="Z255" s="618"/>
      <c r="AA255" s="618"/>
      <c r="AB255" s="618"/>
      <c r="AC255" s="618"/>
      <c r="AD255" s="618"/>
      <c r="AE255" s="618"/>
      <c r="AF255" s="618"/>
      <c r="AG255" s="618"/>
      <c r="AH255" s="618"/>
      <c r="AI255" s="618"/>
      <c r="AJ255" s="618"/>
      <c r="AK255" s="618"/>
      <c r="AL255" s="618"/>
      <c r="AM255" s="618"/>
    </row>
    <row r="256" spans="1:39" ht="14.25" customHeight="1" x14ac:dyDescent="0.45">
      <c r="A256" s="618"/>
      <c r="B256" s="618"/>
      <c r="C256" s="106"/>
      <c r="D256" s="111" t="s">
        <v>107</v>
      </c>
      <c r="E256" s="194">
        <f>'Copia de Combustibles'!D159*$E$305</f>
        <v>2.7290810307301951</v>
      </c>
      <c r="F256" s="194">
        <f>'Copia de Combustibles'!E159*$E$305</f>
        <v>2.9497301353424237</v>
      </c>
      <c r="G256" s="194">
        <f>'Copia de Combustibles'!F159*$E$305</f>
        <v>3.0426350214949411</v>
      </c>
      <c r="H256" s="195">
        <f>'Copia de Combustibles'!G159*$E$305</f>
        <v>2.659402366115807</v>
      </c>
      <c r="I256" s="618"/>
      <c r="J256" s="618"/>
      <c r="K256" s="618"/>
      <c r="L256" s="618"/>
      <c r="M256" s="618"/>
      <c r="N256" s="618"/>
      <c r="O256" s="618"/>
      <c r="P256" s="618"/>
      <c r="Q256" s="618"/>
      <c r="R256" s="618"/>
      <c r="S256" s="618"/>
      <c r="T256" s="618"/>
      <c r="U256" s="618"/>
      <c r="V256" s="618"/>
      <c r="W256" s="618"/>
      <c r="X256" s="618"/>
      <c r="Y256" s="618"/>
      <c r="Z256" s="618"/>
      <c r="AA256" s="618"/>
      <c r="AB256" s="618"/>
      <c r="AC256" s="618"/>
      <c r="AD256" s="618"/>
      <c r="AE256" s="618"/>
      <c r="AF256" s="618"/>
      <c r="AG256" s="618"/>
      <c r="AH256" s="618"/>
      <c r="AI256" s="618"/>
      <c r="AJ256" s="618"/>
      <c r="AK256" s="618"/>
      <c r="AL256" s="618"/>
      <c r="AM256" s="618"/>
    </row>
    <row r="257" spans="1:39" ht="14.25" customHeight="1" x14ac:dyDescent="0.45">
      <c r="A257" s="618"/>
      <c r="B257" s="618"/>
      <c r="C257" s="106"/>
      <c r="D257" s="111" t="s">
        <v>108</v>
      </c>
      <c r="E257" s="194">
        <f>'Copia de Combustibles'!D160*$E$305</f>
        <v>0.73162597845107358</v>
      </c>
      <c r="F257" s="194">
        <f>'Copia de Combustibles'!E160*$E$305</f>
        <v>0.58646209383776537</v>
      </c>
      <c r="G257" s="194">
        <f>'Copia de Combustibles'!F160*$E$305</f>
        <v>0.61549487076042697</v>
      </c>
      <c r="H257" s="195">
        <f>'Copia de Combustibles'!G160*$E$305</f>
        <v>0.57484898306870069</v>
      </c>
      <c r="I257" s="618"/>
      <c r="J257" s="618"/>
      <c r="K257" s="618"/>
      <c r="L257" s="618"/>
      <c r="M257" s="618"/>
      <c r="N257" s="618"/>
      <c r="O257" s="618"/>
      <c r="P257" s="618"/>
      <c r="Q257" s="618"/>
      <c r="R257" s="618"/>
      <c r="S257" s="618"/>
      <c r="T257" s="618"/>
      <c r="U257" s="618"/>
      <c r="V257" s="618"/>
      <c r="W257" s="618"/>
      <c r="X257" s="618"/>
      <c r="Y257" s="618"/>
      <c r="Z257" s="618"/>
      <c r="AA257" s="618"/>
      <c r="AB257" s="618"/>
      <c r="AC257" s="618"/>
      <c r="AD257" s="618"/>
      <c r="AE257" s="618"/>
      <c r="AF257" s="618"/>
      <c r="AG257" s="618"/>
      <c r="AH257" s="618"/>
      <c r="AI257" s="618"/>
      <c r="AJ257" s="618"/>
      <c r="AK257" s="618"/>
      <c r="AL257" s="618"/>
      <c r="AM257" s="618"/>
    </row>
    <row r="258" spans="1:39" ht="14.25" customHeight="1" x14ac:dyDescent="0.45">
      <c r="A258" s="618"/>
      <c r="B258" s="618"/>
      <c r="C258" s="106"/>
      <c r="D258" s="111" t="s">
        <v>109</v>
      </c>
      <c r="E258" s="194">
        <f>'Copia de Combustibles'!D161*$E$305</f>
        <v>0</v>
      </c>
      <c r="F258" s="194">
        <f>'Copia de Combustibles'!E161*$E$305</f>
        <v>0</v>
      </c>
      <c r="G258" s="194">
        <f>'Copia de Combustibles'!F161*$E$305</f>
        <v>0</v>
      </c>
      <c r="H258" s="195">
        <f>'Copia de Combustibles'!G161*$E$305</f>
        <v>0</v>
      </c>
      <c r="I258" s="618"/>
      <c r="J258" s="618"/>
      <c r="K258" s="618"/>
      <c r="L258" s="618"/>
      <c r="M258" s="618"/>
      <c r="N258" s="618"/>
      <c r="O258" s="618"/>
      <c r="P258" s="618"/>
      <c r="Q258" s="618"/>
      <c r="R258" s="618"/>
      <c r="S258" s="618"/>
      <c r="T258" s="618"/>
      <c r="U258" s="618"/>
      <c r="V258" s="618"/>
      <c r="W258" s="618"/>
      <c r="X258" s="618"/>
      <c r="Y258" s="618"/>
      <c r="Z258" s="618"/>
      <c r="AA258" s="618"/>
      <c r="AB258" s="618"/>
      <c r="AC258" s="618"/>
      <c r="AD258" s="618"/>
      <c r="AE258" s="618"/>
      <c r="AF258" s="618"/>
      <c r="AG258" s="618"/>
      <c r="AH258" s="618"/>
      <c r="AI258" s="618"/>
      <c r="AJ258" s="618"/>
      <c r="AK258" s="618"/>
      <c r="AL258" s="618"/>
      <c r="AM258" s="618"/>
    </row>
    <row r="259" spans="1:39" ht="14.25" customHeight="1" x14ac:dyDescent="0.45">
      <c r="A259" s="618"/>
      <c r="B259" s="618"/>
      <c r="C259" s="106"/>
      <c r="D259" s="111" t="s">
        <v>111</v>
      </c>
      <c r="E259" s="194">
        <f>'Copia de Combustibles'!D162*$E$305</f>
        <v>15.828669978235132</v>
      </c>
      <c r="F259" s="194">
        <f>'Copia de Combustibles'!E162*$E$305</f>
        <v>17.62289559205562</v>
      </c>
      <c r="G259" s="194">
        <f>'Copia de Combustibles'!F162*$E$305</f>
        <v>16.693846730530449</v>
      </c>
      <c r="H259" s="195">
        <f>'Copia de Combustibles'!G162*$E$305</f>
        <v>17.379020265905265</v>
      </c>
      <c r="I259" s="618"/>
      <c r="J259" s="618"/>
      <c r="K259" s="618"/>
      <c r="L259" s="618"/>
      <c r="M259" s="618"/>
      <c r="N259" s="618"/>
      <c r="O259" s="618"/>
      <c r="P259" s="618"/>
      <c r="Q259" s="618"/>
      <c r="R259" s="618"/>
      <c r="S259" s="618"/>
      <c r="T259" s="618"/>
      <c r="U259" s="618"/>
      <c r="V259" s="618"/>
      <c r="W259" s="618"/>
      <c r="X259" s="618"/>
      <c r="Y259" s="618"/>
      <c r="Z259" s="618"/>
      <c r="AA259" s="618"/>
      <c r="AB259" s="618"/>
      <c r="AC259" s="618"/>
      <c r="AD259" s="618"/>
      <c r="AE259" s="618"/>
      <c r="AF259" s="618"/>
      <c r="AG259" s="618"/>
      <c r="AH259" s="618"/>
      <c r="AI259" s="618"/>
      <c r="AJ259" s="618"/>
      <c r="AK259" s="618"/>
      <c r="AL259" s="618"/>
      <c r="AM259" s="618"/>
    </row>
    <row r="260" spans="1:39" ht="14.25" customHeight="1" x14ac:dyDescent="0.45">
      <c r="A260" s="618"/>
      <c r="B260" s="618"/>
      <c r="C260" s="106"/>
      <c r="D260" s="111" t="s">
        <v>112</v>
      </c>
      <c r="E260" s="194">
        <f>'Copia de Combustibles'!D163*$E$305</f>
        <v>26.495312219621024</v>
      </c>
      <c r="F260" s="194">
        <f>'Copia de Combustibles'!E163*$E$305</f>
        <v>19.091954104342303</v>
      </c>
      <c r="G260" s="194">
        <f>'Copia de Combustibles'!F163*$E$305</f>
        <v>14.864781784402766</v>
      </c>
      <c r="H260" s="195">
        <f>'Copia de Combustibles'!G163*$E$305</f>
        <v>13.3086249413481</v>
      </c>
      <c r="I260" s="618"/>
      <c r="J260" s="618"/>
      <c r="K260" s="618"/>
      <c r="L260" s="618"/>
      <c r="M260" s="618"/>
      <c r="N260" s="618"/>
      <c r="O260" s="618"/>
      <c r="P260" s="618"/>
      <c r="Q260" s="618"/>
      <c r="R260" s="618"/>
      <c r="S260" s="618"/>
      <c r="T260" s="618"/>
      <c r="U260" s="618"/>
      <c r="V260" s="618"/>
      <c r="W260" s="618"/>
      <c r="X260" s="618"/>
      <c r="Y260" s="618"/>
      <c r="Z260" s="618"/>
      <c r="AA260" s="618"/>
      <c r="AB260" s="618"/>
      <c r="AC260" s="618"/>
      <c r="AD260" s="618"/>
      <c r="AE260" s="618"/>
      <c r="AF260" s="618"/>
      <c r="AG260" s="618"/>
      <c r="AH260" s="618"/>
      <c r="AI260" s="618"/>
      <c r="AJ260" s="618"/>
      <c r="AK260" s="618"/>
      <c r="AL260" s="618"/>
      <c r="AM260" s="618"/>
    </row>
    <row r="261" spans="1:39" ht="14.25" customHeight="1" x14ac:dyDescent="0.45">
      <c r="A261" s="618"/>
      <c r="B261" s="618"/>
      <c r="C261" s="106"/>
      <c r="D261" s="111" t="s">
        <v>114</v>
      </c>
      <c r="E261" s="194">
        <f>'Copia de Combustibles'!D164*$E$305</f>
        <v>4.0762018799416957</v>
      </c>
      <c r="F261" s="194">
        <f>'Copia de Combustibles'!E164*$E$305</f>
        <v>2.2239107122758823</v>
      </c>
      <c r="G261" s="194">
        <f>'Copia de Combustibles'!F164*$E$305</f>
        <v>1.3645405153650976</v>
      </c>
      <c r="H261" s="195">
        <f>'Copia de Combustibles'!G164*$E$305</f>
        <v>1.6955141722834404</v>
      </c>
      <c r="I261" s="618"/>
      <c r="J261" s="618"/>
      <c r="K261" s="618"/>
      <c r="L261" s="618"/>
      <c r="M261" s="618"/>
      <c r="N261" s="618"/>
      <c r="O261" s="618"/>
      <c r="P261" s="618"/>
      <c r="Q261" s="618"/>
      <c r="R261" s="618"/>
      <c r="S261" s="618"/>
      <c r="T261" s="618"/>
      <c r="U261" s="618"/>
      <c r="V261" s="618"/>
      <c r="W261" s="618"/>
      <c r="X261" s="618"/>
      <c r="Y261" s="618"/>
      <c r="Z261" s="618"/>
      <c r="AA261" s="618"/>
      <c r="AB261" s="618"/>
      <c r="AC261" s="618"/>
      <c r="AD261" s="618"/>
      <c r="AE261" s="618"/>
      <c r="AF261" s="618"/>
      <c r="AG261" s="618"/>
      <c r="AH261" s="618"/>
      <c r="AI261" s="618"/>
      <c r="AJ261" s="618"/>
      <c r="AK261" s="618"/>
      <c r="AL261" s="618"/>
      <c r="AM261" s="618"/>
    </row>
    <row r="262" spans="1:39" ht="14.25" customHeight="1" x14ac:dyDescent="0.45">
      <c r="A262" s="618"/>
      <c r="B262" s="618"/>
      <c r="C262" s="106"/>
      <c r="D262" s="111" t="s">
        <v>115</v>
      </c>
      <c r="E262" s="194">
        <f>'Copia de Combustibles'!D165*$E$305</f>
        <v>0.92324230614064051</v>
      </c>
      <c r="F262" s="194">
        <f>'Copia de Combustibles'!E165*$E$305</f>
        <v>0.86517675229531721</v>
      </c>
      <c r="G262" s="194">
        <f>'Copia de Combustibles'!F165*$E$305</f>
        <v>0.92904886152517285</v>
      </c>
      <c r="H262" s="195">
        <f>'Copia de Combustibles'!G165*$E$305</f>
        <v>0.88259641844891423</v>
      </c>
      <c r="I262" s="618"/>
      <c r="J262" s="618"/>
      <c r="K262" s="618"/>
      <c r="L262" s="618"/>
      <c r="M262" s="618"/>
      <c r="N262" s="618"/>
      <c r="O262" s="618"/>
      <c r="P262" s="618"/>
      <c r="Q262" s="618"/>
      <c r="R262" s="618"/>
      <c r="S262" s="618"/>
      <c r="T262" s="618"/>
      <c r="U262" s="618"/>
      <c r="V262" s="618"/>
      <c r="W262" s="618"/>
      <c r="X262" s="618"/>
      <c r="Y262" s="618"/>
      <c r="Z262" s="618"/>
      <c r="AA262" s="618"/>
      <c r="AB262" s="618"/>
      <c r="AC262" s="618"/>
      <c r="AD262" s="618"/>
      <c r="AE262" s="618"/>
      <c r="AF262" s="618"/>
      <c r="AG262" s="618"/>
      <c r="AH262" s="618"/>
      <c r="AI262" s="618"/>
      <c r="AJ262" s="618"/>
      <c r="AK262" s="618"/>
      <c r="AL262" s="618"/>
      <c r="AM262" s="618"/>
    </row>
    <row r="263" spans="1:39" ht="14.25" customHeight="1" x14ac:dyDescent="0.45">
      <c r="A263" s="618"/>
      <c r="B263" s="618"/>
      <c r="C263" s="106"/>
      <c r="D263" s="111" t="s">
        <v>116</v>
      </c>
      <c r="E263" s="194">
        <f>925.07/1000</f>
        <v>0.92507000000000006</v>
      </c>
      <c r="F263" s="194">
        <f>925.07/1000</f>
        <v>0.92507000000000006</v>
      </c>
      <c r="G263" s="194">
        <f>925.07/1000</f>
        <v>0.92507000000000006</v>
      </c>
      <c r="H263" s="195">
        <f>925.07/1000</f>
        <v>0.92507000000000006</v>
      </c>
      <c r="I263" s="618"/>
      <c r="J263" s="618"/>
      <c r="K263" s="618"/>
      <c r="L263" s="618"/>
      <c r="M263" s="618"/>
      <c r="N263" s="618"/>
      <c r="O263" s="618"/>
      <c r="P263" s="618"/>
      <c r="Q263" s="618"/>
      <c r="R263" s="618"/>
      <c r="S263" s="618"/>
      <c r="T263" s="618"/>
      <c r="U263" s="618"/>
      <c r="V263" s="618"/>
      <c r="W263" s="618"/>
      <c r="X263" s="618"/>
      <c r="Y263" s="618"/>
      <c r="Z263" s="618"/>
      <c r="AA263" s="618"/>
      <c r="AB263" s="618"/>
      <c r="AC263" s="618"/>
      <c r="AD263" s="618"/>
      <c r="AE263" s="618"/>
      <c r="AF263" s="618"/>
      <c r="AG263" s="618"/>
      <c r="AH263" s="618"/>
      <c r="AI263" s="618"/>
      <c r="AJ263" s="618"/>
      <c r="AK263" s="618"/>
      <c r="AL263" s="618"/>
      <c r="AM263" s="618"/>
    </row>
    <row r="264" spans="1:39" ht="14.25" customHeight="1" x14ac:dyDescent="0.45">
      <c r="A264" s="618"/>
      <c r="B264" s="618"/>
      <c r="C264" s="106"/>
      <c r="D264" s="115" t="s">
        <v>59</v>
      </c>
      <c r="E264" s="194">
        <f>SUM(E254:E262)</f>
        <v>86.151862240306173</v>
      </c>
      <c r="F264" s="194">
        <f>SUM(F254:F262)</f>
        <v>77.430416052738607</v>
      </c>
      <c r="G264" s="194">
        <f>SUM(G254:G262)</f>
        <v>69.301238514393361</v>
      </c>
      <c r="H264" s="195">
        <f>SUM(H254:H262)</f>
        <v>67.687016117493371</v>
      </c>
      <c r="I264" s="618"/>
      <c r="J264" s="618"/>
      <c r="K264" s="618"/>
      <c r="L264" s="618"/>
      <c r="M264" s="618"/>
      <c r="N264" s="618"/>
      <c r="O264" s="618"/>
      <c r="P264" s="618"/>
      <c r="Q264" s="618"/>
      <c r="R264" s="618"/>
      <c r="S264" s="618"/>
      <c r="T264" s="618"/>
      <c r="U264" s="618"/>
      <c r="V264" s="618"/>
      <c r="W264" s="618"/>
      <c r="X264" s="618"/>
      <c r="Y264" s="618"/>
      <c r="Z264" s="618"/>
      <c r="AA264" s="618"/>
      <c r="AB264" s="618"/>
      <c r="AC264" s="618"/>
      <c r="AD264" s="618"/>
      <c r="AE264" s="618"/>
      <c r="AF264" s="618"/>
      <c r="AG264" s="618"/>
      <c r="AH264" s="618"/>
      <c r="AI264" s="618"/>
      <c r="AJ264" s="618"/>
      <c r="AK264" s="618"/>
      <c r="AL264" s="618"/>
      <c r="AM264" s="618"/>
    </row>
    <row r="265" spans="1:39" ht="14.25" customHeight="1" x14ac:dyDescent="0.45">
      <c r="A265" s="618"/>
      <c r="B265" s="618"/>
      <c r="C265" s="118"/>
      <c r="D265" s="181"/>
      <c r="E265" s="191"/>
      <c r="F265" s="191"/>
      <c r="G265" s="191"/>
      <c r="H265" s="192"/>
      <c r="I265" s="618"/>
      <c r="J265" s="618"/>
      <c r="K265" s="618"/>
      <c r="L265" s="618"/>
      <c r="M265" s="618"/>
      <c r="N265" s="618"/>
      <c r="O265" s="618"/>
      <c r="P265" s="618"/>
      <c r="Q265" s="618"/>
      <c r="R265" s="618"/>
      <c r="S265" s="618"/>
      <c r="T265" s="618"/>
      <c r="U265" s="618"/>
      <c r="V265" s="618"/>
      <c r="W265" s="618"/>
      <c r="X265" s="618"/>
      <c r="Y265" s="618"/>
      <c r="Z265" s="618"/>
      <c r="AA265" s="618"/>
      <c r="AB265" s="618"/>
      <c r="AC265" s="618"/>
      <c r="AD265" s="618"/>
      <c r="AE265" s="618"/>
      <c r="AF265" s="618"/>
      <c r="AG265" s="618"/>
      <c r="AH265" s="618"/>
      <c r="AI265" s="618"/>
      <c r="AJ265" s="618"/>
      <c r="AK265" s="618"/>
      <c r="AL265" s="618"/>
      <c r="AM265" s="618"/>
    </row>
    <row r="266" spans="1:39" ht="14.25" customHeight="1" thickBot="1" x14ac:dyDescent="0.5">
      <c r="A266" s="618"/>
      <c r="B266" s="618"/>
      <c r="C266" s="618"/>
      <c r="D266" s="5"/>
      <c r="E266" s="6"/>
      <c r="F266" s="6"/>
      <c r="G266" s="6"/>
      <c r="H266" s="6"/>
      <c r="I266" s="618"/>
      <c r="J266" s="618"/>
      <c r="K266" s="618"/>
      <c r="L266" s="618"/>
      <c r="M266" s="618"/>
      <c r="N266" s="618"/>
      <c r="O266" s="618"/>
      <c r="P266" s="618"/>
      <c r="Q266" s="618"/>
      <c r="R266" s="618"/>
      <c r="S266" s="618"/>
      <c r="T266" s="618"/>
      <c r="U266" s="618"/>
      <c r="V266" s="618"/>
      <c r="W266" s="618"/>
      <c r="X266" s="618"/>
      <c r="Y266" s="618"/>
      <c r="Z266" s="618"/>
      <c r="AA266" s="618"/>
      <c r="AB266" s="618"/>
      <c r="AC266" s="618"/>
      <c r="AD266" s="618"/>
      <c r="AE266" s="618"/>
      <c r="AF266" s="618"/>
      <c r="AG266" s="618"/>
      <c r="AH266" s="618"/>
      <c r="AI266" s="618"/>
      <c r="AJ266" s="618"/>
      <c r="AK266" s="618"/>
      <c r="AL266" s="618"/>
      <c r="AM266" s="618"/>
    </row>
    <row r="267" spans="1:39" ht="14.25" customHeight="1" x14ac:dyDescent="0.45">
      <c r="A267" s="618"/>
      <c r="B267" s="618"/>
      <c r="C267" s="7"/>
      <c r="D267" s="103"/>
      <c r="E267" s="193" t="s">
        <v>103</v>
      </c>
      <c r="F267" s="158"/>
      <c r="G267" s="158"/>
      <c r="H267" s="159"/>
      <c r="I267" s="618"/>
      <c r="J267" s="618"/>
      <c r="K267" s="618"/>
      <c r="L267" s="618"/>
      <c r="M267" s="618"/>
      <c r="N267" s="618"/>
      <c r="O267" s="618"/>
      <c r="P267" s="618"/>
      <c r="Q267" s="618"/>
      <c r="R267" s="618"/>
      <c r="S267" s="618"/>
      <c r="T267" s="618"/>
      <c r="U267" s="618"/>
      <c r="V267" s="618"/>
      <c r="W267" s="618"/>
      <c r="X267" s="618"/>
      <c r="Y267" s="618"/>
      <c r="Z267" s="618"/>
      <c r="AA267" s="618"/>
      <c r="AB267" s="618"/>
      <c r="AC267" s="618"/>
      <c r="AD267" s="618"/>
      <c r="AE267" s="618"/>
      <c r="AF267" s="618"/>
      <c r="AG267" s="618"/>
      <c r="AH267" s="618"/>
      <c r="AI267" s="618"/>
      <c r="AJ267" s="618"/>
      <c r="AK267" s="618"/>
      <c r="AL267" s="618"/>
      <c r="AM267" s="618"/>
    </row>
    <row r="268" spans="1:39" ht="14.25" customHeight="1" x14ac:dyDescent="0.45">
      <c r="A268" s="618"/>
      <c r="B268" s="618"/>
      <c r="C268" s="106"/>
      <c r="D268" s="107" t="s">
        <v>125</v>
      </c>
      <c r="E268" s="112">
        <v>2018</v>
      </c>
      <c r="F268" s="112">
        <v>2019</v>
      </c>
      <c r="G268" s="112">
        <v>2020</v>
      </c>
      <c r="H268" s="113">
        <v>2021</v>
      </c>
      <c r="I268" s="618"/>
      <c r="J268" s="618"/>
      <c r="K268" s="618"/>
      <c r="L268" s="618"/>
      <c r="M268" s="618"/>
      <c r="N268" s="618"/>
      <c r="O268" s="618"/>
      <c r="P268" s="618"/>
      <c r="Q268" s="618"/>
      <c r="R268" s="618"/>
      <c r="S268" s="618"/>
      <c r="T268" s="618"/>
      <c r="U268" s="618"/>
      <c r="V268" s="618"/>
      <c r="W268" s="618"/>
      <c r="X268" s="618"/>
      <c r="Y268" s="618"/>
      <c r="Z268" s="618"/>
      <c r="AA268" s="618"/>
      <c r="AB268" s="618"/>
      <c r="AC268" s="618"/>
      <c r="AD268" s="618"/>
      <c r="AE268" s="618"/>
      <c r="AF268" s="618"/>
      <c r="AG268" s="618"/>
      <c r="AH268" s="618"/>
      <c r="AI268" s="618"/>
      <c r="AJ268" s="618"/>
      <c r="AK268" s="618"/>
      <c r="AL268" s="618"/>
      <c r="AM268" s="618"/>
    </row>
    <row r="269" spans="1:39" ht="14.25" customHeight="1" x14ac:dyDescent="0.45">
      <c r="A269" s="618">
        <v>2</v>
      </c>
      <c r="B269" s="618"/>
      <c r="C269" s="106"/>
      <c r="D269" s="111" t="s">
        <v>119</v>
      </c>
      <c r="E269" s="196">
        <f>Electricidad!E315+Electricidad!E323</f>
        <v>6.2195600145607974</v>
      </c>
      <c r="F269" s="196">
        <f>Electricidad!F315+Electricidad!F323</f>
        <v>6.1103192265878521</v>
      </c>
      <c r="G269" s="196">
        <f>Electricidad!G315+Electricidad!G323</f>
        <v>5.9126750523086171</v>
      </c>
      <c r="H269" s="185"/>
      <c r="I269" s="618"/>
      <c r="J269" s="618"/>
      <c r="K269" s="618"/>
      <c r="L269" s="618"/>
      <c r="M269" s="618"/>
      <c r="N269" s="618"/>
      <c r="O269" s="618"/>
      <c r="P269" s="618"/>
      <c r="Q269" s="618"/>
      <c r="R269" s="618"/>
      <c r="S269" s="618"/>
      <c r="T269" s="618"/>
      <c r="U269" s="618"/>
      <c r="V269" s="618"/>
      <c r="W269" s="618"/>
      <c r="X269" s="618"/>
      <c r="Y269" s="618"/>
      <c r="Z269" s="618"/>
      <c r="AA269" s="618"/>
      <c r="AB269" s="618"/>
      <c r="AC269" s="618"/>
      <c r="AD269" s="618"/>
      <c r="AE269" s="618"/>
      <c r="AF269" s="618"/>
      <c r="AG269" s="618"/>
      <c r="AH269" s="618"/>
      <c r="AI269" s="618"/>
      <c r="AJ269" s="618"/>
      <c r="AK269" s="618"/>
      <c r="AL269" s="618"/>
      <c r="AM269" s="618"/>
    </row>
    <row r="270" spans="1:39" ht="14.25" customHeight="1" x14ac:dyDescent="0.45">
      <c r="A270" s="618">
        <v>2</v>
      </c>
      <c r="B270" s="618"/>
      <c r="C270" s="106"/>
      <c r="D270" s="111" t="s">
        <v>106</v>
      </c>
      <c r="E270" s="196">
        <f>Electricidad!E271+Electricidad!E318+Electricidad!E322+Electricidad!E330</f>
        <v>6.0353556386884799</v>
      </c>
      <c r="F270" s="196">
        <f>Electricidad!F271+Electricidad!F318+Electricidad!F322+Electricidad!F330</f>
        <v>5.5821378527306615</v>
      </c>
      <c r="G270" s="196">
        <f>Electricidad!G271+Electricidad!G318+Electricidad!G322+Electricidad!G330</f>
        <v>4.9290096192611195</v>
      </c>
      <c r="H270" s="185"/>
      <c r="I270" s="618"/>
      <c r="J270" s="618"/>
      <c r="K270" s="618"/>
      <c r="L270" s="618"/>
      <c r="M270" s="618"/>
      <c r="N270" s="618"/>
      <c r="O270" s="618"/>
      <c r="P270" s="618"/>
      <c r="Q270" s="618"/>
      <c r="R270" s="618"/>
      <c r="S270" s="618"/>
      <c r="T270" s="618"/>
      <c r="U270" s="618"/>
      <c r="V270" s="618"/>
      <c r="W270" s="618"/>
      <c r="X270" s="618"/>
      <c r="Y270" s="618"/>
      <c r="Z270" s="618"/>
      <c r="AA270" s="618"/>
      <c r="AB270" s="618"/>
      <c r="AC270" s="618"/>
      <c r="AD270" s="618"/>
      <c r="AE270" s="618"/>
      <c r="AF270" s="618"/>
      <c r="AG270" s="618"/>
      <c r="AH270" s="618"/>
      <c r="AI270" s="618"/>
      <c r="AJ270" s="618"/>
      <c r="AK270" s="618"/>
      <c r="AL270" s="618"/>
      <c r="AM270" s="618"/>
    </row>
    <row r="271" spans="1:39" ht="14.25" customHeight="1" x14ac:dyDescent="0.45">
      <c r="A271" s="618"/>
      <c r="B271" s="618"/>
      <c r="C271" s="106"/>
      <c r="D271" s="111" t="s">
        <v>107</v>
      </c>
      <c r="E271" s="196">
        <f>Electricidad!E253</f>
        <v>1.3759203419650334</v>
      </c>
      <c r="F271" s="196">
        <f>Electricidad!F253</f>
        <v>1.4878806610556581</v>
      </c>
      <c r="G271" s="196">
        <f>Electricidad!G253</f>
        <v>1.5347486942352482</v>
      </c>
      <c r="H271" s="185"/>
      <c r="I271" s="618"/>
      <c r="J271" s="618"/>
      <c r="K271" s="618"/>
      <c r="L271" s="618"/>
      <c r="M271" s="618"/>
      <c r="N271" s="618"/>
      <c r="O271" s="618"/>
      <c r="P271" s="618"/>
      <c r="Q271" s="618"/>
      <c r="R271" s="618"/>
      <c r="S271" s="618"/>
      <c r="T271" s="618"/>
      <c r="U271" s="618"/>
      <c r="V271" s="618"/>
      <c r="W271" s="618"/>
      <c r="X271" s="618"/>
      <c r="Y271" s="618"/>
      <c r="Z271" s="618"/>
      <c r="AA271" s="618"/>
      <c r="AB271" s="618"/>
      <c r="AC271" s="618"/>
      <c r="AD271" s="618"/>
      <c r="AE271" s="618"/>
      <c r="AF271" s="618"/>
      <c r="AG271" s="618"/>
      <c r="AH271" s="618"/>
      <c r="AI271" s="618"/>
      <c r="AJ271" s="618"/>
      <c r="AK271" s="618"/>
      <c r="AL271" s="618"/>
      <c r="AM271" s="618"/>
    </row>
    <row r="272" spans="1:39" ht="14.25" customHeight="1" x14ac:dyDescent="0.45">
      <c r="A272" s="618"/>
      <c r="B272" s="618"/>
      <c r="C272" s="106"/>
      <c r="D272" s="111" t="s">
        <v>108</v>
      </c>
      <c r="E272" s="111"/>
      <c r="F272" s="111"/>
      <c r="G272" s="111"/>
      <c r="H272" s="185"/>
      <c r="I272" s="618"/>
      <c r="J272" s="618"/>
      <c r="K272" s="618"/>
      <c r="L272" s="618"/>
      <c r="M272" s="618"/>
      <c r="N272" s="618"/>
      <c r="O272" s="618"/>
      <c r="P272" s="618"/>
      <c r="Q272" s="618"/>
      <c r="R272" s="618"/>
      <c r="S272" s="618"/>
      <c r="T272" s="618"/>
      <c r="U272" s="618"/>
      <c r="V272" s="618"/>
      <c r="W272" s="618"/>
      <c r="X272" s="618"/>
      <c r="Y272" s="618"/>
      <c r="Z272" s="618"/>
      <c r="AA272" s="618"/>
      <c r="AB272" s="618"/>
      <c r="AC272" s="618"/>
      <c r="AD272" s="618"/>
      <c r="AE272" s="618"/>
      <c r="AF272" s="618"/>
      <c r="AG272" s="618"/>
      <c r="AH272" s="618"/>
      <c r="AI272" s="618"/>
      <c r="AJ272" s="618"/>
      <c r="AK272" s="618"/>
      <c r="AL272" s="618"/>
      <c r="AM272" s="618"/>
    </row>
    <row r="273" spans="1:57" ht="14.25" customHeight="1" x14ac:dyDescent="0.45">
      <c r="A273" s="618"/>
      <c r="B273" s="618"/>
      <c r="C273" s="106"/>
      <c r="D273" s="111" t="s">
        <v>109</v>
      </c>
      <c r="E273" s="111"/>
      <c r="F273" s="111"/>
      <c r="G273" s="111"/>
      <c r="H273" s="185"/>
      <c r="I273" s="618"/>
      <c r="J273" s="618"/>
      <c r="K273" s="618"/>
      <c r="L273" s="618"/>
      <c r="M273" s="618"/>
      <c r="N273" s="618"/>
      <c r="O273" s="618"/>
      <c r="P273" s="618"/>
      <c r="Q273" s="618"/>
      <c r="R273" s="618"/>
      <c r="S273" s="618"/>
      <c r="T273" s="618"/>
      <c r="U273" s="618"/>
      <c r="V273" s="618"/>
      <c r="W273" s="618"/>
      <c r="X273" s="618"/>
      <c r="Y273" s="618"/>
      <c r="Z273" s="618"/>
      <c r="AA273" s="618"/>
      <c r="AB273" s="618"/>
      <c r="AC273" s="618"/>
      <c r="AD273" s="618"/>
      <c r="AE273" s="618"/>
      <c r="AF273" s="618"/>
      <c r="AG273" s="618"/>
      <c r="AH273" s="618"/>
      <c r="AI273" s="618"/>
      <c r="AJ273" s="618"/>
      <c r="AK273" s="618"/>
      <c r="AL273" s="618"/>
      <c r="AM273" s="618"/>
    </row>
    <row r="274" spans="1:57" ht="14.25" customHeight="1" x14ac:dyDescent="0.45">
      <c r="A274" s="618"/>
      <c r="B274" s="618"/>
      <c r="C274" s="106"/>
      <c r="D274" s="111" t="s">
        <v>111</v>
      </c>
      <c r="E274" s="196">
        <f>Electricidad!E265+Electricidad!E270+Electricidad!E311+Electricidad!E313+Electricidad!E316+Electricidad!E321+Electricidad!E326+Electricidad!E328</f>
        <v>5.7717985720869835</v>
      </c>
      <c r="F274" s="196">
        <f>Electricidad!F265+Electricidad!F270+Electricidad!F311+Electricidad!F316+Electricidad!F321+Electricidad!F326</f>
        <v>5.8879874353752326</v>
      </c>
      <c r="G274" s="196">
        <f>Electricidad!G265+Electricidad!G270+Electricidad!G311+Electricidad!G316+Electricidad!G321+Electricidad!G326</f>
        <v>5.6880162266002365</v>
      </c>
      <c r="H274" s="185"/>
      <c r="I274" s="618"/>
      <c r="J274" s="618"/>
      <c r="K274" s="618"/>
      <c r="L274" s="618"/>
      <c r="M274" s="618"/>
      <c r="N274" s="618"/>
      <c r="O274" s="618"/>
      <c r="P274" s="618"/>
      <c r="Q274" s="618"/>
      <c r="R274" s="618"/>
      <c r="S274" s="618"/>
      <c r="T274" s="618"/>
      <c r="U274" s="618"/>
      <c r="V274" s="618"/>
      <c r="W274" s="618"/>
      <c r="X274" s="618"/>
      <c r="Y274" s="618"/>
      <c r="Z274" s="618"/>
      <c r="AA274" s="618"/>
      <c r="AB274" s="618"/>
      <c r="AC274" s="618"/>
      <c r="AD274" s="618"/>
      <c r="AE274" s="618"/>
      <c r="AF274" s="618"/>
      <c r="AG274" s="618"/>
      <c r="AH274" s="618"/>
      <c r="AI274" s="618"/>
      <c r="AJ274" s="618"/>
      <c r="AK274" s="618"/>
      <c r="AL274" s="618"/>
      <c r="AM274" s="618"/>
    </row>
    <row r="275" spans="1:57" ht="14.25" customHeight="1" x14ac:dyDescent="0.45">
      <c r="A275" s="618"/>
      <c r="B275" s="618"/>
      <c r="C275" s="106"/>
      <c r="D275" s="111" t="s">
        <v>112</v>
      </c>
      <c r="E275" s="196">
        <f>Electricidad!E266+Electricidad!E273+Electricidad!E317</f>
        <v>9.9722642736357106</v>
      </c>
      <c r="F275" s="196">
        <f>Electricidad!F266+Electricidad!F273+Electricidad!F317</f>
        <v>7.0932098359841209</v>
      </c>
      <c r="G275" s="196">
        <f>Electricidad!G266+Electricidad!G273+Electricidad!G317</f>
        <v>5.5318052998432536</v>
      </c>
      <c r="H275" s="185"/>
      <c r="I275" s="618"/>
      <c r="J275" s="618"/>
      <c r="K275" s="618"/>
      <c r="L275" s="618"/>
      <c r="M275" s="618"/>
      <c r="N275" s="618"/>
      <c r="O275" s="618"/>
      <c r="P275" s="618"/>
      <c r="Q275" s="618"/>
      <c r="R275" s="618"/>
      <c r="S275" s="618"/>
      <c r="T275" s="618"/>
      <c r="U275" s="618"/>
      <c r="V275" s="618"/>
      <c r="W275" s="618"/>
      <c r="X275" s="618"/>
      <c r="Y275" s="618"/>
      <c r="Z275" s="618"/>
      <c r="AA275" s="618"/>
      <c r="AB275" s="618"/>
      <c r="AC275" s="618"/>
      <c r="AD275" s="618"/>
      <c r="AE275" s="618"/>
      <c r="AF275" s="618"/>
      <c r="AG275" s="618"/>
      <c r="AH275" s="618"/>
      <c r="AI275" s="618"/>
      <c r="AJ275" s="618"/>
      <c r="AK275" s="618"/>
      <c r="AL275" s="618"/>
      <c r="AM275" s="618"/>
    </row>
    <row r="276" spans="1:57" ht="14.25" customHeight="1" x14ac:dyDescent="0.45">
      <c r="A276" s="618"/>
      <c r="B276" s="618"/>
      <c r="C276" s="106"/>
      <c r="D276" s="111" t="s">
        <v>114</v>
      </c>
      <c r="E276" s="111"/>
      <c r="F276" s="111"/>
      <c r="G276" s="111"/>
      <c r="H276" s="185"/>
      <c r="I276" s="618"/>
      <c r="J276" s="618"/>
      <c r="K276" s="618"/>
      <c r="L276" s="618"/>
      <c r="M276" s="618"/>
      <c r="N276" s="618"/>
      <c r="O276" s="618"/>
      <c r="P276" s="618"/>
      <c r="Q276" s="618"/>
      <c r="R276" s="618"/>
      <c r="S276" s="618"/>
      <c r="T276" s="618"/>
      <c r="U276" s="618"/>
      <c r="V276" s="618"/>
      <c r="W276" s="618"/>
      <c r="X276" s="618"/>
      <c r="Y276" s="618"/>
      <c r="Z276" s="618"/>
      <c r="AA276" s="618"/>
      <c r="AB276" s="618"/>
      <c r="AC276" s="618"/>
      <c r="AD276" s="618"/>
      <c r="AE276" s="618"/>
      <c r="AF276" s="618"/>
      <c r="AG276" s="618"/>
      <c r="AH276" s="618"/>
      <c r="AI276" s="618"/>
      <c r="AJ276" s="618"/>
      <c r="AK276" s="618"/>
      <c r="AL276" s="618"/>
      <c r="AM276" s="618"/>
    </row>
    <row r="277" spans="1:57" ht="14.25" customHeight="1" x14ac:dyDescent="0.45">
      <c r="A277" s="618"/>
      <c r="B277" s="618"/>
      <c r="C277" s="106"/>
      <c r="D277" s="111" t="s">
        <v>115</v>
      </c>
      <c r="E277" s="196">
        <f>Electricidad!E276+Electricidad!E331</f>
        <v>0.16380518034114624</v>
      </c>
      <c r="F277" s="196">
        <f>Electricidad!F274+Electricidad!F331</f>
        <v>0.1480830490411065</v>
      </c>
      <c r="G277" s="196">
        <f>Electricidad!G274+Electricidad!G331</f>
        <v>0.15826465809811166</v>
      </c>
      <c r="H277" s="185"/>
      <c r="I277" s="618"/>
      <c r="J277" s="618"/>
      <c r="K277" s="618"/>
      <c r="L277" s="618"/>
      <c r="M277" s="618"/>
      <c r="N277" s="618"/>
      <c r="O277" s="618"/>
      <c r="P277" s="618"/>
      <c r="Q277" s="618"/>
      <c r="R277" s="618"/>
      <c r="S277" s="618"/>
      <c r="T277" s="618"/>
      <c r="U277" s="618"/>
      <c r="V277" s="618"/>
      <c r="W277" s="618"/>
      <c r="X277" s="618"/>
      <c r="Y277" s="618"/>
      <c r="Z277" s="618"/>
      <c r="AA277" s="618"/>
      <c r="AB277" s="618"/>
      <c r="AC277" s="618"/>
      <c r="AD277" s="618"/>
      <c r="AE277" s="618"/>
      <c r="AF277" s="618"/>
      <c r="AG277" s="618"/>
      <c r="AH277" s="618"/>
      <c r="AI277" s="618"/>
      <c r="AJ277" s="618"/>
      <c r="AK277" s="618"/>
      <c r="AL277" s="618"/>
      <c r="AM277" s="618"/>
    </row>
    <row r="278" spans="1:57" ht="14.25" customHeight="1" x14ac:dyDescent="0.45">
      <c r="A278" s="618"/>
      <c r="B278" s="618"/>
      <c r="C278" s="106"/>
      <c r="D278" s="111" t="s">
        <v>116</v>
      </c>
      <c r="E278" s="196">
        <f>Electricidad!E268</f>
        <v>0.85036223205432315</v>
      </c>
      <c r="F278" s="196">
        <f>Electricidad!F268</f>
        <v>0.57359787560150388</v>
      </c>
      <c r="G278" s="196">
        <f>Electricidad!G268</f>
        <v>0.55806665693659674</v>
      </c>
      <c r="H278" s="185"/>
      <c r="I278" s="618"/>
      <c r="J278" s="618"/>
      <c r="K278" s="618"/>
      <c r="L278" s="618"/>
      <c r="M278" s="618"/>
      <c r="N278" s="618"/>
      <c r="O278" s="618"/>
      <c r="P278" s="618"/>
      <c r="Q278" s="618"/>
      <c r="R278" s="618"/>
      <c r="S278" s="618"/>
      <c r="T278" s="618"/>
      <c r="U278" s="618"/>
      <c r="V278" s="618"/>
      <c r="W278" s="618"/>
      <c r="X278" s="618"/>
      <c r="Y278" s="618"/>
      <c r="Z278" s="618"/>
      <c r="AA278" s="618"/>
      <c r="AB278" s="618"/>
      <c r="AC278" s="618"/>
      <c r="AD278" s="618"/>
      <c r="AE278" s="618"/>
      <c r="AF278" s="618"/>
      <c r="AG278" s="618"/>
      <c r="AH278" s="618"/>
      <c r="AI278" s="618"/>
      <c r="AJ278" s="618"/>
      <c r="AK278" s="618"/>
      <c r="AL278" s="618"/>
      <c r="AM278" s="618"/>
    </row>
    <row r="279" spans="1:57" ht="14.25" customHeight="1" x14ac:dyDescent="0.45">
      <c r="A279" s="618"/>
      <c r="B279" s="618"/>
      <c r="C279" s="106"/>
      <c r="D279" s="115" t="s">
        <v>59</v>
      </c>
      <c r="E279" s="197"/>
      <c r="F279" s="197"/>
      <c r="G279" s="197"/>
      <c r="H279" s="185"/>
      <c r="I279" s="618"/>
      <c r="J279" s="618"/>
      <c r="K279" s="618"/>
      <c r="L279" s="618"/>
      <c r="M279" s="618"/>
      <c r="N279" s="618"/>
      <c r="O279" s="618"/>
      <c r="P279" s="618"/>
      <c r="Q279" s="618"/>
      <c r="R279" s="618"/>
      <c r="S279" s="618"/>
      <c r="T279" s="618"/>
      <c r="U279" s="618"/>
      <c r="V279" s="618"/>
      <c r="W279" s="618"/>
      <c r="X279" s="618"/>
      <c r="Y279" s="618"/>
      <c r="Z279" s="618"/>
      <c r="AA279" s="618"/>
      <c r="AB279" s="618"/>
      <c r="AC279" s="618"/>
      <c r="AD279" s="618"/>
      <c r="AE279" s="618"/>
      <c r="AF279" s="618"/>
      <c r="AG279" s="618"/>
      <c r="AH279" s="618"/>
      <c r="AI279" s="618"/>
      <c r="AJ279" s="618"/>
      <c r="AK279" s="618"/>
      <c r="AL279" s="618"/>
      <c r="AM279" s="618"/>
    </row>
    <row r="280" spans="1:57" ht="14.25" customHeight="1" x14ac:dyDescent="0.45">
      <c r="A280" s="618"/>
      <c r="B280" s="618"/>
      <c r="C280" s="118"/>
      <c r="D280" s="181"/>
      <c r="E280" s="191"/>
      <c r="F280" s="191"/>
      <c r="G280" s="191"/>
      <c r="H280" s="192"/>
      <c r="I280" s="618"/>
      <c r="J280" s="618"/>
      <c r="K280" s="618"/>
      <c r="L280" s="618"/>
      <c r="M280" s="618"/>
      <c r="N280" s="618"/>
      <c r="O280" s="618"/>
      <c r="P280" s="618"/>
      <c r="Q280" s="618"/>
      <c r="R280" s="618"/>
      <c r="S280" s="618"/>
      <c r="T280" s="618"/>
      <c r="U280" s="618"/>
      <c r="V280" s="618"/>
      <c r="W280" s="618"/>
      <c r="X280" s="618"/>
      <c r="Y280" s="618"/>
      <c r="Z280" s="618"/>
      <c r="AA280" s="618"/>
      <c r="AB280" s="618"/>
      <c r="AC280" s="618"/>
      <c r="AD280" s="618"/>
      <c r="AE280" s="618"/>
      <c r="AF280" s="618"/>
      <c r="AG280" s="618"/>
      <c r="AH280" s="618"/>
      <c r="AI280" s="618"/>
      <c r="AJ280" s="618"/>
      <c r="AK280" s="618"/>
      <c r="AL280" s="618"/>
      <c r="AM280" s="618"/>
    </row>
    <row r="281" spans="1:57" ht="14.25" customHeight="1" x14ac:dyDescent="0.45">
      <c r="A281" s="618"/>
      <c r="B281" s="618"/>
      <c r="C281" s="618"/>
      <c r="D281" s="5"/>
      <c r="E281" s="6"/>
      <c r="F281" s="6"/>
      <c r="G281" s="6"/>
      <c r="H281" s="6"/>
      <c r="I281" s="618"/>
      <c r="J281" s="618"/>
      <c r="K281" s="618"/>
      <c r="L281" s="618"/>
      <c r="M281" s="618"/>
      <c r="N281" s="618"/>
      <c r="O281" s="618"/>
      <c r="P281" s="618"/>
      <c r="Q281" s="618"/>
      <c r="R281" s="618"/>
      <c r="S281" s="618"/>
      <c r="T281" s="618"/>
      <c r="U281" s="618"/>
      <c r="V281" s="618"/>
      <c r="W281" s="618"/>
      <c r="X281" s="618"/>
      <c r="Y281" s="618"/>
      <c r="Z281" s="618"/>
      <c r="AA281" s="618"/>
      <c r="AB281" s="618"/>
      <c r="AC281" s="618"/>
      <c r="AD281" s="618"/>
      <c r="AE281" s="618"/>
      <c r="AF281" s="618"/>
      <c r="AG281" s="618"/>
      <c r="AH281" s="618"/>
      <c r="AI281" s="618"/>
      <c r="AJ281" s="618"/>
      <c r="AK281" s="618"/>
      <c r="AL281" s="618"/>
      <c r="AM281" s="618"/>
    </row>
    <row r="282" spans="1:57" ht="14.25" customHeight="1" x14ac:dyDescent="0.45">
      <c r="A282" s="618"/>
      <c r="B282" s="618"/>
      <c r="C282" s="7"/>
      <c r="D282" s="103"/>
      <c r="E282" s="193" t="s">
        <v>126</v>
      </c>
      <c r="F282" s="158"/>
      <c r="G282" s="158"/>
      <c r="H282" s="159"/>
      <c r="I282" s="618"/>
      <c r="J282" s="618"/>
      <c r="K282" s="618"/>
      <c r="L282" s="618"/>
      <c r="M282" s="618"/>
      <c r="N282" s="618"/>
      <c r="O282" s="618"/>
      <c r="P282" s="618"/>
      <c r="Q282" s="618"/>
      <c r="R282" s="618"/>
      <c r="S282" s="618"/>
      <c r="T282" s="618"/>
      <c r="U282" s="618"/>
      <c r="V282" s="618"/>
      <c r="W282" s="618"/>
      <c r="X282" s="618"/>
      <c r="Y282" s="618"/>
      <c r="Z282" s="618"/>
      <c r="AA282" s="618"/>
      <c r="AB282" s="618"/>
      <c r="AC282" s="618"/>
      <c r="AD282" s="618"/>
      <c r="AE282" s="618"/>
      <c r="AF282" s="618"/>
      <c r="AG282" s="618"/>
      <c r="AH282" s="618"/>
      <c r="AI282" s="618"/>
      <c r="AJ282" s="618"/>
      <c r="AK282" s="618"/>
      <c r="AL282" s="618"/>
      <c r="AM282" s="618"/>
      <c r="AN282" s="3"/>
      <c r="AO282" s="3"/>
      <c r="AP282" s="3"/>
      <c r="AQ282" s="3"/>
      <c r="AR282" s="3"/>
      <c r="AS282" s="3"/>
      <c r="AT282" s="3"/>
      <c r="AU282" s="3"/>
      <c r="AV282" s="3"/>
      <c r="AW282" s="3"/>
      <c r="AX282" s="3"/>
      <c r="AY282" s="3"/>
      <c r="AZ282" s="3"/>
      <c r="BA282" s="3"/>
      <c r="BB282" s="3"/>
      <c r="BC282" s="3"/>
      <c r="BD282" s="3"/>
      <c r="BE282" s="3"/>
    </row>
    <row r="283" spans="1:57" ht="14.25" customHeight="1" x14ac:dyDescent="0.45">
      <c r="A283" s="618"/>
      <c r="B283" s="618"/>
      <c r="C283" s="106"/>
      <c r="D283" s="107" t="s">
        <v>67</v>
      </c>
      <c r="E283" s="112">
        <v>2018</v>
      </c>
      <c r="F283" s="112">
        <v>2019</v>
      </c>
      <c r="G283" s="112">
        <v>2020</v>
      </c>
      <c r="H283" s="161" t="s">
        <v>127</v>
      </c>
      <c r="I283" s="618"/>
      <c r="J283" s="618"/>
      <c r="K283" s="618"/>
      <c r="L283" s="618"/>
      <c r="M283" s="618"/>
      <c r="N283" s="618"/>
      <c r="O283" s="618"/>
      <c r="P283" s="618"/>
      <c r="Q283" s="618"/>
      <c r="R283" s="618"/>
      <c r="S283" s="618"/>
      <c r="T283" s="618"/>
      <c r="U283" s="618"/>
      <c r="V283" s="618"/>
      <c r="W283" s="618"/>
      <c r="X283" s="618"/>
      <c r="Y283" s="618"/>
      <c r="Z283" s="618"/>
      <c r="AA283" s="618"/>
      <c r="AB283" s="618"/>
      <c r="AC283" s="618"/>
      <c r="AD283" s="618"/>
      <c r="AE283" s="618"/>
      <c r="AF283" s="618"/>
      <c r="AG283" s="618"/>
      <c r="AH283" s="618"/>
      <c r="AI283" s="618"/>
      <c r="AJ283" s="618"/>
      <c r="AK283" s="618"/>
      <c r="AL283" s="618"/>
      <c r="AM283" s="618"/>
      <c r="AN283" s="3"/>
      <c r="AO283" s="3"/>
      <c r="AP283" s="3"/>
      <c r="AQ283" s="3"/>
      <c r="AR283" s="3"/>
      <c r="AS283" s="3"/>
      <c r="AT283" s="3"/>
      <c r="AU283" s="3"/>
      <c r="AV283" s="3"/>
      <c r="AW283" s="3"/>
      <c r="AX283" s="3"/>
      <c r="AY283" s="3"/>
      <c r="AZ283" s="3"/>
      <c r="BA283" s="3"/>
      <c r="BB283" s="3"/>
      <c r="BC283" s="3"/>
      <c r="BD283" s="3"/>
      <c r="BE283" s="3"/>
    </row>
    <row r="284" spans="1:57" ht="14.25" customHeight="1" x14ac:dyDescent="0.45">
      <c r="A284" s="618">
        <v>2</v>
      </c>
      <c r="B284" s="618"/>
      <c r="C284" s="130"/>
      <c r="D284" s="111" t="s">
        <v>128</v>
      </c>
      <c r="E284" s="111">
        <f t="shared" ref="E284:G293" si="19">ROUND(IFERROR(E254/E269,0),4)</f>
        <v>2.4908000000000001</v>
      </c>
      <c r="F284" s="111">
        <f t="shared" si="19"/>
        <v>2.6722000000000001</v>
      </c>
      <c r="G284" s="111">
        <f t="shared" si="19"/>
        <v>2.7822</v>
      </c>
      <c r="H284" s="185">
        <f t="shared" ref="H284:H292" si="20">ROUND(AVERAGE(E284:G284),4)</f>
        <v>2.6484000000000001</v>
      </c>
      <c r="I284" s="618"/>
      <c r="J284" s="618"/>
      <c r="K284" s="618"/>
      <c r="L284" s="618"/>
      <c r="M284" s="618"/>
      <c r="N284" s="618"/>
      <c r="O284" s="618"/>
      <c r="P284" s="618"/>
      <c r="Q284" s="618"/>
      <c r="R284" s="618"/>
      <c r="S284" s="618"/>
      <c r="T284" s="618"/>
      <c r="U284" s="618"/>
      <c r="V284" s="618"/>
      <c r="W284" s="618"/>
      <c r="X284" s="618"/>
      <c r="Y284" s="618"/>
      <c r="Z284" s="618"/>
      <c r="AA284" s="618"/>
      <c r="AB284" s="618"/>
      <c r="AC284" s="618"/>
      <c r="AD284" s="618"/>
      <c r="AE284" s="618"/>
      <c r="AF284" s="618"/>
      <c r="AG284" s="618"/>
      <c r="AH284" s="618"/>
      <c r="AI284" s="618"/>
      <c r="AJ284" s="618"/>
      <c r="AK284" s="618"/>
      <c r="AL284" s="618"/>
      <c r="AM284" s="618"/>
      <c r="AN284" s="3"/>
      <c r="AO284" s="3"/>
      <c r="AP284" s="3"/>
      <c r="AQ284" s="3"/>
      <c r="AR284" s="3"/>
      <c r="AS284" s="3"/>
      <c r="AT284" s="3"/>
      <c r="AU284" s="3"/>
      <c r="AV284" s="3"/>
      <c r="AW284" s="3"/>
      <c r="AX284" s="3"/>
      <c r="AY284" s="3"/>
      <c r="AZ284" s="3"/>
      <c r="BA284" s="3"/>
      <c r="BB284" s="3"/>
      <c r="BC284" s="3"/>
      <c r="BD284" s="3"/>
      <c r="BE284" s="3"/>
    </row>
    <row r="285" spans="1:57" ht="14.25" customHeight="1" x14ac:dyDescent="0.45">
      <c r="A285" s="618">
        <v>2</v>
      </c>
      <c r="B285" s="618"/>
      <c r="C285" s="130"/>
      <c r="D285" s="111" t="s">
        <v>129</v>
      </c>
      <c r="E285" s="111">
        <f t="shared" ref="E285" si="21">ROUND(IFERROR(E255/E270,0),4)</f>
        <v>3.2932000000000001</v>
      </c>
      <c r="F285" s="111">
        <f t="shared" si="19"/>
        <v>3.1819999999999999</v>
      </c>
      <c r="G285" s="111">
        <f t="shared" si="19"/>
        <v>3.1124000000000001</v>
      </c>
      <c r="H285" s="185">
        <f t="shared" si="20"/>
        <v>3.1959</v>
      </c>
      <c r="I285" s="618"/>
      <c r="J285" s="618"/>
      <c r="K285" s="618"/>
      <c r="L285" s="618"/>
      <c r="M285" s="618"/>
      <c r="N285" s="618"/>
      <c r="O285" s="618"/>
      <c r="P285" s="618"/>
      <c r="Q285" s="618"/>
      <c r="R285" s="618"/>
      <c r="S285" s="618"/>
      <c r="T285" s="618"/>
      <c r="U285" s="618"/>
      <c r="V285" s="618"/>
      <c r="W285" s="618"/>
      <c r="X285" s="618"/>
      <c r="Y285" s="618"/>
      <c r="Z285" s="618"/>
      <c r="AA285" s="618"/>
      <c r="AB285" s="618"/>
      <c r="AC285" s="618"/>
      <c r="AD285" s="618"/>
      <c r="AE285" s="618"/>
      <c r="AF285" s="618"/>
      <c r="AG285" s="618"/>
      <c r="AH285" s="618"/>
      <c r="AI285" s="618"/>
      <c r="AJ285" s="618"/>
      <c r="AK285" s="618"/>
      <c r="AL285" s="618"/>
      <c r="AM285" s="618"/>
      <c r="AN285" s="3"/>
      <c r="AO285" s="3"/>
      <c r="AP285" s="3"/>
      <c r="AQ285" s="3"/>
      <c r="AR285" s="3"/>
      <c r="AS285" s="3"/>
      <c r="AT285" s="3"/>
      <c r="AU285" s="3"/>
      <c r="AV285" s="3"/>
      <c r="AW285" s="3"/>
      <c r="AX285" s="3"/>
      <c r="AY285" s="3"/>
      <c r="AZ285" s="3"/>
      <c r="BA285" s="3"/>
      <c r="BB285" s="3"/>
      <c r="BC285" s="3"/>
      <c r="BD285" s="3"/>
      <c r="BE285" s="3"/>
    </row>
    <row r="286" spans="1:57" ht="14.25" customHeight="1" x14ac:dyDescent="0.45">
      <c r="A286" s="618"/>
      <c r="B286" s="618"/>
      <c r="C286" s="130"/>
      <c r="D286" s="111" t="s">
        <v>130</v>
      </c>
      <c r="E286" s="111">
        <f t="shared" ref="E286" si="22">ROUND(IFERROR(E256/E271,0),4)</f>
        <v>1.9835</v>
      </c>
      <c r="F286" s="111">
        <f t="shared" si="19"/>
        <v>1.9824999999999999</v>
      </c>
      <c r="G286" s="111">
        <f t="shared" si="19"/>
        <v>1.9824999999999999</v>
      </c>
      <c r="H286" s="185">
        <f t="shared" si="20"/>
        <v>1.9827999999999999</v>
      </c>
      <c r="I286" s="618"/>
      <c r="J286" s="618"/>
      <c r="K286" s="618"/>
      <c r="L286" s="618"/>
      <c r="M286" s="618"/>
      <c r="N286" s="618"/>
      <c r="O286" s="618"/>
      <c r="P286" s="618"/>
      <c r="Q286" s="618"/>
      <c r="R286" s="618"/>
      <c r="S286" s="618"/>
      <c r="T286" s="618"/>
      <c r="U286" s="618"/>
      <c r="V286" s="618"/>
      <c r="W286" s="618"/>
      <c r="X286" s="618"/>
      <c r="Y286" s="618"/>
      <c r="Z286" s="618"/>
      <c r="AA286" s="618"/>
      <c r="AB286" s="618"/>
      <c r="AC286" s="618"/>
      <c r="AD286" s="618"/>
      <c r="AE286" s="618"/>
      <c r="AF286" s="618"/>
      <c r="AG286" s="618"/>
      <c r="AH286" s="618"/>
      <c r="AI286" s="618"/>
      <c r="AJ286" s="618"/>
      <c r="AK286" s="618"/>
      <c r="AL286" s="618"/>
      <c r="AM286" s="618"/>
      <c r="AN286" s="3"/>
      <c r="AO286" s="3"/>
      <c r="AP286" s="3"/>
      <c r="AQ286" s="3"/>
      <c r="AR286" s="3"/>
      <c r="AS286" s="3"/>
      <c r="AT286" s="3"/>
      <c r="AU286" s="3"/>
      <c r="AV286" s="3"/>
      <c r="AW286" s="3"/>
      <c r="AX286" s="3"/>
      <c r="AY286" s="3"/>
      <c r="AZ286" s="3"/>
      <c r="BA286" s="3"/>
      <c r="BB286" s="3"/>
      <c r="BC286" s="3"/>
      <c r="BD286" s="3"/>
      <c r="BE286" s="3"/>
    </row>
    <row r="287" spans="1:57" ht="14.25" customHeight="1" x14ac:dyDescent="0.45">
      <c r="A287" s="618"/>
      <c r="B287" s="618"/>
      <c r="C287" s="130"/>
      <c r="D287" s="111" t="s">
        <v>131</v>
      </c>
      <c r="E287" s="111">
        <f t="shared" ref="E287" si="23">ROUND(IFERROR(E257/E272,0),4)</f>
        <v>0</v>
      </c>
      <c r="F287" s="111">
        <f t="shared" si="19"/>
        <v>0</v>
      </c>
      <c r="G287" s="111">
        <f t="shared" si="19"/>
        <v>0</v>
      </c>
      <c r="H287" s="185">
        <f t="shared" si="20"/>
        <v>0</v>
      </c>
      <c r="I287" s="618"/>
      <c r="J287" s="618"/>
      <c r="K287" s="618"/>
      <c r="L287" s="618"/>
      <c r="M287" s="618"/>
      <c r="N287" s="618"/>
      <c r="O287" s="618"/>
      <c r="P287" s="618"/>
      <c r="Q287" s="618"/>
      <c r="R287" s="618"/>
      <c r="S287" s="618"/>
      <c r="T287" s="618"/>
      <c r="U287" s="618"/>
      <c r="V287" s="618"/>
      <c r="W287" s="618"/>
      <c r="X287" s="618"/>
      <c r="Y287" s="618"/>
      <c r="Z287" s="618"/>
      <c r="AA287" s="618"/>
      <c r="AB287" s="618"/>
      <c r="AC287" s="618"/>
      <c r="AD287" s="618"/>
      <c r="AE287" s="618"/>
      <c r="AF287" s="618"/>
      <c r="AG287" s="618"/>
      <c r="AH287" s="618"/>
      <c r="AI287" s="618"/>
      <c r="AJ287" s="618"/>
      <c r="AK287" s="618"/>
      <c r="AL287" s="618"/>
      <c r="AM287" s="618"/>
      <c r="AN287" s="3"/>
      <c r="AO287" s="3"/>
      <c r="AP287" s="3"/>
      <c r="AQ287" s="3"/>
      <c r="AR287" s="3"/>
      <c r="AS287" s="3"/>
      <c r="AT287" s="3"/>
      <c r="AU287" s="3"/>
      <c r="AV287" s="3"/>
      <c r="AW287" s="3"/>
      <c r="AX287" s="3"/>
      <c r="AY287" s="3"/>
      <c r="AZ287" s="3"/>
      <c r="BA287" s="3"/>
      <c r="BB287" s="3"/>
      <c r="BC287" s="3"/>
      <c r="BD287" s="3"/>
      <c r="BE287" s="3"/>
    </row>
    <row r="288" spans="1:57" ht="14.25" customHeight="1" x14ac:dyDescent="0.45">
      <c r="A288" s="618"/>
      <c r="B288" s="618"/>
      <c r="C288" s="130"/>
      <c r="D288" s="111" t="s">
        <v>132</v>
      </c>
      <c r="E288" s="111">
        <f t="shared" ref="E288" si="24">ROUND(IFERROR(E258/E273,0),4)</f>
        <v>0</v>
      </c>
      <c r="F288" s="111">
        <f t="shared" si="19"/>
        <v>0</v>
      </c>
      <c r="G288" s="111">
        <f t="shared" si="19"/>
        <v>0</v>
      </c>
      <c r="H288" s="185">
        <f t="shared" si="20"/>
        <v>0</v>
      </c>
      <c r="I288" s="618"/>
      <c r="J288" s="618"/>
      <c r="K288" s="618"/>
      <c r="L288" s="618"/>
      <c r="M288" s="618"/>
      <c r="N288" s="618"/>
      <c r="O288" s="618"/>
      <c r="P288" s="618"/>
      <c r="Q288" s="618"/>
      <c r="R288" s="618"/>
      <c r="S288" s="618"/>
      <c r="T288" s="618"/>
      <c r="U288" s="618"/>
      <c r="V288" s="618"/>
      <c r="W288" s="618"/>
      <c r="X288" s="618"/>
      <c r="Y288" s="618"/>
      <c r="Z288" s="618"/>
      <c r="AA288" s="618"/>
      <c r="AB288" s="618"/>
      <c r="AC288" s="618"/>
      <c r="AD288" s="618"/>
      <c r="AE288" s="618"/>
      <c r="AF288" s="618"/>
      <c r="AG288" s="618"/>
      <c r="AH288" s="618"/>
      <c r="AI288" s="618"/>
      <c r="AJ288" s="618"/>
      <c r="AK288" s="618"/>
      <c r="AL288" s="618"/>
      <c r="AM288" s="618"/>
      <c r="AN288" s="3"/>
      <c r="AO288" s="3"/>
      <c r="AP288" s="3"/>
      <c r="AQ288" s="3"/>
      <c r="AR288" s="3"/>
      <c r="AS288" s="3"/>
      <c r="AT288" s="3"/>
      <c r="AU288" s="3"/>
      <c r="AV288" s="3"/>
      <c r="AW288" s="3"/>
      <c r="AX288" s="3"/>
      <c r="AY288" s="3"/>
      <c r="AZ288" s="3"/>
      <c r="BA288" s="3"/>
      <c r="BB288" s="3"/>
      <c r="BC288" s="3"/>
      <c r="BD288" s="3"/>
      <c r="BE288" s="3"/>
    </row>
    <row r="289" spans="1:57" ht="14.25" customHeight="1" x14ac:dyDescent="0.45">
      <c r="A289" s="618"/>
      <c r="B289" s="618"/>
      <c r="C289" s="130"/>
      <c r="D289" s="111" t="s">
        <v>133</v>
      </c>
      <c r="E289" s="111">
        <f t="shared" ref="E289" si="25">ROUND(IFERROR(E259/E274,0),4)</f>
        <v>2.7423999999999999</v>
      </c>
      <c r="F289" s="111">
        <f t="shared" si="19"/>
        <v>2.9929999999999999</v>
      </c>
      <c r="G289" s="111">
        <f t="shared" si="19"/>
        <v>2.9348999999999998</v>
      </c>
      <c r="H289" s="185">
        <f t="shared" si="20"/>
        <v>2.8900999999999999</v>
      </c>
      <c r="I289" s="618"/>
      <c r="J289" s="618"/>
      <c r="K289" s="618"/>
      <c r="L289" s="618"/>
      <c r="M289" s="618"/>
      <c r="N289" s="618"/>
      <c r="O289" s="618"/>
      <c r="P289" s="618"/>
      <c r="Q289" s="618"/>
      <c r="R289" s="618"/>
      <c r="S289" s="618"/>
      <c r="T289" s="618"/>
      <c r="U289" s="618"/>
      <c r="V289" s="618"/>
      <c r="W289" s="618"/>
      <c r="X289" s="618"/>
      <c r="Y289" s="618"/>
      <c r="Z289" s="618"/>
      <c r="AA289" s="618"/>
      <c r="AB289" s="618"/>
      <c r="AC289" s="618"/>
      <c r="AD289" s="618"/>
      <c r="AE289" s="618"/>
      <c r="AF289" s="618"/>
      <c r="AG289" s="618"/>
      <c r="AH289" s="618"/>
      <c r="AI289" s="618"/>
      <c r="AJ289" s="618"/>
      <c r="AK289" s="618"/>
      <c r="AL289" s="618"/>
      <c r="AM289" s="618"/>
      <c r="AN289" s="3"/>
      <c r="AO289" s="3"/>
      <c r="AP289" s="3"/>
      <c r="AQ289" s="3"/>
      <c r="AR289" s="3"/>
      <c r="AS289" s="3"/>
      <c r="AT289" s="3"/>
      <c r="AU289" s="3"/>
      <c r="AV289" s="3"/>
      <c r="AW289" s="3"/>
      <c r="AX289" s="3"/>
      <c r="AY289" s="3"/>
      <c r="AZ289" s="3"/>
      <c r="BA289" s="3"/>
      <c r="BB289" s="3"/>
      <c r="BC289" s="3"/>
      <c r="BD289" s="3"/>
      <c r="BE289" s="3"/>
    </row>
    <row r="290" spans="1:57" ht="14.25" customHeight="1" x14ac:dyDescent="0.45">
      <c r="A290" s="618"/>
      <c r="B290" s="618"/>
      <c r="C290" s="130"/>
      <c r="D290" s="111" t="s">
        <v>134</v>
      </c>
      <c r="E290" s="111">
        <f t="shared" ref="E290" si="26">ROUND(IFERROR(E260/E275,0),4)</f>
        <v>2.6568999999999998</v>
      </c>
      <c r="F290" s="111">
        <f t="shared" si="19"/>
        <v>2.6916000000000002</v>
      </c>
      <c r="G290" s="111">
        <f t="shared" si="19"/>
        <v>2.6871</v>
      </c>
      <c r="H290" s="185">
        <f t="shared" si="20"/>
        <v>2.6785000000000001</v>
      </c>
      <c r="I290" s="618"/>
      <c r="J290" s="618"/>
      <c r="K290" s="618"/>
      <c r="L290" s="618"/>
      <c r="M290" s="618"/>
      <c r="N290" s="618"/>
      <c r="O290" s="618"/>
      <c r="P290" s="618"/>
      <c r="Q290" s="618"/>
      <c r="R290" s="618"/>
      <c r="S290" s="618"/>
      <c r="T290" s="618"/>
      <c r="U290" s="618"/>
      <c r="V290" s="618"/>
      <c r="W290" s="618"/>
      <c r="X290" s="618"/>
      <c r="Y290" s="618"/>
      <c r="Z290" s="618"/>
      <c r="AA290" s="618"/>
      <c r="AB290" s="618"/>
      <c r="AC290" s="618"/>
      <c r="AD290" s="618"/>
      <c r="AE290" s="618"/>
      <c r="AF290" s="618"/>
      <c r="AG290" s="618"/>
      <c r="AH290" s="618"/>
      <c r="AI290" s="618"/>
      <c r="AJ290" s="618"/>
      <c r="AK290" s="618"/>
      <c r="AL290" s="618"/>
      <c r="AM290" s="618"/>
      <c r="AN290" s="3"/>
      <c r="AO290" s="3"/>
      <c r="AP290" s="3"/>
      <c r="AQ290" s="3"/>
      <c r="AR290" s="3"/>
      <c r="AS290" s="3"/>
      <c r="AT290" s="3"/>
      <c r="AU290" s="3"/>
      <c r="AV290" s="3"/>
      <c r="AW290" s="3"/>
      <c r="AX290" s="3"/>
      <c r="AY290" s="3"/>
      <c r="AZ290" s="3"/>
      <c r="BA290" s="3"/>
      <c r="BB290" s="3"/>
      <c r="BC290" s="3"/>
      <c r="BD290" s="3"/>
      <c r="BE290" s="3"/>
    </row>
    <row r="291" spans="1:57" ht="14.25" customHeight="1" x14ac:dyDescent="0.45">
      <c r="A291" s="618"/>
      <c r="B291" s="618"/>
      <c r="C291" s="130"/>
      <c r="D291" s="111" t="s">
        <v>135</v>
      </c>
      <c r="E291" s="111">
        <f t="shared" ref="E291" si="27">ROUND(IFERROR(E261/E276,0),4)</f>
        <v>0</v>
      </c>
      <c r="F291" s="111">
        <f t="shared" si="19"/>
        <v>0</v>
      </c>
      <c r="G291" s="111">
        <f t="shared" si="19"/>
        <v>0</v>
      </c>
      <c r="H291" s="185">
        <f t="shared" si="20"/>
        <v>0</v>
      </c>
      <c r="I291" s="618"/>
      <c r="J291" s="618"/>
      <c r="K291" s="618"/>
      <c r="L291" s="618"/>
      <c r="M291" s="618"/>
      <c r="N291" s="618"/>
      <c r="O291" s="618"/>
      <c r="P291" s="618"/>
      <c r="Q291" s="618"/>
      <c r="R291" s="618"/>
      <c r="S291" s="618"/>
      <c r="T291" s="618"/>
      <c r="U291" s="618"/>
      <c r="V291" s="618"/>
      <c r="W291" s="618"/>
      <c r="X291" s="618"/>
      <c r="Y291" s="618"/>
      <c r="Z291" s="618"/>
      <c r="AA291" s="618"/>
      <c r="AB291" s="618"/>
      <c r="AC291" s="618"/>
      <c r="AD291" s="618"/>
      <c r="AE291" s="618"/>
      <c r="AF291" s="618"/>
      <c r="AG291" s="618"/>
      <c r="AH291" s="618"/>
      <c r="AI291" s="618"/>
      <c r="AJ291" s="618"/>
      <c r="AK291" s="618"/>
      <c r="AL291" s="618"/>
      <c r="AM291" s="618"/>
      <c r="AN291" s="3"/>
      <c r="AO291" s="3"/>
      <c r="AP291" s="3"/>
      <c r="AQ291" s="3"/>
      <c r="AR291" s="3"/>
      <c r="AS291" s="3"/>
      <c r="AT291" s="3"/>
      <c r="AU291" s="3"/>
      <c r="AV291" s="3"/>
      <c r="AW291" s="3"/>
      <c r="AX291" s="3"/>
      <c r="AY291" s="3"/>
      <c r="AZ291" s="3"/>
      <c r="BA291" s="3"/>
      <c r="BB291" s="3"/>
      <c r="BC291" s="3"/>
      <c r="BD291" s="3"/>
      <c r="BE291" s="3"/>
    </row>
    <row r="292" spans="1:57" ht="14.25" customHeight="1" x14ac:dyDescent="0.45">
      <c r="A292" s="618"/>
      <c r="B292" s="618"/>
      <c r="C292" s="130"/>
      <c r="D292" s="111" t="s">
        <v>136</v>
      </c>
      <c r="E292" s="111">
        <f t="shared" ref="E292" si="28">ROUND(IFERROR(E262/E277,0),4)</f>
        <v>5.6361999999999997</v>
      </c>
      <c r="F292" s="111">
        <f t="shared" si="19"/>
        <v>5.8425000000000002</v>
      </c>
      <c r="G292" s="111">
        <f t="shared" si="19"/>
        <v>5.8701999999999996</v>
      </c>
      <c r="H292" s="185">
        <f t="shared" si="20"/>
        <v>5.7830000000000004</v>
      </c>
      <c r="I292" s="618"/>
      <c r="J292" s="618"/>
      <c r="K292" s="618"/>
      <c r="L292" s="618"/>
      <c r="M292" s="618"/>
      <c r="N292" s="618"/>
      <c r="O292" s="618"/>
      <c r="P292" s="618"/>
      <c r="Q292" s="618"/>
      <c r="R292" s="618"/>
      <c r="S292" s="618"/>
      <c r="T292" s="618"/>
      <c r="U292" s="618"/>
      <c r="V292" s="618"/>
      <c r="W292" s="618"/>
      <c r="X292" s="618"/>
      <c r="Y292" s="618"/>
      <c r="Z292" s="618"/>
      <c r="AA292" s="618"/>
      <c r="AB292" s="618"/>
      <c r="AC292" s="618"/>
      <c r="AD292" s="618"/>
      <c r="AE292" s="618"/>
      <c r="AF292" s="618"/>
      <c r="AG292" s="618"/>
      <c r="AH292" s="618"/>
      <c r="AI292" s="618"/>
      <c r="AJ292" s="618"/>
      <c r="AK292" s="618"/>
      <c r="AL292" s="618"/>
      <c r="AM292" s="618"/>
      <c r="AN292" s="3"/>
      <c r="AO292" s="3"/>
      <c r="AP292" s="3"/>
      <c r="AQ292" s="3"/>
      <c r="AR292" s="3"/>
      <c r="AS292" s="3"/>
      <c r="AT292" s="3"/>
      <c r="AU292" s="3"/>
      <c r="AV292" s="3"/>
      <c r="AW292" s="3"/>
      <c r="AX292" s="3"/>
      <c r="AY292" s="3"/>
      <c r="AZ292" s="3"/>
      <c r="BA292" s="3"/>
      <c r="BB292" s="3"/>
      <c r="BC292" s="3"/>
      <c r="BD292" s="3"/>
      <c r="BE292" s="3"/>
    </row>
    <row r="293" spans="1:57" ht="14.25" customHeight="1" x14ac:dyDescent="0.45">
      <c r="A293" s="618"/>
      <c r="B293" s="618"/>
      <c r="C293" s="130"/>
      <c r="D293" s="111" t="s">
        <v>116</v>
      </c>
      <c r="E293" s="111">
        <f t="shared" ref="E293" si="29">ROUND(IFERROR(E263/E278,0),4)</f>
        <v>1.0879000000000001</v>
      </c>
      <c r="F293" s="111">
        <f t="shared" si="19"/>
        <v>1.6128</v>
      </c>
      <c r="G293" s="111">
        <f t="shared" si="19"/>
        <v>1.6576</v>
      </c>
      <c r="H293" s="185"/>
      <c r="I293" s="618"/>
      <c r="J293" s="618"/>
      <c r="K293" s="618"/>
      <c r="L293" s="618"/>
      <c r="M293" s="618"/>
      <c r="N293" s="618"/>
      <c r="O293" s="618"/>
      <c r="P293" s="618"/>
      <c r="Q293" s="618"/>
      <c r="R293" s="618"/>
      <c r="S293" s="618"/>
      <c r="T293" s="618"/>
      <c r="U293" s="618"/>
      <c r="V293" s="618"/>
      <c r="W293" s="618"/>
      <c r="X293" s="618"/>
      <c r="Y293" s="618"/>
      <c r="Z293" s="618"/>
      <c r="AA293" s="618"/>
      <c r="AB293" s="618"/>
      <c r="AC293" s="618"/>
      <c r="AD293" s="618"/>
      <c r="AE293" s="618"/>
      <c r="AF293" s="618"/>
      <c r="AG293" s="618"/>
      <c r="AH293" s="618"/>
      <c r="AI293" s="618"/>
      <c r="AJ293" s="618"/>
      <c r="AK293" s="618"/>
      <c r="AL293" s="618"/>
      <c r="AM293" s="618"/>
      <c r="AN293" s="3"/>
      <c r="AO293" s="3"/>
      <c r="AP293" s="3"/>
      <c r="AQ293" s="3"/>
      <c r="AR293" s="3"/>
      <c r="AS293" s="3"/>
      <c r="AT293" s="3"/>
      <c r="AU293" s="3"/>
      <c r="AV293" s="3"/>
      <c r="AW293" s="3"/>
      <c r="AX293" s="3"/>
      <c r="AY293" s="3"/>
      <c r="AZ293" s="3"/>
      <c r="BA293" s="3"/>
      <c r="BB293" s="3"/>
      <c r="BC293" s="3"/>
      <c r="BD293" s="3"/>
      <c r="BE293" s="3"/>
    </row>
    <row r="294" spans="1:57" ht="14.25" customHeight="1" x14ac:dyDescent="0.45">
      <c r="A294" s="618"/>
      <c r="B294" s="618"/>
      <c r="C294" s="118"/>
      <c r="D294" s="181"/>
      <c r="E294" s="191"/>
      <c r="F294" s="191"/>
      <c r="G294" s="191"/>
      <c r="H294" s="192"/>
      <c r="I294" s="618"/>
      <c r="J294" s="618"/>
      <c r="K294" s="618"/>
      <c r="L294" s="618"/>
      <c r="M294" s="618"/>
      <c r="N294" s="618"/>
      <c r="O294" s="618"/>
      <c r="P294" s="618"/>
      <c r="Q294" s="618"/>
      <c r="R294" s="618"/>
      <c r="S294" s="618"/>
      <c r="T294" s="618"/>
      <c r="U294" s="618"/>
      <c r="V294" s="618"/>
      <c r="W294" s="618"/>
      <c r="X294" s="618"/>
      <c r="Y294" s="618"/>
      <c r="Z294" s="618"/>
      <c r="AA294" s="618"/>
      <c r="AB294" s="618"/>
      <c r="AC294" s="618"/>
      <c r="AD294" s="618"/>
      <c r="AE294" s="618"/>
      <c r="AF294" s="618"/>
      <c r="AG294" s="618"/>
      <c r="AH294" s="618"/>
      <c r="AI294" s="618"/>
      <c r="AJ294" s="618"/>
      <c r="AK294" s="618"/>
      <c r="AL294" s="618"/>
      <c r="AM294" s="618"/>
      <c r="AN294" s="3"/>
      <c r="AO294" s="3"/>
      <c r="AP294" s="3"/>
      <c r="AQ294" s="3"/>
      <c r="AR294" s="3"/>
      <c r="AS294" s="3"/>
      <c r="AT294" s="3"/>
      <c r="AU294" s="3"/>
      <c r="AV294" s="3"/>
      <c r="AW294" s="3"/>
      <c r="AX294" s="3"/>
      <c r="AY294" s="3"/>
      <c r="AZ294" s="3"/>
      <c r="BA294" s="3"/>
      <c r="BB294" s="3"/>
      <c r="BC294" s="3"/>
      <c r="BD294" s="3"/>
      <c r="BE294" s="3"/>
    </row>
    <row r="295" spans="1:57" ht="14.25" customHeight="1" x14ac:dyDescent="0.45">
      <c r="A295" s="618"/>
      <c r="B295" s="618"/>
      <c r="C295" s="618"/>
      <c r="D295" s="5" t="s">
        <v>137</v>
      </c>
      <c r="E295" s="6"/>
      <c r="F295" s="6"/>
      <c r="G295" s="6"/>
      <c r="H295" s="6"/>
      <c r="I295" s="618"/>
      <c r="J295" s="618"/>
      <c r="K295" s="618"/>
      <c r="L295" s="618"/>
      <c r="M295" s="618"/>
      <c r="N295" s="618"/>
      <c r="O295" s="618"/>
      <c r="P295" s="618"/>
      <c r="Q295" s="618"/>
      <c r="R295" s="618"/>
      <c r="S295" s="618"/>
      <c r="T295" s="618"/>
      <c r="U295" s="618"/>
      <c r="V295" s="618"/>
      <c r="W295" s="618"/>
      <c r="X295" s="618"/>
      <c r="Y295" s="618"/>
      <c r="Z295" s="618"/>
      <c r="AA295" s="618"/>
      <c r="AB295" s="618"/>
      <c r="AC295" s="618"/>
      <c r="AD295" s="618"/>
      <c r="AE295" s="618"/>
      <c r="AF295" s="618"/>
      <c r="AG295" s="618"/>
      <c r="AH295" s="618"/>
      <c r="AI295" s="618"/>
      <c r="AJ295" s="618"/>
      <c r="AK295" s="618"/>
      <c r="AL295" s="4"/>
      <c r="AM295" s="1"/>
      <c r="AN295" s="3"/>
      <c r="AO295" s="3"/>
      <c r="AP295" s="3"/>
      <c r="AQ295" s="3"/>
      <c r="AR295" s="3"/>
      <c r="AS295" s="3"/>
      <c r="AT295" s="3"/>
      <c r="AU295" s="3"/>
      <c r="AV295" s="3"/>
      <c r="AW295" s="3"/>
      <c r="AX295" s="3"/>
      <c r="AY295" s="3"/>
      <c r="AZ295" s="3"/>
      <c r="BA295" s="3"/>
      <c r="BB295" s="3"/>
      <c r="BC295" s="3"/>
      <c r="BD295" s="3"/>
      <c r="BE295" s="3"/>
    </row>
    <row r="296" spans="1:57" ht="14.25" customHeight="1" x14ac:dyDescent="0.45">
      <c r="A296" s="618"/>
      <c r="B296" s="618"/>
      <c r="C296" s="618"/>
      <c r="D296" s="14"/>
      <c r="E296" s="15">
        <v>8200</v>
      </c>
      <c r="F296" s="15">
        <f>E296*E299*E305</f>
        <v>47685.174784394854</v>
      </c>
      <c r="G296" s="6"/>
      <c r="H296" s="6"/>
      <c r="I296" s="3"/>
      <c r="J296" s="618"/>
      <c r="K296" s="618"/>
      <c r="L296" s="618"/>
      <c r="M296" s="618"/>
      <c r="N296" s="618"/>
      <c r="O296" s="618"/>
      <c r="P296" s="618"/>
      <c r="Q296" s="618"/>
      <c r="R296" s="618"/>
      <c r="S296" s="618"/>
      <c r="T296" s="618"/>
      <c r="U296" s="618"/>
      <c r="V296" s="618"/>
      <c r="W296" s="618"/>
      <c r="X296" s="618"/>
      <c r="Y296" s="618"/>
      <c r="Z296" s="618"/>
      <c r="AA296" s="618"/>
      <c r="AB296" s="618"/>
      <c r="AC296" s="618"/>
      <c r="AD296" s="618"/>
      <c r="AE296" s="618"/>
      <c r="AF296" s="618"/>
      <c r="AG296" s="618"/>
      <c r="AH296" s="618"/>
      <c r="AI296" s="618"/>
      <c r="AJ296" s="618"/>
      <c r="AK296" s="618"/>
      <c r="AL296" s="4"/>
      <c r="AM296" s="1"/>
      <c r="AN296" s="3"/>
      <c r="AO296" s="3"/>
      <c r="AP296" s="3"/>
      <c r="AQ296" s="3"/>
      <c r="AR296" s="3"/>
      <c r="AS296" s="3"/>
      <c r="AT296" s="3"/>
      <c r="AU296" s="3"/>
      <c r="AV296" s="3"/>
      <c r="AW296" s="3"/>
      <c r="AX296" s="3"/>
      <c r="AY296" s="3"/>
      <c r="AZ296" s="3"/>
      <c r="BA296" s="3"/>
      <c r="BB296" s="3"/>
      <c r="BC296" s="3"/>
      <c r="BD296" s="3"/>
      <c r="BE296" s="3"/>
    </row>
    <row r="297" spans="1:57" ht="14.25" customHeight="1" x14ac:dyDescent="0.45">
      <c r="A297" s="618"/>
      <c r="B297" s="618"/>
      <c r="C297" s="618"/>
      <c r="D297" s="14" t="s">
        <v>138</v>
      </c>
      <c r="E297" s="6"/>
      <c r="F297" s="6"/>
      <c r="G297" s="6"/>
      <c r="H297" s="6"/>
      <c r="I297" s="618"/>
      <c r="J297" s="618"/>
      <c r="K297" s="618"/>
      <c r="L297" s="618"/>
      <c r="M297" s="618"/>
      <c r="N297" s="618"/>
      <c r="O297" s="618"/>
      <c r="P297" s="618"/>
      <c r="Q297" s="618"/>
      <c r="R297" s="618"/>
      <c r="S297" s="618"/>
      <c r="T297" s="618"/>
      <c r="U297" s="618"/>
      <c r="V297" s="618"/>
      <c r="W297" s="618"/>
      <c r="X297" s="618"/>
      <c r="Y297" s="618"/>
      <c r="Z297" s="618"/>
      <c r="AA297" s="618"/>
      <c r="AB297" s="618"/>
      <c r="AC297" s="618"/>
      <c r="AD297" s="618"/>
      <c r="AE297" s="618"/>
      <c r="AF297" s="618"/>
      <c r="AG297" s="618"/>
      <c r="AH297" s="618"/>
      <c r="AI297" s="618"/>
      <c r="AJ297" s="618"/>
      <c r="AK297" s="618"/>
      <c r="AL297" s="4"/>
      <c r="AM297" s="1"/>
      <c r="AN297" s="3"/>
      <c r="AO297" s="3"/>
      <c r="AP297" s="3"/>
      <c r="AQ297" s="3"/>
      <c r="AR297" s="3"/>
      <c r="AS297" s="3"/>
      <c r="AT297" s="3"/>
      <c r="AU297" s="3"/>
      <c r="AV297" s="3"/>
      <c r="AW297" s="3"/>
      <c r="AX297" s="3"/>
      <c r="AY297" s="3"/>
      <c r="AZ297" s="3"/>
      <c r="BA297" s="3"/>
      <c r="BB297" s="3"/>
      <c r="BC297" s="3"/>
      <c r="BD297" s="3"/>
      <c r="BE297" s="3"/>
    </row>
    <row r="298" spans="1:57" ht="14.25" customHeight="1" x14ac:dyDescent="0.45">
      <c r="A298" s="618"/>
      <c r="B298" s="618"/>
      <c r="C298" s="618"/>
      <c r="D298" s="5"/>
      <c r="E298" s="6"/>
      <c r="F298" s="6"/>
      <c r="G298" s="6"/>
      <c r="H298" s="6"/>
      <c r="I298" s="618"/>
      <c r="J298" s="618"/>
      <c r="K298" s="618"/>
      <c r="L298" s="618"/>
      <c r="M298" s="618"/>
      <c r="N298" s="618"/>
      <c r="O298" s="618"/>
      <c r="P298" s="618"/>
      <c r="Q298" s="618"/>
      <c r="R298" s="618"/>
      <c r="S298" s="618"/>
      <c r="T298" s="618"/>
      <c r="U298" s="618"/>
      <c r="V298" s="618"/>
      <c r="W298" s="618"/>
      <c r="X298" s="618"/>
      <c r="Y298" s="618"/>
      <c r="Z298" s="618"/>
      <c r="AA298" s="618"/>
      <c r="AB298" s="618"/>
      <c r="AC298" s="618"/>
      <c r="AD298" s="618"/>
      <c r="AE298" s="618"/>
      <c r="AF298" s="618"/>
      <c r="AG298" s="618"/>
      <c r="AH298" s="618"/>
      <c r="AI298" s="618"/>
      <c r="AJ298" s="618"/>
      <c r="AK298" s="618"/>
      <c r="AL298" s="4"/>
      <c r="AM298" s="1"/>
      <c r="AN298" s="3"/>
      <c r="AO298" s="3"/>
      <c r="AP298" s="3"/>
      <c r="AQ298" s="3"/>
      <c r="AR298" s="3"/>
      <c r="AS298" s="3"/>
      <c r="AT298" s="3"/>
      <c r="AU298" s="3"/>
      <c r="AV298" s="3"/>
      <c r="AW298" s="3"/>
      <c r="AX298" s="3"/>
      <c r="AY298" s="3"/>
      <c r="AZ298" s="3"/>
      <c r="BA298" s="3"/>
      <c r="BB298" s="3"/>
      <c r="BC298" s="3"/>
      <c r="BD298" s="3"/>
      <c r="BE298" s="3"/>
    </row>
    <row r="299" spans="1:57" ht="15.75" customHeight="1" x14ac:dyDescent="0.45">
      <c r="A299" s="618"/>
      <c r="B299" s="618"/>
      <c r="C299" s="618"/>
      <c r="D299" s="198" t="s">
        <v>139</v>
      </c>
      <c r="E299" s="199">
        <f>(G299*I299*K299*M299*O299)/(I300*K300*M300*O300)</f>
        <v>1001.5</v>
      </c>
      <c r="F299" s="200" t="s">
        <v>140</v>
      </c>
      <c r="G299" s="16">
        <v>1</v>
      </c>
      <c r="H299" s="201" t="s">
        <v>141</v>
      </c>
      <c r="I299" s="16">
        <v>1000000</v>
      </c>
      <c r="J299" s="6" t="s">
        <v>142</v>
      </c>
      <c r="K299" s="618">
        <v>1</v>
      </c>
      <c r="L299" s="618" t="s">
        <v>143</v>
      </c>
      <c r="M299" s="618">
        <v>1</v>
      </c>
      <c r="N299" s="618" t="s">
        <v>144</v>
      </c>
      <c r="O299" s="17">
        <v>1.0015000000000001</v>
      </c>
      <c r="P299" s="618" t="s">
        <v>140</v>
      </c>
      <c r="Q299" s="618"/>
      <c r="R299" s="618"/>
      <c r="S299" s="618"/>
      <c r="T299" s="618"/>
      <c r="U299" s="618"/>
      <c r="V299" s="618"/>
      <c r="W299" s="618"/>
      <c r="X299" s="618"/>
      <c r="Y299" s="618"/>
      <c r="Z299" s="618"/>
      <c r="AA299" s="618"/>
      <c r="AB299" s="618"/>
      <c r="AC299" s="618"/>
      <c r="AD299" s="618"/>
      <c r="AE299" s="618"/>
      <c r="AF299" s="618"/>
      <c r="AG299" s="618"/>
      <c r="AH299" s="618"/>
      <c r="AI299" s="618"/>
      <c r="AJ299" s="618"/>
      <c r="AK299" s="618"/>
      <c r="AL299" s="4"/>
      <c r="AM299" s="1"/>
      <c r="AN299" s="3"/>
      <c r="AO299" s="3"/>
      <c r="AP299" s="3"/>
      <c r="AQ299" s="3"/>
      <c r="AR299" s="3"/>
      <c r="AS299" s="3"/>
      <c r="AT299" s="3"/>
      <c r="AU299" s="3"/>
      <c r="AV299" s="3"/>
      <c r="AW299" s="3"/>
      <c r="AX299" s="3"/>
      <c r="AY299" s="3"/>
      <c r="AZ299" s="3"/>
      <c r="BA299" s="3"/>
      <c r="BB299" s="3"/>
      <c r="BC299" s="3"/>
      <c r="BD299" s="3"/>
      <c r="BE299" s="3"/>
    </row>
    <row r="300" spans="1:57" ht="14.25" customHeight="1" x14ac:dyDescent="0.45">
      <c r="A300" s="618"/>
      <c r="B300" s="618"/>
      <c r="C300" s="618"/>
      <c r="D300" s="5"/>
      <c r="E300" s="3"/>
      <c r="F300" s="3"/>
      <c r="G300" s="6"/>
      <c r="H300" s="6"/>
      <c r="I300" s="16">
        <v>1</v>
      </c>
      <c r="J300" s="6" t="s">
        <v>141</v>
      </c>
      <c r="K300" s="618">
        <v>1</v>
      </c>
      <c r="L300" s="618" t="s">
        <v>142</v>
      </c>
      <c r="M300" s="618">
        <v>1000</v>
      </c>
      <c r="N300" s="618" t="s">
        <v>143</v>
      </c>
      <c r="O300" s="618">
        <v>1</v>
      </c>
      <c r="P300" s="618" t="s">
        <v>144</v>
      </c>
      <c r="Q300" s="618"/>
      <c r="R300" s="618"/>
      <c r="S300" s="618"/>
      <c r="T300" s="618"/>
      <c r="U300" s="618"/>
      <c r="V300" s="618"/>
      <c r="W300" s="618"/>
      <c r="X300" s="618"/>
      <c r="Y300" s="618"/>
      <c r="Z300" s="618"/>
      <c r="AA300" s="618"/>
      <c r="AB300" s="618"/>
      <c r="AC300" s="618"/>
      <c r="AD300" s="618"/>
      <c r="AE300" s="618"/>
      <c r="AF300" s="618"/>
      <c r="AG300" s="618"/>
      <c r="AH300" s="618"/>
      <c r="AI300" s="618"/>
      <c r="AJ300" s="618"/>
      <c r="AK300" s="618"/>
      <c r="AL300" s="4"/>
      <c r="AM300" s="1"/>
      <c r="AN300" s="3"/>
      <c r="AO300" s="3"/>
      <c r="AP300" s="3"/>
      <c r="AQ300" s="3"/>
      <c r="AR300" s="3"/>
      <c r="AS300" s="3"/>
      <c r="AT300" s="3"/>
      <c r="AU300" s="3"/>
      <c r="AV300" s="3"/>
      <c r="AW300" s="3"/>
      <c r="AX300" s="3"/>
      <c r="AY300" s="3"/>
      <c r="AZ300" s="3"/>
      <c r="BA300" s="3"/>
      <c r="BB300" s="3"/>
      <c r="BC300" s="3"/>
      <c r="BD300" s="3"/>
      <c r="BE300" s="3"/>
    </row>
    <row r="301" spans="1:57" ht="14.25" customHeight="1" x14ac:dyDescent="0.45">
      <c r="A301" s="618"/>
      <c r="B301" s="618"/>
      <c r="C301" s="618"/>
      <c r="D301" s="5"/>
      <c r="E301" s="6"/>
      <c r="F301" s="6"/>
      <c r="G301" s="6"/>
      <c r="H301" s="6"/>
      <c r="I301" s="618"/>
      <c r="J301" s="618"/>
      <c r="K301" s="618"/>
      <c r="L301" s="618"/>
      <c r="M301" s="618"/>
      <c r="N301" s="618"/>
      <c r="O301" s="618"/>
      <c r="P301" s="618"/>
      <c r="Q301" s="618"/>
      <c r="R301" s="618"/>
      <c r="S301" s="618"/>
      <c r="T301" s="618"/>
      <c r="U301" s="618"/>
      <c r="V301" s="618"/>
      <c r="W301" s="618"/>
      <c r="X301" s="618"/>
      <c r="Y301" s="618"/>
      <c r="Z301" s="618"/>
      <c r="AA301" s="618"/>
      <c r="AB301" s="618"/>
      <c r="AC301" s="618"/>
      <c r="AD301" s="618"/>
      <c r="AE301" s="618"/>
      <c r="AF301" s="618"/>
      <c r="AG301" s="618"/>
      <c r="AH301" s="618"/>
      <c r="AI301" s="618"/>
      <c r="AJ301" s="618"/>
      <c r="AK301" s="618"/>
      <c r="AL301" s="4"/>
      <c r="AM301" s="1"/>
      <c r="AN301" s="3"/>
      <c r="AO301" s="3"/>
      <c r="AP301" s="3"/>
      <c r="AQ301" s="3"/>
      <c r="AR301" s="3"/>
      <c r="AS301" s="3"/>
      <c r="AT301" s="3"/>
      <c r="AU301" s="3"/>
      <c r="AV301" s="3"/>
      <c r="AW301" s="3"/>
      <c r="AX301" s="3"/>
      <c r="AY301" s="3"/>
      <c r="AZ301" s="3"/>
      <c r="BA301" s="3"/>
      <c r="BB301" s="3"/>
      <c r="BC301" s="3"/>
      <c r="BD301" s="3"/>
      <c r="BE301" s="3"/>
    </row>
    <row r="302" spans="1:57" ht="19.5" customHeight="1" x14ac:dyDescent="0.45">
      <c r="A302" s="618"/>
      <c r="B302" s="618"/>
      <c r="C302" s="618"/>
      <c r="D302" s="198" t="s">
        <v>145</v>
      </c>
      <c r="E302" s="199">
        <f>(G302*I302*K302*M302*O302*Q302)/(I303*K303*M303*O303*Q303)</f>
        <v>0.16935157314092994</v>
      </c>
      <c r="F302" s="200" t="s">
        <v>140</v>
      </c>
      <c r="G302" s="16">
        <v>1</v>
      </c>
      <c r="H302" s="201" t="s">
        <v>146</v>
      </c>
      <c r="I302" s="16">
        <v>1000000</v>
      </c>
      <c r="J302" s="6" t="s">
        <v>147</v>
      </c>
      <c r="K302" s="618">
        <v>1</v>
      </c>
      <c r="L302" s="618" t="s">
        <v>148</v>
      </c>
      <c r="M302" s="618">
        <v>1</v>
      </c>
      <c r="N302" s="618" t="s">
        <v>149</v>
      </c>
      <c r="O302" s="17">
        <v>5.9805999999999999</v>
      </c>
      <c r="P302" s="618" t="s">
        <v>150</v>
      </c>
      <c r="Q302" s="618">
        <v>1</v>
      </c>
      <c r="R302" s="618" t="s">
        <v>140</v>
      </c>
      <c r="S302" s="618"/>
      <c r="T302" s="618"/>
      <c r="U302" s="618"/>
      <c r="V302" s="618"/>
      <c r="W302" s="618"/>
      <c r="X302" s="618"/>
      <c r="Y302" s="618"/>
      <c r="Z302" s="618"/>
      <c r="AA302" s="618"/>
      <c r="AB302" s="618"/>
      <c r="AC302" s="618"/>
      <c r="AD302" s="618"/>
      <c r="AE302" s="618"/>
      <c r="AF302" s="618"/>
      <c r="AG302" s="618"/>
      <c r="AH302" s="618"/>
      <c r="AI302" s="618"/>
      <c r="AJ302" s="618"/>
      <c r="AK302" s="618"/>
      <c r="AL302" s="4"/>
      <c r="AM302" s="1"/>
      <c r="AN302" s="3"/>
      <c r="AO302" s="3"/>
      <c r="AP302" s="3"/>
      <c r="AQ302" s="3"/>
      <c r="AR302" s="3"/>
      <c r="AS302" s="3"/>
      <c r="AT302" s="3"/>
      <c r="AU302" s="3"/>
      <c r="AV302" s="3"/>
      <c r="AW302" s="3"/>
      <c r="AX302" s="3"/>
      <c r="AY302" s="3"/>
      <c r="AZ302" s="3"/>
      <c r="BA302" s="3"/>
      <c r="BB302" s="3"/>
      <c r="BC302" s="3"/>
      <c r="BD302" s="3"/>
      <c r="BE302" s="3"/>
    </row>
    <row r="303" spans="1:57" ht="14.25" customHeight="1" x14ac:dyDescent="0.45">
      <c r="A303" s="618"/>
      <c r="B303" s="618"/>
      <c r="C303" s="618"/>
      <c r="D303" s="5"/>
      <c r="E303" s="6"/>
      <c r="F303" s="6"/>
      <c r="G303" s="6"/>
      <c r="H303" s="6"/>
      <c r="I303" s="16">
        <v>1</v>
      </c>
      <c r="J303" s="6" t="s">
        <v>146</v>
      </c>
      <c r="K303" s="618">
        <v>1</v>
      </c>
      <c r="L303" s="6" t="s">
        <v>147</v>
      </c>
      <c r="M303" s="17">
        <v>35.314700000000002</v>
      </c>
      <c r="N303" s="618" t="s">
        <v>148</v>
      </c>
      <c r="O303" s="618">
        <v>1000</v>
      </c>
      <c r="P303" s="618" t="s">
        <v>149</v>
      </c>
      <c r="Q303" s="618">
        <v>1000</v>
      </c>
      <c r="R303" s="618" t="s">
        <v>150</v>
      </c>
      <c r="S303" s="618"/>
      <c r="T303" s="618"/>
      <c r="U303" s="618"/>
      <c r="V303" s="618"/>
      <c r="W303" s="618"/>
      <c r="X303" s="618"/>
      <c r="Y303" s="618"/>
      <c r="Z303" s="618"/>
      <c r="AA303" s="618"/>
      <c r="AB303" s="618"/>
      <c r="AC303" s="618"/>
      <c r="AD303" s="618"/>
      <c r="AE303" s="618"/>
      <c r="AF303" s="618"/>
      <c r="AG303" s="618"/>
      <c r="AH303" s="618"/>
      <c r="AI303" s="618"/>
      <c r="AJ303" s="618"/>
      <c r="AK303" s="618"/>
      <c r="AL303" s="4"/>
      <c r="AM303" s="1"/>
      <c r="AN303" s="3"/>
      <c r="AO303" s="3"/>
      <c r="AP303" s="3"/>
      <c r="AQ303" s="3"/>
      <c r="AR303" s="3"/>
      <c r="AS303" s="3"/>
      <c r="AT303" s="3"/>
      <c r="AU303" s="3"/>
      <c r="AV303" s="3"/>
      <c r="AW303" s="3"/>
      <c r="AX303" s="3"/>
      <c r="AY303" s="3"/>
      <c r="AZ303" s="3"/>
      <c r="BA303" s="3"/>
      <c r="BB303" s="3"/>
      <c r="BC303" s="3"/>
      <c r="BD303" s="3"/>
      <c r="BE303" s="3"/>
    </row>
    <row r="304" spans="1:57" ht="14.25" customHeight="1" x14ac:dyDescent="0.45">
      <c r="A304" s="618"/>
      <c r="B304" s="618"/>
      <c r="C304" s="618"/>
      <c r="D304" s="5"/>
      <c r="E304" s="3"/>
      <c r="F304" s="3"/>
      <c r="G304" s="6"/>
      <c r="H304" s="6"/>
      <c r="I304" s="618"/>
      <c r="J304" s="618"/>
      <c r="K304" s="618"/>
      <c r="L304" s="618"/>
      <c r="M304" s="618"/>
      <c r="N304" s="618"/>
      <c r="O304" s="618"/>
      <c r="P304" s="3"/>
      <c r="Q304" s="618"/>
      <c r="R304" s="618"/>
      <c r="S304" s="618"/>
      <c r="T304" s="618"/>
      <c r="U304" s="618"/>
      <c r="V304" s="618"/>
      <c r="W304" s="618"/>
      <c r="X304" s="618"/>
      <c r="Y304" s="618"/>
      <c r="Z304" s="618"/>
      <c r="AA304" s="618"/>
      <c r="AB304" s="618"/>
      <c r="AC304" s="618"/>
      <c r="AD304" s="618"/>
      <c r="AE304" s="618"/>
      <c r="AF304" s="618"/>
      <c r="AG304" s="618"/>
      <c r="AH304" s="618"/>
      <c r="AI304" s="618"/>
      <c r="AJ304" s="618"/>
      <c r="AK304" s="618"/>
      <c r="AL304" s="4"/>
      <c r="AM304" s="1"/>
      <c r="AN304" s="3"/>
      <c r="AO304" s="3"/>
      <c r="AP304" s="3"/>
      <c r="AQ304" s="3"/>
      <c r="AR304" s="3"/>
      <c r="AS304" s="3"/>
      <c r="AT304" s="3"/>
      <c r="AU304" s="3"/>
      <c r="AV304" s="3"/>
      <c r="AW304" s="3"/>
      <c r="AX304" s="3"/>
      <c r="AY304" s="3"/>
      <c r="AZ304" s="3"/>
      <c r="BA304" s="3"/>
      <c r="BB304" s="3"/>
      <c r="BC304" s="3"/>
      <c r="BD304" s="3"/>
      <c r="BE304" s="3"/>
    </row>
    <row r="305" spans="1:57" ht="15.75" customHeight="1" x14ac:dyDescent="0.45">
      <c r="A305" s="618"/>
      <c r="B305" s="618"/>
      <c r="C305" s="618"/>
      <c r="D305" s="198" t="s">
        <v>151</v>
      </c>
      <c r="E305" s="202">
        <f>(G305*I305*K305*M305*O305)/(I306*K306*M306*O306)</f>
        <v>5.8065553845323302E-3</v>
      </c>
      <c r="F305" s="200" t="s">
        <v>152</v>
      </c>
      <c r="G305" s="16">
        <v>1</v>
      </c>
      <c r="H305" s="201" t="s">
        <v>140</v>
      </c>
      <c r="I305" s="16">
        <v>1000</v>
      </c>
      <c r="J305" s="6" t="s">
        <v>150</v>
      </c>
      <c r="K305" s="16">
        <v>1</v>
      </c>
      <c r="L305" s="6" t="s">
        <v>153</v>
      </c>
      <c r="M305" s="203">
        <v>41.84</v>
      </c>
      <c r="N305" s="6" t="s">
        <v>154</v>
      </c>
      <c r="O305" s="16">
        <v>1</v>
      </c>
      <c r="P305" s="6" t="s">
        <v>152</v>
      </c>
      <c r="Q305" s="618"/>
      <c r="R305" s="618"/>
      <c r="S305" s="618"/>
      <c r="T305" s="618"/>
      <c r="U305" s="618"/>
      <c r="V305" s="618"/>
      <c r="W305" s="618"/>
      <c r="X305" s="618"/>
      <c r="Y305" s="618"/>
      <c r="Z305" s="618"/>
      <c r="AA305" s="618"/>
      <c r="AB305" s="618"/>
      <c r="AC305" s="618"/>
      <c r="AD305" s="618"/>
      <c r="AE305" s="618"/>
      <c r="AF305" s="618"/>
      <c r="AG305" s="618"/>
      <c r="AH305" s="618"/>
      <c r="AI305" s="618"/>
      <c r="AJ305" s="618"/>
      <c r="AK305" s="618"/>
      <c r="AL305" s="4"/>
      <c r="AM305" s="1"/>
      <c r="AN305" s="3"/>
      <c r="AO305" s="3"/>
      <c r="AP305" s="3"/>
      <c r="AQ305" s="3"/>
      <c r="AR305" s="3"/>
      <c r="AS305" s="3"/>
      <c r="AT305" s="3"/>
      <c r="AU305" s="3"/>
      <c r="AV305" s="3"/>
      <c r="AW305" s="3"/>
      <c r="AX305" s="3"/>
      <c r="AY305" s="3"/>
      <c r="AZ305" s="3"/>
      <c r="BA305" s="3"/>
      <c r="BB305" s="3"/>
      <c r="BC305" s="3"/>
      <c r="BD305" s="3"/>
      <c r="BE305" s="3"/>
    </row>
    <row r="306" spans="1:57" ht="14.25" customHeight="1" x14ac:dyDescent="0.45">
      <c r="A306" s="618"/>
      <c r="B306" s="618"/>
      <c r="C306" s="618"/>
      <c r="D306" s="5"/>
      <c r="E306" s="3"/>
      <c r="F306" s="3"/>
      <c r="G306" s="3"/>
      <c r="H306" s="3"/>
      <c r="I306" s="16">
        <v>1</v>
      </c>
      <c r="J306" s="6" t="s">
        <v>140</v>
      </c>
      <c r="K306" s="204">
        <v>7.2056490000000002</v>
      </c>
      <c r="L306" s="6" t="s">
        <v>150</v>
      </c>
      <c r="M306" s="16">
        <v>1000</v>
      </c>
      <c r="N306" s="6" t="s">
        <v>153</v>
      </c>
      <c r="O306" s="16">
        <v>1000</v>
      </c>
      <c r="P306" s="6" t="s">
        <v>154</v>
      </c>
      <c r="Q306" s="618"/>
      <c r="R306" s="618"/>
      <c r="S306" s="618"/>
      <c r="T306" s="618"/>
      <c r="U306" s="618"/>
      <c r="V306" s="618"/>
      <c r="W306" s="618"/>
      <c r="X306" s="618"/>
      <c r="Y306" s="618"/>
      <c r="Z306" s="618"/>
      <c r="AA306" s="618"/>
      <c r="AB306" s="618"/>
      <c r="AC306" s="618"/>
      <c r="AD306" s="618"/>
      <c r="AE306" s="618"/>
      <c r="AF306" s="618"/>
      <c r="AG306" s="618"/>
      <c r="AH306" s="618"/>
      <c r="AI306" s="618"/>
      <c r="AJ306" s="618"/>
      <c r="AK306" s="618"/>
      <c r="AL306" s="4"/>
      <c r="AM306" s="1"/>
      <c r="AN306" s="3"/>
      <c r="AO306" s="3"/>
      <c r="AP306" s="3"/>
      <c r="AQ306" s="3"/>
      <c r="AR306" s="3"/>
      <c r="AS306" s="3"/>
      <c r="AT306" s="3"/>
      <c r="AU306" s="3"/>
      <c r="AV306" s="3"/>
      <c r="AW306" s="3"/>
      <c r="AX306" s="3"/>
      <c r="AY306" s="3"/>
      <c r="AZ306" s="3"/>
      <c r="BA306" s="3"/>
      <c r="BB306" s="3"/>
      <c r="BC306" s="3"/>
      <c r="BD306" s="3"/>
      <c r="BE306" s="3"/>
    </row>
    <row r="307" spans="1:57" ht="14.25" customHeight="1" x14ac:dyDescent="0.4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18"/>
      <c r="AN307" s="19"/>
      <c r="AO307" s="19"/>
      <c r="AP307" s="19"/>
      <c r="AQ307" s="19"/>
      <c r="AR307" s="19"/>
      <c r="AS307" s="19"/>
      <c r="AT307" s="19"/>
      <c r="AU307" s="3"/>
      <c r="AV307" s="3"/>
      <c r="AW307" s="3"/>
      <c r="AX307" s="3"/>
      <c r="AY307" s="3"/>
      <c r="AZ307" s="3"/>
      <c r="BA307" s="3"/>
      <c r="BB307" s="3"/>
      <c r="BC307" s="3"/>
      <c r="BD307" s="3"/>
      <c r="BE307" s="3"/>
    </row>
    <row r="308" spans="1:57" ht="14.25" customHeight="1" x14ac:dyDescent="0.45">
      <c r="A308" s="618"/>
      <c r="B308" s="618"/>
      <c r="C308" s="7"/>
      <c r="D308" s="157"/>
      <c r="E308" s="205">
        <v>0.99</v>
      </c>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5"/>
      <c r="AL308" s="4"/>
      <c r="AM308" s="1"/>
      <c r="AN308" s="3"/>
      <c r="AO308" s="3"/>
      <c r="AP308" s="3"/>
      <c r="AQ308" s="3"/>
      <c r="AR308" s="3"/>
      <c r="AS308" s="3"/>
      <c r="AT308" s="3"/>
      <c r="AU308" s="3"/>
      <c r="AV308" s="3"/>
      <c r="AW308" s="3"/>
      <c r="AX308" s="3"/>
      <c r="AY308" s="3"/>
      <c r="AZ308" s="3"/>
      <c r="BA308" s="3"/>
      <c r="BB308" s="3"/>
      <c r="BC308" s="3"/>
      <c r="BD308" s="3"/>
      <c r="BE308" s="3"/>
    </row>
    <row r="309" spans="1:57" ht="14.25" customHeight="1" x14ac:dyDescent="0.45">
      <c r="A309" s="4"/>
      <c r="B309" s="4"/>
      <c r="C309" s="160"/>
      <c r="D309" s="111" t="s">
        <v>155</v>
      </c>
      <c r="E309" s="123">
        <v>2018</v>
      </c>
      <c r="F309" s="123">
        <v>2019</v>
      </c>
      <c r="G309" s="123">
        <v>2020</v>
      </c>
      <c r="H309" s="123">
        <v>2021</v>
      </c>
      <c r="I309" s="141">
        <v>2022</v>
      </c>
      <c r="J309" s="141">
        <v>2023</v>
      </c>
      <c r="K309" s="141">
        <v>2024</v>
      </c>
      <c r="L309" s="141">
        <v>2025</v>
      </c>
      <c r="M309" s="141">
        <v>2026</v>
      </c>
      <c r="N309" s="141">
        <v>2027</v>
      </c>
      <c r="O309" s="141">
        <v>2028</v>
      </c>
      <c r="P309" s="141">
        <v>2029</v>
      </c>
      <c r="Q309" s="141">
        <v>2030</v>
      </c>
      <c r="R309" s="141">
        <v>2031</v>
      </c>
      <c r="S309" s="141">
        <v>2032</v>
      </c>
      <c r="T309" s="141">
        <v>2033</v>
      </c>
      <c r="U309" s="141">
        <v>2034</v>
      </c>
      <c r="V309" s="141">
        <v>2035</v>
      </c>
      <c r="W309" s="141">
        <v>2036</v>
      </c>
      <c r="X309" s="141">
        <v>2037</v>
      </c>
      <c r="Y309" s="141">
        <v>2038</v>
      </c>
      <c r="Z309" s="141">
        <v>2039</v>
      </c>
      <c r="AA309" s="141">
        <v>2040</v>
      </c>
      <c r="AB309" s="141">
        <v>2041</v>
      </c>
      <c r="AC309" s="141">
        <v>2042</v>
      </c>
      <c r="AD309" s="141">
        <v>2043</v>
      </c>
      <c r="AE309" s="141">
        <v>2044</v>
      </c>
      <c r="AF309" s="141">
        <v>2045</v>
      </c>
      <c r="AG309" s="141">
        <v>2046</v>
      </c>
      <c r="AH309" s="141">
        <v>2047</v>
      </c>
      <c r="AI309" s="141">
        <v>2048</v>
      </c>
      <c r="AJ309" s="141">
        <v>2049</v>
      </c>
      <c r="AK309" s="142">
        <v>2050</v>
      </c>
      <c r="AL309" s="141">
        <v>2051</v>
      </c>
      <c r="AM309" s="141">
        <v>2052</v>
      </c>
      <c r="AN309" s="141">
        <v>2053</v>
      </c>
      <c r="AO309" s="141">
        <v>2054</v>
      </c>
      <c r="AP309" s="141">
        <v>2055</v>
      </c>
      <c r="AQ309" s="141">
        <v>2056</v>
      </c>
      <c r="AR309" s="141">
        <v>2057</v>
      </c>
      <c r="AS309" s="141">
        <v>2058</v>
      </c>
      <c r="AT309" s="142">
        <v>2059</v>
      </c>
      <c r="AU309" s="141">
        <v>2060</v>
      </c>
      <c r="AV309" s="141">
        <v>2061</v>
      </c>
      <c r="AW309" s="141">
        <v>2062</v>
      </c>
      <c r="AX309" s="141">
        <v>2063</v>
      </c>
      <c r="AY309" s="141">
        <v>2064</v>
      </c>
      <c r="AZ309" s="141">
        <v>2065</v>
      </c>
      <c r="BA309" s="141">
        <v>2066</v>
      </c>
      <c r="BB309" s="141">
        <v>2067</v>
      </c>
      <c r="BC309" s="142">
        <v>2068</v>
      </c>
      <c r="BD309" s="141">
        <v>2069</v>
      </c>
      <c r="BE309" s="141">
        <v>2070</v>
      </c>
    </row>
    <row r="310" spans="1:57" ht="14.25" customHeight="1" x14ac:dyDescent="0.45">
      <c r="A310" s="618">
        <v>1</v>
      </c>
      <c r="B310" s="618"/>
      <c r="C310" s="126"/>
      <c r="D310" s="115" t="s">
        <v>33</v>
      </c>
      <c r="E310" s="116">
        <f t="shared" ref="E310:H311" si="30">$E$308*E23</f>
        <v>1086.8996146133891</v>
      </c>
      <c r="F310" s="116">
        <f t="shared" si="30"/>
        <v>1115.8210078528355</v>
      </c>
      <c r="G310" s="116">
        <f t="shared" si="30"/>
        <v>1010.0919300131517</v>
      </c>
      <c r="H310" s="116">
        <f t="shared" si="30"/>
        <v>993.66942897861531</v>
      </c>
      <c r="I310" s="143">
        <v>872.76</v>
      </c>
      <c r="J310" s="143">
        <v>759.79</v>
      </c>
      <c r="K310" s="143">
        <v>651.80999999999995</v>
      </c>
      <c r="L310" s="143">
        <v>552.47</v>
      </c>
      <c r="M310" s="143">
        <v>345.18</v>
      </c>
      <c r="N310" s="143">
        <v>222.36</v>
      </c>
      <c r="O310" s="143">
        <v>153.80000000000001</v>
      </c>
      <c r="P310" s="143">
        <v>113.81</v>
      </c>
      <c r="Q310" s="143">
        <v>119.15</v>
      </c>
      <c r="R310" s="143">
        <v>129.13999999999999</v>
      </c>
      <c r="S310" s="143">
        <v>139.87</v>
      </c>
      <c r="T310" s="143">
        <v>144.04</v>
      </c>
      <c r="U310" s="143">
        <v>140.61000000000001</v>
      </c>
      <c r="V310" s="143">
        <v>129.91999999999999</v>
      </c>
      <c r="W310" s="143">
        <v>113.76</v>
      </c>
      <c r="X310" s="143">
        <v>99.21</v>
      </c>
      <c r="Y310" s="116">
        <v>0</v>
      </c>
      <c r="Z310" s="116">
        <v>0</v>
      </c>
      <c r="AA310" s="116">
        <v>0</v>
      </c>
      <c r="AB310" s="116">
        <v>0</v>
      </c>
      <c r="AC310" s="116">
        <v>0</v>
      </c>
      <c r="AD310" s="116">
        <v>0</v>
      </c>
      <c r="AE310" s="116">
        <v>0</v>
      </c>
      <c r="AF310" s="116">
        <v>0</v>
      </c>
      <c r="AG310" s="116">
        <v>0</v>
      </c>
      <c r="AH310" s="116">
        <v>0</v>
      </c>
      <c r="AI310" s="116">
        <v>0</v>
      </c>
      <c r="AJ310" s="116">
        <v>0</v>
      </c>
      <c r="AK310" s="117">
        <v>0</v>
      </c>
      <c r="AL310" s="144">
        <v>0</v>
      </c>
      <c r="AM310" s="144">
        <v>0</v>
      </c>
      <c r="AN310" s="144">
        <v>0</v>
      </c>
      <c r="AO310" s="144">
        <v>0</v>
      </c>
      <c r="AP310" s="144">
        <v>0</v>
      </c>
      <c r="AQ310" s="144">
        <v>0</v>
      </c>
      <c r="AR310" s="144">
        <v>0</v>
      </c>
      <c r="AS310" s="144">
        <v>0</v>
      </c>
      <c r="AT310" s="144">
        <v>0</v>
      </c>
      <c r="AU310" s="144">
        <v>0</v>
      </c>
      <c r="AV310" s="144">
        <v>0</v>
      </c>
      <c r="AW310" s="144">
        <v>0</v>
      </c>
      <c r="AX310" s="144">
        <v>0</v>
      </c>
      <c r="AY310" s="144">
        <v>0</v>
      </c>
      <c r="AZ310" s="144">
        <v>0</v>
      </c>
      <c r="BA310" s="144">
        <v>0</v>
      </c>
      <c r="BB310" s="144">
        <v>0</v>
      </c>
      <c r="BC310" s="144">
        <v>0</v>
      </c>
      <c r="BD310" s="144">
        <v>0</v>
      </c>
      <c r="BE310" s="144">
        <v>0</v>
      </c>
    </row>
    <row r="311" spans="1:57" ht="14.25" customHeight="1" x14ac:dyDescent="0.45">
      <c r="A311" s="618">
        <v>1</v>
      </c>
      <c r="B311" s="618"/>
      <c r="C311" s="206"/>
      <c r="D311" s="119" t="s">
        <v>23</v>
      </c>
      <c r="E311" s="120">
        <f t="shared" si="30"/>
        <v>52.326907849136063</v>
      </c>
      <c r="F311" s="120">
        <f t="shared" si="30"/>
        <v>49.881231977244354</v>
      </c>
      <c r="G311" s="120">
        <f t="shared" si="30"/>
        <v>44.461651622847093</v>
      </c>
      <c r="H311" s="120">
        <f t="shared" si="30"/>
        <v>44.892019408415948</v>
      </c>
      <c r="I311" s="116">
        <v>36.520000000000003</v>
      </c>
      <c r="J311" s="116">
        <v>33.130000000000003</v>
      </c>
      <c r="K311" s="116">
        <v>29.42</v>
      </c>
      <c r="L311" s="116">
        <v>25.72</v>
      </c>
      <c r="M311" s="116">
        <v>22.33</v>
      </c>
      <c r="N311" s="116">
        <v>19.34</v>
      </c>
      <c r="O311" s="116">
        <v>16.739999999999998</v>
      </c>
      <c r="P311" s="116">
        <v>13.85</v>
      </c>
      <c r="Q311" s="116">
        <v>10.69</v>
      </c>
      <c r="R311" s="116">
        <v>8.93</v>
      </c>
      <c r="S311" s="116">
        <v>7.49</v>
      </c>
      <c r="T311" s="116">
        <v>5.77</v>
      </c>
      <c r="U311" s="116">
        <v>4.16</v>
      </c>
      <c r="V311" s="116">
        <v>1.31</v>
      </c>
      <c r="W311" s="116">
        <v>0</v>
      </c>
      <c r="X311" s="116">
        <v>0</v>
      </c>
      <c r="Y311" s="116">
        <v>0</v>
      </c>
      <c r="Z311" s="116">
        <v>0</v>
      </c>
      <c r="AA311" s="116">
        <v>0</v>
      </c>
      <c r="AB311" s="116">
        <v>0</v>
      </c>
      <c r="AC311" s="116">
        <v>0</v>
      </c>
      <c r="AD311" s="116">
        <v>0</v>
      </c>
      <c r="AE311" s="116">
        <v>0</v>
      </c>
      <c r="AF311" s="116">
        <v>0</v>
      </c>
      <c r="AG311" s="116">
        <v>0</v>
      </c>
      <c r="AH311" s="116">
        <v>0</v>
      </c>
      <c r="AI311" s="116">
        <v>0</v>
      </c>
      <c r="AJ311" s="116">
        <v>0</v>
      </c>
      <c r="AK311" s="117">
        <v>0</v>
      </c>
      <c r="AL311" s="144">
        <v>0</v>
      </c>
      <c r="AM311" s="144">
        <v>0</v>
      </c>
      <c r="AN311" s="144">
        <v>0</v>
      </c>
      <c r="AO311" s="144">
        <v>0</v>
      </c>
      <c r="AP311" s="144">
        <v>0</v>
      </c>
      <c r="AQ311" s="144">
        <v>0</v>
      </c>
      <c r="AR311" s="144">
        <v>0</v>
      </c>
      <c r="AS311" s="144">
        <v>0</v>
      </c>
      <c r="AT311" s="144">
        <v>0</v>
      </c>
      <c r="AU311" s="144">
        <v>0</v>
      </c>
      <c r="AV311" s="144">
        <v>0</v>
      </c>
      <c r="AW311" s="144">
        <v>0</v>
      </c>
      <c r="AX311" s="144">
        <v>0</v>
      </c>
      <c r="AY311" s="144">
        <v>0</v>
      </c>
      <c r="AZ311" s="144">
        <v>0</v>
      </c>
      <c r="BA311" s="144">
        <v>0</v>
      </c>
      <c r="BB311" s="144">
        <v>0</v>
      </c>
      <c r="BC311" s="144">
        <v>0</v>
      </c>
      <c r="BD311" s="144">
        <v>0</v>
      </c>
      <c r="BE311" s="144">
        <v>0</v>
      </c>
    </row>
    <row r="312" spans="1:57" ht="14.25" customHeight="1" x14ac:dyDescent="0.45">
      <c r="A312" s="618"/>
      <c r="B312" s="618"/>
      <c r="C312" s="618"/>
      <c r="D312" s="618"/>
      <c r="E312" s="618"/>
      <c r="F312" s="618"/>
      <c r="G312" s="618"/>
      <c r="H312" s="618"/>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4"/>
      <c r="AM312" s="1"/>
      <c r="AN312" s="3"/>
      <c r="AO312" s="3"/>
      <c r="AP312" s="3"/>
      <c r="AQ312" s="3"/>
      <c r="AR312" s="3"/>
      <c r="AS312" s="3"/>
      <c r="AT312" s="3"/>
      <c r="AU312" s="3"/>
      <c r="AV312" s="3"/>
      <c r="AW312" s="3"/>
      <c r="AX312" s="3"/>
      <c r="AY312" s="3"/>
      <c r="AZ312" s="3"/>
      <c r="BA312" s="3"/>
      <c r="BB312" s="3"/>
      <c r="BC312" s="3"/>
      <c r="BD312" s="3"/>
      <c r="BE312" s="3"/>
    </row>
    <row r="313" spans="1:57" ht="14.25" customHeight="1" x14ac:dyDescent="0.45">
      <c r="A313" s="618"/>
      <c r="B313" s="618"/>
      <c r="C313" s="7"/>
      <c r="D313" s="157"/>
      <c r="E313" s="151">
        <v>0.99</v>
      </c>
      <c r="F313" s="104"/>
      <c r="G313" s="104"/>
      <c r="H313" s="104"/>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2"/>
      <c r="AL313" s="4"/>
      <c r="AM313" s="1"/>
      <c r="AN313" s="3"/>
      <c r="AO313" s="3"/>
      <c r="AP313" s="3"/>
      <c r="AQ313" s="3"/>
      <c r="AR313" s="3"/>
      <c r="AS313" s="3"/>
      <c r="AT313" s="3"/>
      <c r="AU313" s="3"/>
      <c r="AV313" s="3"/>
      <c r="AW313" s="3"/>
      <c r="AX313" s="3"/>
      <c r="AY313" s="3"/>
      <c r="AZ313" s="3"/>
      <c r="BA313" s="3"/>
      <c r="BB313" s="3"/>
      <c r="BC313" s="3"/>
      <c r="BD313" s="3"/>
      <c r="BE313" s="3"/>
    </row>
    <row r="314" spans="1:57" ht="14.25" customHeight="1" x14ac:dyDescent="0.45">
      <c r="A314" s="4"/>
      <c r="B314" s="4"/>
      <c r="C314" s="160"/>
      <c r="D314" s="111" t="s">
        <v>156</v>
      </c>
      <c r="E314" s="123">
        <v>2018</v>
      </c>
      <c r="F314" s="123">
        <v>2019</v>
      </c>
      <c r="G314" s="123">
        <v>2020</v>
      </c>
      <c r="H314" s="123">
        <v>2021</v>
      </c>
      <c r="I314" s="141">
        <v>2022</v>
      </c>
      <c r="J314" s="141">
        <v>2023</v>
      </c>
      <c r="K314" s="141">
        <v>2024</v>
      </c>
      <c r="L314" s="141">
        <v>2025</v>
      </c>
      <c r="M314" s="141">
        <v>2026</v>
      </c>
      <c r="N314" s="141">
        <v>2027</v>
      </c>
      <c r="O314" s="141">
        <v>2028</v>
      </c>
      <c r="P314" s="141">
        <v>2029</v>
      </c>
      <c r="Q314" s="141">
        <v>2030</v>
      </c>
      <c r="R314" s="141">
        <v>2031</v>
      </c>
      <c r="S314" s="141">
        <v>2032</v>
      </c>
      <c r="T314" s="141">
        <v>2033</v>
      </c>
      <c r="U314" s="141">
        <v>2034</v>
      </c>
      <c r="V314" s="141">
        <v>2035</v>
      </c>
      <c r="W314" s="141">
        <v>2036</v>
      </c>
      <c r="X314" s="141">
        <v>2037</v>
      </c>
      <c r="Y314" s="141">
        <v>2038</v>
      </c>
      <c r="Z314" s="141">
        <v>2039</v>
      </c>
      <c r="AA314" s="141">
        <v>2040</v>
      </c>
      <c r="AB314" s="141">
        <v>2041</v>
      </c>
      <c r="AC314" s="141">
        <v>2042</v>
      </c>
      <c r="AD314" s="141">
        <v>2043</v>
      </c>
      <c r="AE314" s="141">
        <v>2044</v>
      </c>
      <c r="AF314" s="141">
        <v>2045</v>
      </c>
      <c r="AG314" s="141">
        <v>2046</v>
      </c>
      <c r="AH314" s="141">
        <v>2047</v>
      </c>
      <c r="AI314" s="141">
        <v>2048</v>
      </c>
      <c r="AJ314" s="141">
        <v>2049</v>
      </c>
      <c r="AK314" s="142">
        <v>2050</v>
      </c>
      <c r="AL314" s="141">
        <v>2051</v>
      </c>
      <c r="AM314" s="141">
        <v>2052</v>
      </c>
      <c r="AN314" s="141">
        <v>2053</v>
      </c>
      <c r="AO314" s="141">
        <v>2054</v>
      </c>
      <c r="AP314" s="141">
        <v>2055</v>
      </c>
      <c r="AQ314" s="141">
        <v>2056</v>
      </c>
      <c r="AR314" s="141">
        <v>2057</v>
      </c>
      <c r="AS314" s="141">
        <v>2058</v>
      </c>
      <c r="AT314" s="142">
        <v>2059</v>
      </c>
      <c r="AU314" s="141">
        <v>2060</v>
      </c>
      <c r="AV314" s="141">
        <v>2061</v>
      </c>
      <c r="AW314" s="141">
        <v>2062</v>
      </c>
      <c r="AX314" s="141">
        <v>2063</v>
      </c>
      <c r="AY314" s="141">
        <v>2064</v>
      </c>
      <c r="AZ314" s="141">
        <v>2065</v>
      </c>
      <c r="BA314" s="141">
        <v>2066</v>
      </c>
      <c r="BB314" s="141">
        <v>2067</v>
      </c>
      <c r="BC314" s="142">
        <v>2068</v>
      </c>
      <c r="BD314" s="141">
        <v>2069</v>
      </c>
      <c r="BE314" s="141">
        <v>2070</v>
      </c>
    </row>
    <row r="315" spans="1:57" ht="14.25" customHeight="1" x14ac:dyDescent="0.45">
      <c r="A315" s="618">
        <v>1</v>
      </c>
      <c r="B315" s="618"/>
      <c r="C315" s="126"/>
      <c r="D315" s="115" t="s">
        <v>33</v>
      </c>
      <c r="E315" s="116">
        <f>$E$313*E23</f>
        <v>1086.8996146133891</v>
      </c>
      <c r="F315" s="116">
        <f>$E$313*F23</f>
        <v>1115.8210078528355</v>
      </c>
      <c r="G315" s="116">
        <f>$E$313*G23</f>
        <v>1010.0919300131517</v>
      </c>
      <c r="H315" s="116">
        <f>$E$313*H23</f>
        <v>993.66942897861531</v>
      </c>
      <c r="I315" s="143">
        <v>872.76</v>
      </c>
      <c r="J315" s="143">
        <v>759.79</v>
      </c>
      <c r="K315" s="143">
        <v>651.80999999999995</v>
      </c>
      <c r="L315" s="143">
        <v>552.47</v>
      </c>
      <c r="M315" s="143">
        <v>345.18</v>
      </c>
      <c r="N315" s="143">
        <v>222.36</v>
      </c>
      <c r="O315" s="143">
        <v>153.80000000000001</v>
      </c>
      <c r="P315" s="143">
        <v>113.81</v>
      </c>
      <c r="Q315" s="143">
        <v>119.15</v>
      </c>
      <c r="R315" s="143">
        <v>129.13999999999999</v>
      </c>
      <c r="S315" s="143">
        <v>139.87</v>
      </c>
      <c r="T315" s="143">
        <v>144.04</v>
      </c>
      <c r="U315" s="143">
        <v>140.61000000000001</v>
      </c>
      <c r="V315" s="143">
        <v>129.91999999999999</v>
      </c>
      <c r="W315" s="143">
        <v>113.76</v>
      </c>
      <c r="X315" s="143">
        <v>99.21</v>
      </c>
      <c r="Y315" s="116">
        <v>0</v>
      </c>
      <c r="Z315" s="116">
        <v>0</v>
      </c>
      <c r="AA315" s="116">
        <v>0</v>
      </c>
      <c r="AB315" s="116">
        <v>0</v>
      </c>
      <c r="AC315" s="116">
        <v>0</v>
      </c>
      <c r="AD315" s="116">
        <v>0</v>
      </c>
      <c r="AE315" s="116">
        <v>0</v>
      </c>
      <c r="AF315" s="116">
        <v>0</v>
      </c>
      <c r="AG315" s="116">
        <v>0</v>
      </c>
      <c r="AH315" s="116">
        <v>0</v>
      </c>
      <c r="AI315" s="116">
        <v>0</v>
      </c>
      <c r="AJ315" s="116">
        <v>0</v>
      </c>
      <c r="AK315" s="117">
        <v>0</v>
      </c>
      <c r="AL315" s="144">
        <v>0</v>
      </c>
      <c r="AM315" s="144">
        <v>0</v>
      </c>
      <c r="AN315" s="144">
        <v>0</v>
      </c>
      <c r="AO315" s="144">
        <v>0</v>
      </c>
      <c r="AP315" s="144">
        <v>0</v>
      </c>
      <c r="AQ315" s="144">
        <v>0</v>
      </c>
      <c r="AR315" s="144">
        <v>0</v>
      </c>
      <c r="AS315" s="144">
        <v>0</v>
      </c>
      <c r="AT315" s="144">
        <v>0</v>
      </c>
      <c r="AU315" s="144">
        <v>0</v>
      </c>
      <c r="AV315" s="144">
        <v>0</v>
      </c>
      <c r="AW315" s="144">
        <v>0</v>
      </c>
      <c r="AX315" s="144">
        <v>0</v>
      </c>
      <c r="AY315" s="144">
        <v>0</v>
      </c>
      <c r="AZ315" s="144">
        <v>0</v>
      </c>
      <c r="BA315" s="144">
        <v>0</v>
      </c>
      <c r="BB315" s="144">
        <v>0</v>
      </c>
      <c r="BC315" s="144">
        <v>0</v>
      </c>
      <c r="BD315" s="144">
        <v>0</v>
      </c>
      <c r="BE315" s="144">
        <v>0</v>
      </c>
    </row>
    <row r="316" spans="1:57" ht="14.25" customHeight="1" x14ac:dyDescent="0.45">
      <c r="A316" s="618">
        <v>1</v>
      </c>
      <c r="B316" s="618"/>
      <c r="C316" s="126"/>
      <c r="D316" s="115" t="s">
        <v>23</v>
      </c>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7"/>
      <c r="AL316" s="4"/>
      <c r="AM316" s="1"/>
      <c r="AN316" s="3"/>
      <c r="AO316" s="3"/>
      <c r="AP316" s="3"/>
      <c r="AQ316" s="3"/>
      <c r="AR316" s="3"/>
      <c r="AS316" s="3"/>
      <c r="AT316" s="3"/>
      <c r="AU316" s="3"/>
      <c r="AV316" s="3"/>
      <c r="AW316" s="3"/>
      <c r="AX316" s="3"/>
      <c r="AY316" s="3"/>
      <c r="AZ316" s="3"/>
      <c r="BA316" s="3"/>
      <c r="BB316" s="3"/>
      <c r="BC316" s="3"/>
      <c r="BD316" s="3"/>
      <c r="BE316" s="3"/>
    </row>
    <row r="317" spans="1:57" ht="14.25" customHeight="1" x14ac:dyDescent="0.45">
      <c r="A317" s="618">
        <v>1</v>
      </c>
      <c r="B317" s="618"/>
      <c r="C317" s="126"/>
      <c r="D317" s="115" t="s">
        <v>24</v>
      </c>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207"/>
      <c r="AL317" s="4"/>
      <c r="AM317" s="1"/>
      <c r="AN317" s="3"/>
      <c r="AO317" s="3"/>
      <c r="AP317" s="3"/>
      <c r="AQ317" s="3"/>
      <c r="AR317" s="3"/>
      <c r="AS317" s="3"/>
      <c r="AT317" s="3"/>
      <c r="AU317" s="3"/>
      <c r="AV317" s="3"/>
      <c r="AW317" s="3"/>
      <c r="AX317" s="3"/>
      <c r="AY317" s="3"/>
      <c r="AZ317" s="3"/>
      <c r="BA317" s="3"/>
      <c r="BB317" s="3"/>
      <c r="BC317" s="3"/>
      <c r="BD317" s="3"/>
      <c r="BE317" s="3"/>
    </row>
    <row r="318" spans="1:57" ht="14.25" customHeight="1" x14ac:dyDescent="0.45">
      <c r="A318" s="618"/>
      <c r="B318" s="618"/>
      <c r="C318" s="130"/>
      <c r="D318" s="115" t="s">
        <v>157</v>
      </c>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207"/>
      <c r="AL318" s="4"/>
      <c r="AM318" s="1"/>
      <c r="AN318" s="3"/>
      <c r="AO318" s="3"/>
      <c r="AP318" s="3"/>
      <c r="AQ318" s="3"/>
      <c r="AR318" s="3"/>
      <c r="AS318" s="3"/>
      <c r="AT318" s="3"/>
      <c r="AU318" s="3"/>
      <c r="AV318" s="3"/>
      <c r="AW318" s="3"/>
      <c r="AX318" s="3"/>
      <c r="AY318" s="3"/>
      <c r="AZ318" s="3"/>
      <c r="BA318" s="3"/>
      <c r="BB318" s="3"/>
      <c r="BC318" s="3"/>
      <c r="BD318" s="3"/>
      <c r="BE318" s="3"/>
    </row>
    <row r="319" spans="1:57" ht="15.65" customHeight="1" x14ac:dyDescent="0.45">
      <c r="A319" s="618"/>
      <c r="B319" s="618"/>
      <c r="C319" s="165"/>
      <c r="D319" s="119"/>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c r="AG319" s="120"/>
      <c r="AH319" s="120"/>
      <c r="AI319" s="120"/>
      <c r="AJ319" s="120"/>
      <c r="AK319" s="121"/>
      <c r="AL319" s="4"/>
      <c r="AM319" s="1"/>
      <c r="AN319" s="3"/>
      <c r="AO319" s="3"/>
      <c r="AP319" s="3"/>
      <c r="AQ319" s="3"/>
      <c r="AR319" s="3"/>
      <c r="AS319" s="3"/>
      <c r="AT319" s="3"/>
      <c r="AU319" s="3"/>
      <c r="AV319" s="3"/>
      <c r="AW319" s="3"/>
      <c r="AX319" s="3"/>
      <c r="AY319" s="3"/>
      <c r="AZ319" s="3"/>
      <c r="BA319" s="3"/>
      <c r="BB319" s="3"/>
      <c r="BC319" s="3"/>
      <c r="BD319" s="3"/>
      <c r="BE319" s="3"/>
    </row>
    <row r="320" spans="1:57" ht="14.25" customHeight="1" x14ac:dyDescent="0.45">
      <c r="A320" s="618"/>
      <c r="B320" s="618"/>
      <c r="C320" s="618"/>
      <c r="D320" s="618"/>
      <c r="E320" s="618"/>
      <c r="F320" s="618"/>
      <c r="G320" s="618"/>
      <c r="H320" s="618"/>
      <c r="I320" s="618"/>
      <c r="J320" s="618"/>
      <c r="K320" s="618"/>
      <c r="L320" s="618"/>
      <c r="M320" s="618"/>
      <c r="N320" s="618"/>
      <c r="O320" s="618"/>
      <c r="P320" s="618"/>
      <c r="Q320" s="618"/>
      <c r="R320" s="618"/>
      <c r="S320" s="618"/>
      <c r="T320" s="618"/>
      <c r="U320" s="618"/>
      <c r="V320" s="618"/>
      <c r="W320" s="618"/>
      <c r="X320" s="618"/>
      <c r="Y320" s="618"/>
      <c r="Z320" s="618"/>
      <c r="AA320" s="618"/>
      <c r="AB320" s="618"/>
      <c r="AC320" s="618"/>
      <c r="AD320" s="618"/>
      <c r="AE320" s="618"/>
      <c r="AF320" s="618"/>
      <c r="AG320" s="618"/>
      <c r="AH320" s="618"/>
      <c r="AI320" s="618"/>
      <c r="AJ320" s="618"/>
      <c r="AK320" s="618"/>
      <c r="AL320" s="4"/>
      <c r="AM320" s="1"/>
      <c r="AN320" s="3"/>
      <c r="AO320" s="3"/>
      <c r="AP320" s="3"/>
      <c r="AQ320" s="3"/>
      <c r="AR320" s="3"/>
      <c r="AS320" s="3"/>
      <c r="AT320" s="3"/>
      <c r="AU320" s="3"/>
      <c r="AV320" s="3"/>
      <c r="AW320" s="3"/>
      <c r="AX320" s="3"/>
      <c r="AY320" s="3"/>
      <c r="AZ320" s="3"/>
      <c r="BA320" s="3"/>
      <c r="BB320" s="3"/>
      <c r="BC320" s="3"/>
      <c r="BD320" s="3"/>
      <c r="BE320" s="3"/>
    </row>
    <row r="321" spans="1:58" ht="14.25" customHeight="1" x14ac:dyDescent="0.45">
      <c r="A321" s="4"/>
      <c r="B321" s="4"/>
      <c r="C321" s="8"/>
      <c r="D321" s="122" t="s">
        <v>158</v>
      </c>
      <c r="E321" s="151"/>
      <c r="F321" s="151"/>
      <c r="G321" s="151"/>
      <c r="H321" s="151"/>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5"/>
      <c r="AL321" s="4"/>
      <c r="AM321" s="1"/>
      <c r="AN321" s="3"/>
      <c r="AO321" s="3"/>
      <c r="AP321" s="3"/>
      <c r="AQ321" s="3"/>
      <c r="AR321" s="3"/>
      <c r="AS321" s="3"/>
      <c r="AT321" s="3"/>
      <c r="AU321" s="3"/>
      <c r="AV321" s="3"/>
      <c r="AW321" s="3"/>
      <c r="AX321" s="3"/>
      <c r="AY321" s="3"/>
      <c r="AZ321" s="3"/>
      <c r="BA321" s="3"/>
      <c r="BB321" s="3"/>
      <c r="BC321" s="3"/>
      <c r="BD321" s="3"/>
      <c r="BE321" s="3"/>
    </row>
    <row r="322" spans="1:58" ht="14.25" customHeight="1" x14ac:dyDescent="0.45">
      <c r="A322" s="618"/>
      <c r="B322" s="618"/>
      <c r="C322" s="106"/>
      <c r="D322" s="111">
        <v>0.99</v>
      </c>
      <c r="E322" s="123">
        <v>2018</v>
      </c>
      <c r="F322" s="123">
        <v>2019</v>
      </c>
      <c r="G322" s="123">
        <v>2020</v>
      </c>
      <c r="H322" s="123">
        <v>2021</v>
      </c>
      <c r="I322" s="141">
        <v>2022</v>
      </c>
      <c r="J322" s="141">
        <v>2023</v>
      </c>
      <c r="K322" s="141">
        <v>2024</v>
      </c>
      <c r="L322" s="141">
        <v>2025</v>
      </c>
      <c r="M322" s="141">
        <v>2026</v>
      </c>
      <c r="N322" s="141">
        <v>2027</v>
      </c>
      <c r="O322" s="141">
        <v>2028</v>
      </c>
      <c r="P322" s="141">
        <v>2029</v>
      </c>
      <c r="Q322" s="141">
        <v>2030</v>
      </c>
      <c r="R322" s="141">
        <v>2031</v>
      </c>
      <c r="S322" s="141">
        <v>2032</v>
      </c>
      <c r="T322" s="141">
        <v>2033</v>
      </c>
      <c r="U322" s="141">
        <v>2034</v>
      </c>
      <c r="V322" s="141">
        <v>2035</v>
      </c>
      <c r="W322" s="141">
        <v>2036</v>
      </c>
      <c r="X322" s="141">
        <v>2037</v>
      </c>
      <c r="Y322" s="141">
        <v>2038</v>
      </c>
      <c r="Z322" s="141">
        <v>2039</v>
      </c>
      <c r="AA322" s="141">
        <v>2040</v>
      </c>
      <c r="AB322" s="141">
        <v>2041</v>
      </c>
      <c r="AC322" s="141">
        <v>2042</v>
      </c>
      <c r="AD322" s="141">
        <v>2043</v>
      </c>
      <c r="AE322" s="141">
        <v>2044</v>
      </c>
      <c r="AF322" s="141">
        <v>2045</v>
      </c>
      <c r="AG322" s="141">
        <v>2046</v>
      </c>
      <c r="AH322" s="141">
        <v>2047</v>
      </c>
      <c r="AI322" s="141">
        <v>2048</v>
      </c>
      <c r="AJ322" s="141">
        <v>2049</v>
      </c>
      <c r="AK322" s="142">
        <v>2050</v>
      </c>
      <c r="AL322" s="141">
        <v>2051</v>
      </c>
      <c r="AM322" s="141">
        <v>2052</v>
      </c>
      <c r="AN322" s="141">
        <v>2053</v>
      </c>
      <c r="AO322" s="141">
        <v>2054</v>
      </c>
      <c r="AP322" s="141">
        <v>2055</v>
      </c>
      <c r="AQ322" s="141">
        <v>2056</v>
      </c>
      <c r="AR322" s="141">
        <v>2057</v>
      </c>
      <c r="AS322" s="141">
        <v>2058</v>
      </c>
      <c r="AT322" s="142">
        <v>2059</v>
      </c>
      <c r="AU322" s="141">
        <v>2060</v>
      </c>
      <c r="AV322" s="141">
        <v>2061</v>
      </c>
      <c r="AW322" s="141">
        <v>2062</v>
      </c>
      <c r="AX322" s="141">
        <v>2063</v>
      </c>
      <c r="AY322" s="141">
        <v>2064</v>
      </c>
      <c r="AZ322" s="141">
        <v>2065</v>
      </c>
      <c r="BA322" s="141">
        <v>2066</v>
      </c>
      <c r="BB322" s="141">
        <v>2067</v>
      </c>
      <c r="BC322" s="142">
        <v>2068</v>
      </c>
      <c r="BD322" s="141">
        <v>2069</v>
      </c>
      <c r="BE322" s="141">
        <v>2070</v>
      </c>
    </row>
    <row r="323" spans="1:58" ht="14.25" customHeight="1" x14ac:dyDescent="0.45">
      <c r="A323" s="618">
        <v>1</v>
      </c>
      <c r="B323" s="618"/>
      <c r="C323" s="130"/>
      <c r="D323" s="115" t="s">
        <v>49</v>
      </c>
      <c r="E323" s="132">
        <f t="shared" ref="E323:H330" si="31">(SUMIF($D$77:$D$113,$D323,E$77:E$113))*$D$322</f>
        <v>78.479838042735665</v>
      </c>
      <c r="F323" s="132">
        <f t="shared" si="31"/>
        <v>75.076616114750649</v>
      </c>
      <c r="G323" s="132">
        <f t="shared" si="31"/>
        <v>56.489906062720166</v>
      </c>
      <c r="H323" s="132">
        <f t="shared" si="31"/>
        <v>72.408770209500119</v>
      </c>
      <c r="I323" s="132">
        <v>78.479799999999997</v>
      </c>
      <c r="J323" s="132">
        <v>78.479799999999997</v>
      </c>
      <c r="K323" s="132">
        <v>78.479799999999997</v>
      </c>
      <c r="L323" s="132">
        <v>78.479799999999997</v>
      </c>
      <c r="M323" s="132">
        <v>78.479799999999997</v>
      </c>
      <c r="N323" s="132">
        <v>78.479799999999997</v>
      </c>
      <c r="O323" s="132">
        <v>78.479799999999997</v>
      </c>
      <c r="P323" s="132">
        <v>78.479799999999997</v>
      </c>
      <c r="Q323" s="132">
        <v>78.479799999999997</v>
      </c>
      <c r="R323" s="132">
        <v>78.479799999999997</v>
      </c>
      <c r="S323" s="132">
        <v>78.479799999999997</v>
      </c>
      <c r="T323" s="132">
        <v>78.479799999999997</v>
      </c>
      <c r="U323" s="132">
        <v>78.479799999999997</v>
      </c>
      <c r="V323" s="132">
        <v>78.479799999999997</v>
      </c>
      <c r="W323" s="132">
        <v>78.479799999999997</v>
      </c>
      <c r="X323" s="132">
        <v>78.479799999999997</v>
      </c>
      <c r="Y323" s="132">
        <v>78.479799999999997</v>
      </c>
      <c r="Z323" s="132">
        <v>78.479799999999997</v>
      </c>
      <c r="AA323" s="132">
        <v>78.479799999999997</v>
      </c>
      <c r="AB323" s="132">
        <v>78.479799999999997</v>
      </c>
      <c r="AC323" s="132">
        <v>78.479799999999997</v>
      </c>
      <c r="AD323" s="132">
        <v>78.479799999999997</v>
      </c>
      <c r="AE323" s="132">
        <v>78.479799999999997</v>
      </c>
      <c r="AF323" s="132">
        <v>78.479799999999997</v>
      </c>
      <c r="AG323" s="132">
        <v>78.479799999999997</v>
      </c>
      <c r="AH323" s="132">
        <v>78.479799999999997</v>
      </c>
      <c r="AI323" s="132">
        <v>78.479799999999997</v>
      </c>
      <c r="AJ323" s="132">
        <v>78.479799999999997</v>
      </c>
      <c r="AK323" s="134">
        <v>78.479799999999997</v>
      </c>
      <c r="AL323" s="178">
        <f t="shared" ref="AL323:BE323" si="32">AK323</f>
        <v>78.479799999999997</v>
      </c>
      <c r="AM323" s="178">
        <f t="shared" si="32"/>
        <v>78.479799999999997</v>
      </c>
      <c r="AN323" s="178">
        <f t="shared" si="32"/>
        <v>78.479799999999997</v>
      </c>
      <c r="AO323" s="178">
        <f t="shared" si="32"/>
        <v>78.479799999999997</v>
      </c>
      <c r="AP323" s="178">
        <f t="shared" si="32"/>
        <v>78.479799999999997</v>
      </c>
      <c r="AQ323" s="178">
        <f t="shared" si="32"/>
        <v>78.479799999999997</v>
      </c>
      <c r="AR323" s="178">
        <f t="shared" si="32"/>
        <v>78.479799999999997</v>
      </c>
      <c r="AS323" s="178">
        <f t="shared" si="32"/>
        <v>78.479799999999997</v>
      </c>
      <c r="AT323" s="178">
        <f t="shared" si="32"/>
        <v>78.479799999999997</v>
      </c>
      <c r="AU323" s="178">
        <f t="shared" si="32"/>
        <v>78.479799999999997</v>
      </c>
      <c r="AV323" s="178">
        <f t="shared" si="32"/>
        <v>78.479799999999997</v>
      </c>
      <c r="AW323" s="178">
        <f t="shared" si="32"/>
        <v>78.479799999999997</v>
      </c>
      <c r="AX323" s="178">
        <f t="shared" si="32"/>
        <v>78.479799999999997</v>
      </c>
      <c r="AY323" s="178">
        <f t="shared" si="32"/>
        <v>78.479799999999997</v>
      </c>
      <c r="AZ323" s="178">
        <f t="shared" si="32"/>
        <v>78.479799999999997</v>
      </c>
      <c r="BA323" s="178">
        <f t="shared" si="32"/>
        <v>78.479799999999997</v>
      </c>
      <c r="BB323" s="178">
        <f t="shared" si="32"/>
        <v>78.479799999999997</v>
      </c>
      <c r="BC323" s="178">
        <f t="shared" si="32"/>
        <v>78.479799999999997</v>
      </c>
      <c r="BD323" s="178">
        <f t="shared" si="32"/>
        <v>78.479799999999997</v>
      </c>
      <c r="BE323" s="178">
        <f t="shared" si="32"/>
        <v>78.479799999999997</v>
      </c>
    </row>
    <row r="324" spans="1:58" ht="14.25" customHeight="1" x14ac:dyDescent="0.45">
      <c r="A324" s="618">
        <v>1</v>
      </c>
      <c r="B324" s="618"/>
      <c r="C324" s="130"/>
      <c r="D324" s="115" t="s">
        <v>50</v>
      </c>
      <c r="E324" s="132">
        <f t="shared" si="31"/>
        <v>65.34536076174129</v>
      </c>
      <c r="F324" s="132">
        <f t="shared" si="31"/>
        <v>60.206725319519393</v>
      </c>
      <c r="G324" s="132">
        <f t="shared" si="31"/>
        <v>46.159875620186313</v>
      </c>
      <c r="H324" s="132">
        <f t="shared" si="31"/>
        <v>53.309575538574322</v>
      </c>
      <c r="I324" s="132">
        <v>65.345399999999998</v>
      </c>
      <c r="J324" s="132">
        <v>65.345399999999998</v>
      </c>
      <c r="K324" s="132">
        <v>65.345399999999998</v>
      </c>
      <c r="L324" s="132">
        <v>65.345399999999998</v>
      </c>
      <c r="M324" s="132">
        <v>65.345399999999998</v>
      </c>
      <c r="N324" s="132">
        <v>65.345399999999998</v>
      </c>
      <c r="O324" s="132">
        <v>65.345399999999998</v>
      </c>
      <c r="P324" s="132">
        <v>65.345399999999998</v>
      </c>
      <c r="Q324" s="132">
        <v>65.345399999999998</v>
      </c>
      <c r="R324" s="132">
        <v>65.345399999999998</v>
      </c>
      <c r="S324" s="132">
        <v>65.345399999999998</v>
      </c>
      <c r="T324" s="132">
        <v>65.345399999999998</v>
      </c>
      <c r="U324" s="132">
        <v>65.345399999999998</v>
      </c>
      <c r="V324" s="132">
        <v>65.345399999999998</v>
      </c>
      <c r="W324" s="132">
        <v>65.345399999999998</v>
      </c>
      <c r="X324" s="132">
        <v>65.345399999999998</v>
      </c>
      <c r="Y324" s="132">
        <v>65.345399999999998</v>
      </c>
      <c r="Z324" s="132">
        <v>65.345399999999998</v>
      </c>
      <c r="AA324" s="132">
        <v>65.345399999999998</v>
      </c>
      <c r="AB324" s="132">
        <v>65.345399999999998</v>
      </c>
      <c r="AC324" s="132">
        <v>65.345399999999998</v>
      </c>
      <c r="AD324" s="132">
        <v>65.345399999999998</v>
      </c>
      <c r="AE324" s="132">
        <v>65.345399999999998</v>
      </c>
      <c r="AF324" s="132">
        <v>65.345399999999998</v>
      </c>
      <c r="AG324" s="132">
        <v>65.345399999999998</v>
      </c>
      <c r="AH324" s="132">
        <v>65.345399999999998</v>
      </c>
      <c r="AI324" s="132">
        <v>65.345399999999998</v>
      </c>
      <c r="AJ324" s="132">
        <v>65.345399999999998</v>
      </c>
      <c r="AK324" s="134">
        <v>65.345399999999998</v>
      </c>
      <c r="AL324" s="178">
        <f t="shared" ref="AL324:BE324" si="33">AK324</f>
        <v>65.345399999999998</v>
      </c>
      <c r="AM324" s="178">
        <f t="shared" si="33"/>
        <v>65.345399999999998</v>
      </c>
      <c r="AN324" s="178">
        <f t="shared" si="33"/>
        <v>65.345399999999998</v>
      </c>
      <c r="AO324" s="178">
        <f t="shared" si="33"/>
        <v>65.345399999999998</v>
      </c>
      <c r="AP324" s="178">
        <f t="shared" si="33"/>
        <v>65.345399999999998</v>
      </c>
      <c r="AQ324" s="178">
        <f t="shared" si="33"/>
        <v>65.345399999999998</v>
      </c>
      <c r="AR324" s="178">
        <f t="shared" si="33"/>
        <v>65.345399999999998</v>
      </c>
      <c r="AS324" s="178">
        <f t="shared" si="33"/>
        <v>65.345399999999998</v>
      </c>
      <c r="AT324" s="178">
        <f t="shared" si="33"/>
        <v>65.345399999999998</v>
      </c>
      <c r="AU324" s="178">
        <f t="shared" si="33"/>
        <v>65.345399999999998</v>
      </c>
      <c r="AV324" s="178">
        <f t="shared" si="33"/>
        <v>65.345399999999998</v>
      </c>
      <c r="AW324" s="178">
        <f t="shared" si="33"/>
        <v>65.345399999999998</v>
      </c>
      <c r="AX324" s="178">
        <f t="shared" si="33"/>
        <v>65.345399999999998</v>
      </c>
      <c r="AY324" s="178">
        <f t="shared" si="33"/>
        <v>65.345399999999998</v>
      </c>
      <c r="AZ324" s="178">
        <f t="shared" si="33"/>
        <v>65.345399999999998</v>
      </c>
      <c r="BA324" s="178">
        <f t="shared" si="33"/>
        <v>65.345399999999998</v>
      </c>
      <c r="BB324" s="178">
        <f t="shared" si="33"/>
        <v>65.345399999999998</v>
      </c>
      <c r="BC324" s="178">
        <f t="shared" si="33"/>
        <v>65.345399999999998</v>
      </c>
      <c r="BD324" s="178">
        <f t="shared" si="33"/>
        <v>65.345399999999998</v>
      </c>
      <c r="BE324" s="178">
        <f t="shared" si="33"/>
        <v>65.345399999999998</v>
      </c>
    </row>
    <row r="325" spans="1:58" ht="14.25" customHeight="1" x14ac:dyDescent="0.45">
      <c r="A325" s="618">
        <v>1</v>
      </c>
      <c r="B325" s="618"/>
      <c r="C325" s="130"/>
      <c r="D325" s="115" t="s">
        <v>51</v>
      </c>
      <c r="E325" s="132">
        <f t="shared" si="31"/>
        <v>6.5143172504566227</v>
      </c>
      <c r="F325" s="132">
        <f t="shared" si="31"/>
        <v>3.9446888573215406</v>
      </c>
      <c r="G325" s="132">
        <f t="shared" si="31"/>
        <v>4.4790352542992284</v>
      </c>
      <c r="H325" s="132">
        <f t="shared" si="31"/>
        <v>4.5856525394351069</v>
      </c>
      <c r="I325" s="132">
        <v>6.5143000000000004</v>
      </c>
      <c r="J325" s="132">
        <v>6.5143000000000004</v>
      </c>
      <c r="K325" s="132">
        <v>6.5143000000000004</v>
      </c>
      <c r="L325" s="132">
        <v>6.5143000000000004</v>
      </c>
      <c r="M325" s="132">
        <v>6.5143000000000004</v>
      </c>
      <c r="N325" s="132">
        <v>6.5143000000000004</v>
      </c>
      <c r="O325" s="132">
        <v>6.5143000000000004</v>
      </c>
      <c r="P325" s="132">
        <v>6.5143000000000004</v>
      </c>
      <c r="Q325" s="132">
        <v>6.5143000000000004</v>
      </c>
      <c r="R325" s="132">
        <v>6.5143000000000004</v>
      </c>
      <c r="S325" s="132">
        <v>6.5143000000000004</v>
      </c>
      <c r="T325" s="132">
        <v>6.5143000000000004</v>
      </c>
      <c r="U325" s="132">
        <v>6.5143000000000004</v>
      </c>
      <c r="V325" s="132">
        <v>6.5143000000000004</v>
      </c>
      <c r="W325" s="132">
        <v>6.5143000000000004</v>
      </c>
      <c r="X325" s="132">
        <v>6.5143000000000004</v>
      </c>
      <c r="Y325" s="132">
        <v>6.5143000000000004</v>
      </c>
      <c r="Z325" s="132">
        <v>6.5143000000000004</v>
      </c>
      <c r="AA325" s="132">
        <v>6.5143000000000004</v>
      </c>
      <c r="AB325" s="132">
        <v>6.5143000000000004</v>
      </c>
      <c r="AC325" s="132">
        <v>6.5143000000000004</v>
      </c>
      <c r="AD325" s="132">
        <v>6.5143000000000004</v>
      </c>
      <c r="AE325" s="132">
        <v>6.5143000000000004</v>
      </c>
      <c r="AF325" s="132">
        <v>6.5143000000000004</v>
      </c>
      <c r="AG325" s="132">
        <v>6.5143000000000004</v>
      </c>
      <c r="AH325" s="132">
        <v>6.5143000000000004</v>
      </c>
      <c r="AI325" s="132">
        <v>6.5143000000000004</v>
      </c>
      <c r="AJ325" s="132">
        <v>6.5143000000000004</v>
      </c>
      <c r="AK325" s="134">
        <v>6.5143000000000004</v>
      </c>
      <c r="AL325" s="178">
        <f t="shared" ref="AL325:BE325" si="34">AK325</f>
        <v>6.5143000000000004</v>
      </c>
      <c r="AM325" s="178">
        <f t="shared" si="34"/>
        <v>6.5143000000000004</v>
      </c>
      <c r="AN325" s="178">
        <f t="shared" si="34"/>
        <v>6.5143000000000004</v>
      </c>
      <c r="AO325" s="178">
        <f t="shared" si="34"/>
        <v>6.5143000000000004</v>
      </c>
      <c r="AP325" s="178">
        <f t="shared" si="34"/>
        <v>6.5143000000000004</v>
      </c>
      <c r="AQ325" s="178">
        <f t="shared" si="34"/>
        <v>6.5143000000000004</v>
      </c>
      <c r="AR325" s="178">
        <f t="shared" si="34"/>
        <v>6.5143000000000004</v>
      </c>
      <c r="AS325" s="178">
        <f t="shared" si="34"/>
        <v>6.5143000000000004</v>
      </c>
      <c r="AT325" s="178">
        <f t="shared" si="34"/>
        <v>6.5143000000000004</v>
      </c>
      <c r="AU325" s="178">
        <f t="shared" si="34"/>
        <v>6.5143000000000004</v>
      </c>
      <c r="AV325" s="178">
        <f t="shared" si="34"/>
        <v>6.5143000000000004</v>
      </c>
      <c r="AW325" s="178">
        <f t="shared" si="34"/>
        <v>6.5143000000000004</v>
      </c>
      <c r="AX325" s="178">
        <f t="shared" si="34"/>
        <v>6.5143000000000004</v>
      </c>
      <c r="AY325" s="178">
        <f t="shared" si="34"/>
        <v>6.5143000000000004</v>
      </c>
      <c r="AZ325" s="178">
        <f t="shared" si="34"/>
        <v>6.5143000000000004</v>
      </c>
      <c r="BA325" s="178">
        <f t="shared" si="34"/>
        <v>6.5143000000000004</v>
      </c>
      <c r="BB325" s="178">
        <f t="shared" si="34"/>
        <v>6.5143000000000004</v>
      </c>
      <c r="BC325" s="178">
        <f t="shared" si="34"/>
        <v>6.5143000000000004</v>
      </c>
      <c r="BD325" s="178">
        <f t="shared" si="34"/>
        <v>6.5143000000000004</v>
      </c>
      <c r="BE325" s="178">
        <f t="shared" si="34"/>
        <v>6.5143000000000004</v>
      </c>
    </row>
    <row r="326" spans="1:58" ht="14.25" customHeight="1" x14ac:dyDescent="0.45">
      <c r="A326" s="618">
        <v>1</v>
      </c>
      <c r="B326" s="618"/>
      <c r="C326" s="130"/>
      <c r="D326" s="115" t="s">
        <v>52</v>
      </c>
      <c r="E326" s="132">
        <f t="shared" si="31"/>
        <v>136.35156500204295</v>
      </c>
      <c r="F326" s="132">
        <f t="shared" si="31"/>
        <v>105.72248178561163</v>
      </c>
      <c r="G326" s="132">
        <f t="shared" si="31"/>
        <v>99.533428002971704</v>
      </c>
      <c r="H326" s="132">
        <f t="shared" si="31"/>
        <v>129.0444709376539</v>
      </c>
      <c r="I326" s="132">
        <v>136.35159999999999</v>
      </c>
      <c r="J326" s="132">
        <v>136.35159999999999</v>
      </c>
      <c r="K326" s="132">
        <v>136.35159999999999</v>
      </c>
      <c r="L326" s="132">
        <v>136.35159999999999</v>
      </c>
      <c r="M326" s="132">
        <v>136.35159999999999</v>
      </c>
      <c r="N326" s="132">
        <v>136.35159999999999</v>
      </c>
      <c r="O326" s="132">
        <v>136.35159999999999</v>
      </c>
      <c r="P326" s="132">
        <v>136.35159999999999</v>
      </c>
      <c r="Q326" s="132">
        <v>136.35159999999999</v>
      </c>
      <c r="R326" s="132">
        <v>136.35159999999999</v>
      </c>
      <c r="S326" s="132">
        <v>136.35159999999999</v>
      </c>
      <c r="T326" s="132">
        <v>136.35159999999999</v>
      </c>
      <c r="U326" s="132">
        <v>136.35159999999999</v>
      </c>
      <c r="V326" s="132">
        <v>136.35159999999999</v>
      </c>
      <c r="W326" s="132">
        <v>136.35159999999999</v>
      </c>
      <c r="X326" s="132">
        <v>136.35159999999999</v>
      </c>
      <c r="Y326" s="132">
        <v>136.35159999999999</v>
      </c>
      <c r="Z326" s="132">
        <v>136.35159999999999</v>
      </c>
      <c r="AA326" s="132">
        <v>136.35159999999999</v>
      </c>
      <c r="AB326" s="132">
        <v>136.35159999999999</v>
      </c>
      <c r="AC326" s="132">
        <v>136.35159999999999</v>
      </c>
      <c r="AD326" s="132">
        <v>136.35159999999999</v>
      </c>
      <c r="AE326" s="132">
        <v>136.35159999999999</v>
      </c>
      <c r="AF326" s="132">
        <v>136.35159999999999</v>
      </c>
      <c r="AG326" s="132">
        <v>136.35159999999999</v>
      </c>
      <c r="AH326" s="132">
        <v>136.35159999999999</v>
      </c>
      <c r="AI326" s="132">
        <v>136.35159999999999</v>
      </c>
      <c r="AJ326" s="132">
        <v>136.35159999999999</v>
      </c>
      <c r="AK326" s="134">
        <v>136.35159999999999</v>
      </c>
      <c r="AL326" s="178">
        <f t="shared" ref="AL326:BE326" si="35">AK326</f>
        <v>136.35159999999999</v>
      </c>
      <c r="AM326" s="178">
        <f t="shared" si="35"/>
        <v>136.35159999999999</v>
      </c>
      <c r="AN326" s="178">
        <f t="shared" si="35"/>
        <v>136.35159999999999</v>
      </c>
      <c r="AO326" s="178">
        <f t="shared" si="35"/>
        <v>136.35159999999999</v>
      </c>
      <c r="AP326" s="178">
        <f t="shared" si="35"/>
        <v>136.35159999999999</v>
      </c>
      <c r="AQ326" s="178">
        <f t="shared" si="35"/>
        <v>136.35159999999999</v>
      </c>
      <c r="AR326" s="178">
        <f t="shared" si="35"/>
        <v>136.35159999999999</v>
      </c>
      <c r="AS326" s="178">
        <f t="shared" si="35"/>
        <v>136.35159999999999</v>
      </c>
      <c r="AT326" s="178">
        <f t="shared" si="35"/>
        <v>136.35159999999999</v>
      </c>
      <c r="AU326" s="178">
        <f t="shared" si="35"/>
        <v>136.35159999999999</v>
      </c>
      <c r="AV326" s="178">
        <f t="shared" si="35"/>
        <v>136.35159999999999</v>
      </c>
      <c r="AW326" s="178">
        <f t="shared" si="35"/>
        <v>136.35159999999999</v>
      </c>
      <c r="AX326" s="178">
        <f t="shared" si="35"/>
        <v>136.35159999999999</v>
      </c>
      <c r="AY326" s="178">
        <f t="shared" si="35"/>
        <v>136.35159999999999</v>
      </c>
      <c r="AZ326" s="178">
        <f t="shared" si="35"/>
        <v>136.35159999999999</v>
      </c>
      <c r="BA326" s="178">
        <f t="shared" si="35"/>
        <v>136.35159999999999</v>
      </c>
      <c r="BB326" s="178">
        <f t="shared" si="35"/>
        <v>136.35159999999999</v>
      </c>
      <c r="BC326" s="178">
        <f t="shared" si="35"/>
        <v>136.35159999999999</v>
      </c>
      <c r="BD326" s="178">
        <f t="shared" si="35"/>
        <v>136.35159999999999</v>
      </c>
      <c r="BE326" s="178">
        <f t="shared" si="35"/>
        <v>136.35159999999999</v>
      </c>
    </row>
    <row r="327" spans="1:58" ht="14.25" customHeight="1" x14ac:dyDescent="0.45">
      <c r="A327" s="618">
        <v>1</v>
      </c>
      <c r="B327" s="618"/>
      <c r="C327" s="130"/>
      <c r="D327" s="516" t="s">
        <v>53</v>
      </c>
      <c r="E327" s="132">
        <f t="shared" si="31"/>
        <v>16.339176434294693</v>
      </c>
      <c r="F327" s="132">
        <f t="shared" si="31"/>
        <v>16.118280283628796</v>
      </c>
      <c r="G327" s="132">
        <f t="shared" si="31"/>
        <v>8.5974998306934047</v>
      </c>
      <c r="H327" s="132">
        <f t="shared" si="31"/>
        <v>12.384293684267032</v>
      </c>
      <c r="I327" s="132">
        <v>16.339200000000002</v>
      </c>
      <c r="J327" s="132">
        <v>16.339200000000002</v>
      </c>
      <c r="K327" s="132">
        <v>16.339200000000002</v>
      </c>
      <c r="L327" s="132">
        <v>16.339200000000002</v>
      </c>
      <c r="M327" s="132">
        <v>16.339200000000002</v>
      </c>
      <c r="N327" s="132">
        <v>16.339200000000002</v>
      </c>
      <c r="O327" s="132">
        <v>16.339200000000002</v>
      </c>
      <c r="P327" s="132">
        <v>16.339200000000002</v>
      </c>
      <c r="Q327" s="132">
        <v>16.339200000000002</v>
      </c>
      <c r="R327" s="132">
        <v>16.339200000000002</v>
      </c>
      <c r="S327" s="132">
        <v>16.339200000000002</v>
      </c>
      <c r="T327" s="132">
        <v>16.339200000000002</v>
      </c>
      <c r="U327" s="132">
        <v>16.339200000000002</v>
      </c>
      <c r="V327" s="132">
        <v>16.339200000000002</v>
      </c>
      <c r="W327" s="132">
        <v>16.339200000000002</v>
      </c>
      <c r="X327" s="132">
        <v>16.339200000000002</v>
      </c>
      <c r="Y327" s="132">
        <v>16.339200000000002</v>
      </c>
      <c r="Z327" s="132">
        <v>16.339200000000002</v>
      </c>
      <c r="AA327" s="132">
        <v>16.339200000000002</v>
      </c>
      <c r="AB327" s="132">
        <v>16.339200000000002</v>
      </c>
      <c r="AC327" s="132">
        <v>16.339200000000002</v>
      </c>
      <c r="AD327" s="132">
        <v>16.339200000000002</v>
      </c>
      <c r="AE327" s="132">
        <v>16.339200000000002</v>
      </c>
      <c r="AF327" s="132">
        <v>16.339200000000002</v>
      </c>
      <c r="AG327" s="132">
        <v>16.339200000000002</v>
      </c>
      <c r="AH327" s="132">
        <v>16.339200000000002</v>
      </c>
      <c r="AI327" s="132">
        <v>16.339200000000002</v>
      </c>
      <c r="AJ327" s="132">
        <v>16.339200000000002</v>
      </c>
      <c r="AK327" s="134">
        <v>16.339200000000002</v>
      </c>
      <c r="AL327" s="178">
        <f t="shared" ref="AL327:BE327" si="36">AK327</f>
        <v>16.339200000000002</v>
      </c>
      <c r="AM327" s="178">
        <f t="shared" si="36"/>
        <v>16.339200000000002</v>
      </c>
      <c r="AN327" s="178">
        <f t="shared" si="36"/>
        <v>16.339200000000002</v>
      </c>
      <c r="AO327" s="178">
        <f t="shared" si="36"/>
        <v>16.339200000000002</v>
      </c>
      <c r="AP327" s="178">
        <f t="shared" si="36"/>
        <v>16.339200000000002</v>
      </c>
      <c r="AQ327" s="178">
        <f t="shared" si="36"/>
        <v>16.339200000000002</v>
      </c>
      <c r="AR327" s="178">
        <f t="shared" si="36"/>
        <v>16.339200000000002</v>
      </c>
      <c r="AS327" s="178">
        <f t="shared" si="36"/>
        <v>16.339200000000002</v>
      </c>
      <c r="AT327" s="178">
        <f t="shared" si="36"/>
        <v>16.339200000000002</v>
      </c>
      <c r="AU327" s="178">
        <f t="shared" si="36"/>
        <v>16.339200000000002</v>
      </c>
      <c r="AV327" s="178">
        <f t="shared" si="36"/>
        <v>16.339200000000002</v>
      </c>
      <c r="AW327" s="178">
        <f t="shared" si="36"/>
        <v>16.339200000000002</v>
      </c>
      <c r="AX327" s="178">
        <f t="shared" si="36"/>
        <v>16.339200000000002</v>
      </c>
      <c r="AY327" s="178">
        <f t="shared" si="36"/>
        <v>16.339200000000002</v>
      </c>
      <c r="AZ327" s="178">
        <f t="shared" si="36"/>
        <v>16.339200000000002</v>
      </c>
      <c r="BA327" s="178">
        <f t="shared" si="36"/>
        <v>16.339200000000002</v>
      </c>
      <c r="BB327" s="178">
        <f t="shared" si="36"/>
        <v>16.339200000000002</v>
      </c>
      <c r="BC327" s="178">
        <f t="shared" si="36"/>
        <v>16.339200000000002</v>
      </c>
      <c r="BD327" s="178">
        <f t="shared" si="36"/>
        <v>16.339200000000002</v>
      </c>
      <c r="BE327" s="178">
        <f t="shared" si="36"/>
        <v>16.339200000000002</v>
      </c>
    </row>
    <row r="328" spans="1:58" ht="14.25" customHeight="1" x14ac:dyDescent="0.45">
      <c r="A328" s="618">
        <v>1</v>
      </c>
      <c r="B328" s="618"/>
      <c r="C328" s="130"/>
      <c r="D328" s="517" t="s">
        <v>159</v>
      </c>
      <c r="E328" s="132">
        <f t="shared" si="31"/>
        <v>34.636105334029672</v>
      </c>
      <c r="F328" s="132">
        <f t="shared" si="31"/>
        <v>33.664639488609886</v>
      </c>
      <c r="G328" s="132">
        <f t="shared" si="31"/>
        <v>30.922512393915802</v>
      </c>
      <c r="H328" s="132">
        <f t="shared" si="31"/>
        <v>33.860042093126829</v>
      </c>
      <c r="I328" s="132">
        <v>34.636099999999999</v>
      </c>
      <c r="J328" s="132">
        <v>34.636099999999999</v>
      </c>
      <c r="K328" s="132">
        <v>34.636099999999999</v>
      </c>
      <c r="L328" s="132">
        <v>34.636099999999999</v>
      </c>
      <c r="M328" s="132">
        <v>34.636099999999999</v>
      </c>
      <c r="N328" s="132">
        <v>34.636099999999999</v>
      </c>
      <c r="O328" s="132">
        <v>34.636099999999999</v>
      </c>
      <c r="P328" s="132">
        <v>34.636099999999999</v>
      </c>
      <c r="Q328" s="132">
        <v>34.636099999999999</v>
      </c>
      <c r="R328" s="132">
        <v>34.636099999999999</v>
      </c>
      <c r="S328" s="132">
        <v>34.636099999999999</v>
      </c>
      <c r="T328" s="132">
        <v>34.636099999999999</v>
      </c>
      <c r="U328" s="132">
        <v>34.636099999999999</v>
      </c>
      <c r="V328" s="132">
        <v>34.636099999999999</v>
      </c>
      <c r="W328" s="132">
        <v>34.636099999999999</v>
      </c>
      <c r="X328" s="132">
        <v>34.636099999999999</v>
      </c>
      <c r="Y328" s="132">
        <v>34.636099999999999</v>
      </c>
      <c r="Z328" s="132">
        <v>34.636099999999999</v>
      </c>
      <c r="AA328" s="132">
        <v>34.636099999999999</v>
      </c>
      <c r="AB328" s="132">
        <v>34.636099999999999</v>
      </c>
      <c r="AC328" s="132">
        <v>34.636099999999999</v>
      </c>
      <c r="AD328" s="132">
        <v>34.636099999999999</v>
      </c>
      <c r="AE328" s="132">
        <v>34.636099999999999</v>
      </c>
      <c r="AF328" s="132">
        <v>34.636099999999999</v>
      </c>
      <c r="AG328" s="132">
        <v>34.636099999999999</v>
      </c>
      <c r="AH328" s="132">
        <v>34.636099999999999</v>
      </c>
      <c r="AI328" s="132">
        <v>34.636099999999999</v>
      </c>
      <c r="AJ328" s="132">
        <v>34.636099999999999</v>
      </c>
      <c r="AK328" s="134">
        <v>34.636099999999999</v>
      </c>
      <c r="AL328" s="178">
        <f t="shared" ref="AL328:BE328" si="37">AK328</f>
        <v>34.636099999999999</v>
      </c>
      <c r="AM328" s="178">
        <f t="shared" si="37"/>
        <v>34.636099999999999</v>
      </c>
      <c r="AN328" s="178">
        <f t="shared" si="37"/>
        <v>34.636099999999999</v>
      </c>
      <c r="AO328" s="178">
        <f t="shared" si="37"/>
        <v>34.636099999999999</v>
      </c>
      <c r="AP328" s="178">
        <f t="shared" si="37"/>
        <v>34.636099999999999</v>
      </c>
      <c r="AQ328" s="178">
        <f t="shared" si="37"/>
        <v>34.636099999999999</v>
      </c>
      <c r="AR328" s="178">
        <f t="shared" si="37"/>
        <v>34.636099999999999</v>
      </c>
      <c r="AS328" s="178">
        <f t="shared" si="37"/>
        <v>34.636099999999999</v>
      </c>
      <c r="AT328" s="178">
        <f t="shared" si="37"/>
        <v>34.636099999999999</v>
      </c>
      <c r="AU328" s="178">
        <f t="shared" si="37"/>
        <v>34.636099999999999</v>
      </c>
      <c r="AV328" s="178">
        <f t="shared" si="37"/>
        <v>34.636099999999999</v>
      </c>
      <c r="AW328" s="178">
        <f t="shared" si="37"/>
        <v>34.636099999999999</v>
      </c>
      <c r="AX328" s="178">
        <f t="shared" si="37"/>
        <v>34.636099999999999</v>
      </c>
      <c r="AY328" s="178">
        <f t="shared" si="37"/>
        <v>34.636099999999999</v>
      </c>
      <c r="AZ328" s="178">
        <f t="shared" si="37"/>
        <v>34.636099999999999</v>
      </c>
      <c r="BA328" s="178">
        <f t="shared" si="37"/>
        <v>34.636099999999999</v>
      </c>
      <c r="BB328" s="178">
        <f t="shared" si="37"/>
        <v>34.636099999999999</v>
      </c>
      <c r="BC328" s="178">
        <f t="shared" si="37"/>
        <v>34.636099999999999</v>
      </c>
      <c r="BD328" s="178">
        <f t="shared" si="37"/>
        <v>34.636099999999999</v>
      </c>
      <c r="BE328" s="178">
        <f t="shared" si="37"/>
        <v>34.636099999999999</v>
      </c>
    </row>
    <row r="329" spans="1:58" ht="14.25" customHeight="1" x14ac:dyDescent="0.45">
      <c r="A329" s="618">
        <v>1</v>
      </c>
      <c r="B329" s="618"/>
      <c r="C329" s="130"/>
      <c r="D329" s="518" t="s">
        <v>64</v>
      </c>
      <c r="E329" s="132">
        <f t="shared" si="31"/>
        <v>2.3735411759477838</v>
      </c>
      <c r="F329" s="132">
        <f t="shared" si="31"/>
        <v>2.2847997229846713</v>
      </c>
      <c r="G329" s="132">
        <f t="shared" si="31"/>
        <v>1.8321375147056789</v>
      </c>
      <c r="H329" s="132">
        <f t="shared" si="31"/>
        <v>2.0256653815390422</v>
      </c>
      <c r="I329" s="132">
        <v>2.3734999999999999</v>
      </c>
      <c r="J329" s="132">
        <v>2.3734999999999999</v>
      </c>
      <c r="K329" s="132">
        <v>2.3734999999999999</v>
      </c>
      <c r="L329" s="132">
        <v>2.3734999999999999</v>
      </c>
      <c r="M329" s="132">
        <v>2.3734999999999999</v>
      </c>
      <c r="N329" s="132">
        <v>2.3734999999999999</v>
      </c>
      <c r="O329" s="132">
        <v>2.3734999999999999</v>
      </c>
      <c r="P329" s="132">
        <v>2.3734999999999999</v>
      </c>
      <c r="Q329" s="132">
        <v>2.3734999999999999</v>
      </c>
      <c r="R329" s="132">
        <v>2.3734999999999999</v>
      </c>
      <c r="S329" s="132">
        <v>2.3734999999999999</v>
      </c>
      <c r="T329" s="132">
        <v>2.3734999999999999</v>
      </c>
      <c r="U329" s="132">
        <v>2.3734999999999999</v>
      </c>
      <c r="V329" s="132">
        <v>2.3734999999999999</v>
      </c>
      <c r="W329" s="132">
        <v>2.3734999999999999</v>
      </c>
      <c r="X329" s="132">
        <v>2.3734999999999999</v>
      </c>
      <c r="Y329" s="132">
        <v>2.3734999999999999</v>
      </c>
      <c r="Z329" s="132">
        <v>2.3734999999999999</v>
      </c>
      <c r="AA329" s="132">
        <v>2.3734999999999999</v>
      </c>
      <c r="AB329" s="132">
        <v>2.3734999999999999</v>
      </c>
      <c r="AC329" s="132">
        <v>2.3734999999999999</v>
      </c>
      <c r="AD329" s="132">
        <v>2.3734999999999999</v>
      </c>
      <c r="AE329" s="132">
        <v>2.3734999999999999</v>
      </c>
      <c r="AF329" s="132">
        <v>2.3734999999999999</v>
      </c>
      <c r="AG329" s="132">
        <v>2.3734999999999999</v>
      </c>
      <c r="AH329" s="132">
        <v>2.3734999999999999</v>
      </c>
      <c r="AI329" s="132">
        <v>2.3734999999999999</v>
      </c>
      <c r="AJ329" s="132">
        <v>2.3734999999999999</v>
      </c>
      <c r="AK329" s="134">
        <v>2.3734999999999999</v>
      </c>
      <c r="AL329" s="178">
        <f t="shared" ref="AL329:BE329" si="38">AK329</f>
        <v>2.3734999999999999</v>
      </c>
      <c r="AM329" s="178">
        <f t="shared" si="38"/>
        <v>2.3734999999999999</v>
      </c>
      <c r="AN329" s="178">
        <f t="shared" si="38"/>
        <v>2.3734999999999999</v>
      </c>
      <c r="AO329" s="178">
        <f t="shared" si="38"/>
        <v>2.3734999999999999</v>
      </c>
      <c r="AP329" s="178">
        <f t="shared" si="38"/>
        <v>2.3734999999999999</v>
      </c>
      <c r="AQ329" s="178">
        <f t="shared" si="38"/>
        <v>2.3734999999999999</v>
      </c>
      <c r="AR329" s="178">
        <f t="shared" si="38"/>
        <v>2.3734999999999999</v>
      </c>
      <c r="AS329" s="178">
        <f t="shared" si="38"/>
        <v>2.3734999999999999</v>
      </c>
      <c r="AT329" s="178">
        <f t="shared" si="38"/>
        <v>2.3734999999999999</v>
      </c>
      <c r="AU329" s="178">
        <f t="shared" si="38"/>
        <v>2.3734999999999999</v>
      </c>
      <c r="AV329" s="178">
        <f t="shared" si="38"/>
        <v>2.3734999999999999</v>
      </c>
      <c r="AW329" s="178">
        <f t="shared" si="38"/>
        <v>2.3734999999999999</v>
      </c>
      <c r="AX329" s="178">
        <f t="shared" si="38"/>
        <v>2.3734999999999999</v>
      </c>
      <c r="AY329" s="178">
        <f t="shared" si="38"/>
        <v>2.3734999999999999</v>
      </c>
      <c r="AZ329" s="178">
        <f t="shared" si="38"/>
        <v>2.3734999999999999</v>
      </c>
      <c r="BA329" s="178">
        <f t="shared" si="38"/>
        <v>2.3734999999999999</v>
      </c>
      <c r="BB329" s="178">
        <f t="shared" si="38"/>
        <v>2.3734999999999999</v>
      </c>
      <c r="BC329" s="178">
        <f t="shared" si="38"/>
        <v>2.3734999999999999</v>
      </c>
      <c r="BD329" s="178">
        <f t="shared" si="38"/>
        <v>2.3734999999999999</v>
      </c>
      <c r="BE329" s="178">
        <f t="shared" si="38"/>
        <v>2.3734999999999999</v>
      </c>
    </row>
    <row r="330" spans="1:58" ht="14.25" customHeight="1" x14ac:dyDescent="0.45">
      <c r="A330" s="618">
        <v>1</v>
      </c>
      <c r="B330" s="618"/>
      <c r="C330" s="130"/>
      <c r="D330" s="518" t="s">
        <v>65</v>
      </c>
      <c r="E330" s="132">
        <f t="shared" si="31"/>
        <v>8.8719142356158773</v>
      </c>
      <c r="F330" s="132">
        <f t="shared" si="31"/>
        <v>8.4890486611992877</v>
      </c>
      <c r="G330" s="132">
        <f t="shared" si="31"/>
        <v>6.5570072097040963</v>
      </c>
      <c r="H330" s="132">
        <f t="shared" si="31"/>
        <v>7.8900532155786651</v>
      </c>
      <c r="I330" s="132">
        <v>8.8719000000000001</v>
      </c>
      <c r="J330" s="132">
        <v>8.8719000000000001</v>
      </c>
      <c r="K330" s="132">
        <v>8.8719000000000001</v>
      </c>
      <c r="L330" s="132">
        <v>8.8719000000000001</v>
      </c>
      <c r="M330" s="132">
        <v>8.8719000000000001</v>
      </c>
      <c r="N330" s="132">
        <v>8.8719000000000001</v>
      </c>
      <c r="O330" s="132">
        <v>8.8719000000000001</v>
      </c>
      <c r="P330" s="132">
        <v>8.8719000000000001</v>
      </c>
      <c r="Q330" s="132">
        <v>8.8719000000000001</v>
      </c>
      <c r="R330" s="132">
        <v>8.8719000000000001</v>
      </c>
      <c r="S330" s="132">
        <v>8.8719000000000001</v>
      </c>
      <c r="T330" s="132">
        <v>8.8719000000000001</v>
      </c>
      <c r="U330" s="132">
        <v>8.8719000000000001</v>
      </c>
      <c r="V330" s="132">
        <v>8.8719000000000001</v>
      </c>
      <c r="W330" s="132">
        <v>8.8719000000000001</v>
      </c>
      <c r="X330" s="132">
        <v>8.8719000000000001</v>
      </c>
      <c r="Y330" s="132">
        <v>8.8719000000000001</v>
      </c>
      <c r="Z330" s="132">
        <v>8.8719000000000001</v>
      </c>
      <c r="AA330" s="132">
        <v>8.8719000000000001</v>
      </c>
      <c r="AB330" s="132">
        <v>8.8719000000000001</v>
      </c>
      <c r="AC330" s="132">
        <v>8.8719000000000001</v>
      </c>
      <c r="AD330" s="132">
        <v>8.8719000000000001</v>
      </c>
      <c r="AE330" s="132">
        <v>8.8719000000000001</v>
      </c>
      <c r="AF330" s="132">
        <v>8.8719000000000001</v>
      </c>
      <c r="AG330" s="132">
        <v>8.8719000000000001</v>
      </c>
      <c r="AH330" s="132">
        <v>8.8719000000000001</v>
      </c>
      <c r="AI330" s="132">
        <v>8.8719000000000001</v>
      </c>
      <c r="AJ330" s="132">
        <v>8.8719000000000001</v>
      </c>
      <c r="AK330" s="134">
        <v>8.8719000000000001</v>
      </c>
      <c r="AL330" s="178">
        <f t="shared" ref="AL330:BE330" si="39">AK330</f>
        <v>8.8719000000000001</v>
      </c>
      <c r="AM330" s="178">
        <f t="shared" si="39"/>
        <v>8.8719000000000001</v>
      </c>
      <c r="AN330" s="178">
        <f t="shared" si="39"/>
        <v>8.8719000000000001</v>
      </c>
      <c r="AO330" s="178">
        <f t="shared" si="39"/>
        <v>8.8719000000000001</v>
      </c>
      <c r="AP330" s="178">
        <f t="shared" si="39"/>
        <v>8.8719000000000001</v>
      </c>
      <c r="AQ330" s="178">
        <f t="shared" si="39"/>
        <v>8.8719000000000001</v>
      </c>
      <c r="AR330" s="178">
        <f t="shared" si="39"/>
        <v>8.8719000000000001</v>
      </c>
      <c r="AS330" s="178">
        <f t="shared" si="39"/>
        <v>8.8719000000000001</v>
      </c>
      <c r="AT330" s="178">
        <f t="shared" si="39"/>
        <v>8.8719000000000001</v>
      </c>
      <c r="AU330" s="178">
        <f t="shared" si="39"/>
        <v>8.8719000000000001</v>
      </c>
      <c r="AV330" s="178">
        <f t="shared" si="39"/>
        <v>8.8719000000000001</v>
      </c>
      <c r="AW330" s="178">
        <f t="shared" si="39"/>
        <v>8.8719000000000001</v>
      </c>
      <c r="AX330" s="178">
        <f t="shared" si="39"/>
        <v>8.8719000000000001</v>
      </c>
      <c r="AY330" s="178">
        <f t="shared" si="39"/>
        <v>8.8719000000000001</v>
      </c>
      <c r="AZ330" s="178">
        <f t="shared" si="39"/>
        <v>8.8719000000000001</v>
      </c>
      <c r="BA330" s="178">
        <f t="shared" si="39"/>
        <v>8.8719000000000001</v>
      </c>
      <c r="BB330" s="178">
        <f t="shared" si="39"/>
        <v>8.8719000000000001</v>
      </c>
      <c r="BC330" s="178">
        <f t="shared" si="39"/>
        <v>8.8719000000000001</v>
      </c>
      <c r="BD330" s="178">
        <f t="shared" si="39"/>
        <v>8.8719000000000001</v>
      </c>
      <c r="BE330" s="178">
        <f t="shared" si="39"/>
        <v>8.8719000000000001</v>
      </c>
      <c r="BF330" s="3"/>
    </row>
    <row r="331" spans="1:58" ht="14.25" customHeight="1" x14ac:dyDescent="0.45">
      <c r="A331" s="618"/>
      <c r="B331" s="618"/>
      <c r="C331" s="118"/>
      <c r="D331" s="119" t="s">
        <v>59</v>
      </c>
      <c r="E331" s="120">
        <f>SUM(E323:E330)</f>
        <v>348.91181823686446</v>
      </c>
      <c r="F331" s="120">
        <f>SUM(F323:F330)</f>
        <v>305.50728023362581</v>
      </c>
      <c r="G331" s="120">
        <f>SUM(G323:G330)</f>
        <v>254.57140188919641</v>
      </c>
      <c r="H331" s="120">
        <f>SUM(H323:H330)</f>
        <v>315.50852359967507</v>
      </c>
      <c r="I331" s="120">
        <v>348.91</v>
      </c>
      <c r="J331" s="120">
        <v>348.91</v>
      </c>
      <c r="K331" s="120">
        <v>348.91</v>
      </c>
      <c r="L331" s="120">
        <v>348.91</v>
      </c>
      <c r="M331" s="120">
        <v>348.91</v>
      </c>
      <c r="N331" s="120">
        <v>348.91</v>
      </c>
      <c r="O331" s="120">
        <v>348.91</v>
      </c>
      <c r="P331" s="120">
        <v>348.91</v>
      </c>
      <c r="Q331" s="120">
        <v>348.91</v>
      </c>
      <c r="R331" s="120">
        <v>348.91</v>
      </c>
      <c r="S331" s="120">
        <v>348.91</v>
      </c>
      <c r="T331" s="120">
        <v>348.91</v>
      </c>
      <c r="U331" s="120">
        <v>348.91</v>
      </c>
      <c r="V331" s="120">
        <v>348.91</v>
      </c>
      <c r="W331" s="120">
        <v>348.91</v>
      </c>
      <c r="X331" s="120">
        <v>348.91</v>
      </c>
      <c r="Y331" s="120">
        <v>348.91</v>
      </c>
      <c r="Z331" s="120">
        <v>348.91</v>
      </c>
      <c r="AA331" s="120">
        <v>348.91</v>
      </c>
      <c r="AB331" s="120">
        <v>348.91</v>
      </c>
      <c r="AC331" s="120">
        <v>348.91</v>
      </c>
      <c r="AD331" s="120">
        <v>348.91</v>
      </c>
      <c r="AE331" s="120">
        <v>348.91</v>
      </c>
      <c r="AF331" s="120">
        <v>348.91</v>
      </c>
      <c r="AG331" s="120">
        <v>348.91</v>
      </c>
      <c r="AH331" s="120">
        <v>348.91</v>
      </c>
      <c r="AI331" s="120">
        <v>348.91</v>
      </c>
      <c r="AJ331" s="120">
        <v>348.91</v>
      </c>
      <c r="AK331" s="121">
        <v>348.91</v>
      </c>
      <c r="AL331" s="178">
        <f t="shared" ref="AL331:BE331" si="40">AK331</f>
        <v>348.91</v>
      </c>
      <c r="AM331" s="178">
        <f t="shared" si="40"/>
        <v>348.91</v>
      </c>
      <c r="AN331" s="178">
        <f t="shared" si="40"/>
        <v>348.91</v>
      </c>
      <c r="AO331" s="178">
        <f t="shared" si="40"/>
        <v>348.91</v>
      </c>
      <c r="AP331" s="178">
        <f t="shared" si="40"/>
        <v>348.91</v>
      </c>
      <c r="AQ331" s="178">
        <f t="shared" si="40"/>
        <v>348.91</v>
      </c>
      <c r="AR331" s="178">
        <f t="shared" si="40"/>
        <v>348.91</v>
      </c>
      <c r="AS331" s="178">
        <f t="shared" si="40"/>
        <v>348.91</v>
      </c>
      <c r="AT331" s="178">
        <f t="shared" si="40"/>
        <v>348.91</v>
      </c>
      <c r="AU331" s="178">
        <f t="shared" si="40"/>
        <v>348.91</v>
      </c>
      <c r="AV331" s="178">
        <f t="shared" si="40"/>
        <v>348.91</v>
      </c>
      <c r="AW331" s="178">
        <f t="shared" si="40"/>
        <v>348.91</v>
      </c>
      <c r="AX331" s="178">
        <f t="shared" si="40"/>
        <v>348.91</v>
      </c>
      <c r="AY331" s="178">
        <f t="shared" si="40"/>
        <v>348.91</v>
      </c>
      <c r="AZ331" s="178">
        <f t="shared" si="40"/>
        <v>348.91</v>
      </c>
      <c r="BA331" s="178">
        <f t="shared" si="40"/>
        <v>348.91</v>
      </c>
      <c r="BB331" s="178">
        <f t="shared" si="40"/>
        <v>348.91</v>
      </c>
      <c r="BC331" s="178">
        <f t="shared" si="40"/>
        <v>348.91</v>
      </c>
      <c r="BD331" s="178">
        <f t="shared" si="40"/>
        <v>348.91</v>
      </c>
      <c r="BE331" s="178">
        <f t="shared" si="40"/>
        <v>348.91</v>
      </c>
      <c r="BF331" s="3"/>
    </row>
    <row r="332" spans="1:58" ht="14.25" customHeight="1" thickBot="1" x14ac:dyDescent="0.5">
      <c r="A332" s="618"/>
      <c r="B332" s="618"/>
      <c r="C332" s="618"/>
      <c r="D332" s="618"/>
      <c r="E332" s="618"/>
      <c r="F332" s="618"/>
      <c r="G332" s="618"/>
      <c r="H332" s="618"/>
      <c r="I332" s="618"/>
      <c r="J332" s="618"/>
      <c r="K332" s="618"/>
      <c r="L332" s="618"/>
      <c r="M332" s="618"/>
      <c r="N332" s="618"/>
      <c r="O332" s="618"/>
      <c r="P332" s="618"/>
      <c r="Q332" s="618"/>
      <c r="R332" s="618"/>
      <c r="S332" s="618"/>
      <c r="T332" s="618"/>
      <c r="U332" s="618"/>
      <c r="V332" s="618"/>
      <c r="W332" s="618"/>
      <c r="X332" s="618"/>
      <c r="Y332" s="618"/>
      <c r="Z332" s="618"/>
      <c r="AA332" s="618"/>
      <c r="AB332" s="618"/>
      <c r="AC332" s="618"/>
      <c r="AD332" s="618"/>
      <c r="AE332" s="618"/>
      <c r="AF332" s="618"/>
      <c r="AG332" s="618"/>
      <c r="AH332" s="618"/>
      <c r="AI332" s="618"/>
      <c r="AJ332" s="618"/>
      <c r="AK332" s="618"/>
      <c r="AL332" s="618"/>
      <c r="AM332" s="1"/>
      <c r="AN332" s="3"/>
      <c r="AO332" s="3"/>
      <c r="AP332" s="3"/>
      <c r="AQ332" s="3"/>
      <c r="AR332" s="3"/>
      <c r="AS332" s="3"/>
      <c r="AT332" s="3"/>
      <c r="AU332" s="3"/>
      <c r="AV332" s="3"/>
      <c r="AW332" s="3"/>
      <c r="AX332" s="3"/>
      <c r="AY332" s="3"/>
      <c r="AZ332" s="3"/>
      <c r="BA332" s="3"/>
      <c r="BB332" s="3"/>
      <c r="BC332" s="3"/>
      <c r="BD332" s="3"/>
      <c r="BE332" s="3"/>
      <c r="BF332" s="3"/>
    </row>
    <row r="333" spans="1:58" ht="14.25" customHeight="1" thickBot="1" x14ac:dyDescent="0.5">
      <c r="A333" s="4"/>
      <c r="B333" s="4"/>
      <c r="C333" s="8"/>
      <c r="D333" s="122" t="s">
        <v>160</v>
      </c>
      <c r="E333" s="151"/>
      <c r="F333" s="151"/>
      <c r="G333" s="151"/>
      <c r="H333" s="151"/>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5"/>
      <c r="AL333" s="4"/>
      <c r="AM333" s="1"/>
      <c r="AN333" s="3"/>
      <c r="AO333" s="3"/>
      <c r="AP333" s="3"/>
      <c r="AQ333" s="3"/>
      <c r="AR333" s="3"/>
      <c r="AS333" s="3"/>
      <c r="AT333" s="3"/>
      <c r="AU333" s="3"/>
      <c r="AV333" s="3"/>
      <c r="AW333" s="3"/>
      <c r="AX333" s="3"/>
      <c r="AY333" s="3"/>
      <c r="AZ333" s="3"/>
      <c r="BA333" s="3"/>
      <c r="BB333" s="3"/>
      <c r="BC333" s="3"/>
      <c r="BD333" s="3"/>
      <c r="BE333" s="3"/>
    </row>
    <row r="334" spans="1:58" ht="14.25" customHeight="1" x14ac:dyDescent="0.45">
      <c r="A334" s="618"/>
      <c r="B334" s="618"/>
      <c r="C334" s="106"/>
      <c r="D334" s="111">
        <v>1.01</v>
      </c>
      <c r="E334" s="123">
        <v>2018</v>
      </c>
      <c r="F334" s="123">
        <v>2019</v>
      </c>
      <c r="G334" s="123">
        <v>2020</v>
      </c>
      <c r="H334" s="123">
        <v>2021</v>
      </c>
      <c r="I334" s="141">
        <v>2022</v>
      </c>
      <c r="J334" s="141">
        <v>2023</v>
      </c>
      <c r="K334" s="141">
        <v>2024</v>
      </c>
      <c r="L334" s="141">
        <v>2025</v>
      </c>
      <c r="M334" s="141">
        <v>2026</v>
      </c>
      <c r="N334" s="141">
        <v>2027</v>
      </c>
      <c r="O334" s="141">
        <v>2028</v>
      </c>
      <c r="P334" s="141">
        <v>2029</v>
      </c>
      <c r="Q334" s="141">
        <v>2030</v>
      </c>
      <c r="R334" s="141">
        <v>2031</v>
      </c>
      <c r="S334" s="141">
        <v>2032</v>
      </c>
      <c r="T334" s="141">
        <v>2033</v>
      </c>
      <c r="U334" s="141">
        <v>2034</v>
      </c>
      <c r="V334" s="141">
        <v>2035</v>
      </c>
      <c r="W334" s="141">
        <v>2036</v>
      </c>
      <c r="X334" s="141">
        <v>2037</v>
      </c>
      <c r="Y334" s="141">
        <v>2038</v>
      </c>
      <c r="Z334" s="141">
        <v>2039</v>
      </c>
      <c r="AA334" s="141">
        <v>2040</v>
      </c>
      <c r="AB334" s="141">
        <v>2041</v>
      </c>
      <c r="AC334" s="141">
        <v>2042</v>
      </c>
      <c r="AD334" s="141">
        <v>2043</v>
      </c>
      <c r="AE334" s="141">
        <v>2044</v>
      </c>
      <c r="AF334" s="141">
        <v>2045</v>
      </c>
      <c r="AG334" s="141">
        <v>2046</v>
      </c>
      <c r="AH334" s="141">
        <v>2047</v>
      </c>
      <c r="AI334" s="141">
        <v>2048</v>
      </c>
      <c r="AJ334" s="141">
        <v>2049</v>
      </c>
      <c r="AK334" s="142">
        <v>2050</v>
      </c>
      <c r="AL334" s="141">
        <v>2051</v>
      </c>
      <c r="AM334" s="141">
        <v>2052</v>
      </c>
      <c r="AN334" s="141">
        <v>2053</v>
      </c>
      <c r="AO334" s="141">
        <v>2054</v>
      </c>
      <c r="AP334" s="141">
        <v>2055</v>
      </c>
      <c r="AQ334" s="141">
        <v>2056</v>
      </c>
      <c r="AR334" s="141">
        <v>2057</v>
      </c>
      <c r="AS334" s="141">
        <v>2058</v>
      </c>
      <c r="AT334" s="142">
        <v>2059</v>
      </c>
      <c r="AU334" s="141">
        <v>2060</v>
      </c>
      <c r="AV334" s="141">
        <v>2061</v>
      </c>
      <c r="AW334" s="141">
        <v>2062</v>
      </c>
      <c r="AX334" s="141">
        <v>2063</v>
      </c>
      <c r="AY334" s="141">
        <v>2064</v>
      </c>
      <c r="AZ334" s="141">
        <v>2065</v>
      </c>
      <c r="BA334" s="141">
        <v>2066</v>
      </c>
      <c r="BB334" s="141">
        <v>2067</v>
      </c>
      <c r="BC334" s="142">
        <v>2068</v>
      </c>
      <c r="BD334" s="141">
        <v>2069</v>
      </c>
      <c r="BE334" s="141">
        <v>2070</v>
      </c>
    </row>
    <row r="335" spans="1:58" ht="14.25" customHeight="1" x14ac:dyDescent="0.45">
      <c r="A335" s="618">
        <v>1</v>
      </c>
      <c r="B335" s="618"/>
      <c r="C335" s="130"/>
      <c r="D335" s="115" t="s">
        <v>49</v>
      </c>
      <c r="E335" s="132">
        <v>99999</v>
      </c>
      <c r="F335" s="132">
        <v>99999</v>
      </c>
      <c r="G335" s="132">
        <v>99999</v>
      </c>
      <c r="H335" s="132">
        <v>99999</v>
      </c>
      <c r="I335" s="132">
        <f>I323*1.01</f>
        <v>79.264597999999992</v>
      </c>
      <c r="J335" s="132">
        <f t="shared" ref="J335:BE340" si="41">J323*1.01</f>
        <v>79.264597999999992</v>
      </c>
      <c r="K335" s="132">
        <f t="shared" si="41"/>
        <v>79.264597999999992</v>
      </c>
      <c r="L335" s="132">
        <f t="shared" si="41"/>
        <v>79.264597999999992</v>
      </c>
      <c r="M335" s="132">
        <f t="shared" si="41"/>
        <v>79.264597999999992</v>
      </c>
      <c r="N335" s="132">
        <f t="shared" si="41"/>
        <v>79.264597999999992</v>
      </c>
      <c r="O335" s="132">
        <f t="shared" si="41"/>
        <v>79.264597999999992</v>
      </c>
      <c r="P335" s="132">
        <f t="shared" si="41"/>
        <v>79.264597999999992</v>
      </c>
      <c r="Q335" s="132">
        <f t="shared" si="41"/>
        <v>79.264597999999992</v>
      </c>
      <c r="R335" s="132">
        <f t="shared" si="41"/>
        <v>79.264597999999992</v>
      </c>
      <c r="S335" s="132">
        <f t="shared" si="41"/>
        <v>79.264597999999992</v>
      </c>
      <c r="T335" s="132">
        <f t="shared" si="41"/>
        <v>79.264597999999992</v>
      </c>
      <c r="U335" s="132">
        <f t="shared" si="41"/>
        <v>79.264597999999992</v>
      </c>
      <c r="V335" s="132">
        <f t="shared" si="41"/>
        <v>79.264597999999992</v>
      </c>
      <c r="W335" s="132">
        <f t="shared" si="41"/>
        <v>79.264597999999992</v>
      </c>
      <c r="X335" s="132">
        <f t="shared" si="41"/>
        <v>79.264597999999992</v>
      </c>
      <c r="Y335" s="132">
        <f t="shared" si="41"/>
        <v>79.264597999999992</v>
      </c>
      <c r="Z335" s="132">
        <f t="shared" si="41"/>
        <v>79.264597999999992</v>
      </c>
      <c r="AA335" s="132">
        <f t="shared" si="41"/>
        <v>79.264597999999992</v>
      </c>
      <c r="AB335" s="132">
        <f t="shared" si="41"/>
        <v>79.264597999999992</v>
      </c>
      <c r="AC335" s="132">
        <f t="shared" si="41"/>
        <v>79.264597999999992</v>
      </c>
      <c r="AD335" s="132">
        <f t="shared" si="41"/>
        <v>79.264597999999992</v>
      </c>
      <c r="AE335" s="132">
        <f t="shared" si="41"/>
        <v>79.264597999999992</v>
      </c>
      <c r="AF335" s="132">
        <f t="shared" si="41"/>
        <v>79.264597999999992</v>
      </c>
      <c r="AG335" s="132">
        <f t="shared" si="41"/>
        <v>79.264597999999992</v>
      </c>
      <c r="AH335" s="132">
        <f t="shared" si="41"/>
        <v>79.264597999999992</v>
      </c>
      <c r="AI335" s="132">
        <f t="shared" si="41"/>
        <v>79.264597999999992</v>
      </c>
      <c r="AJ335" s="132">
        <f t="shared" si="41"/>
        <v>79.264597999999992</v>
      </c>
      <c r="AK335" s="132">
        <f t="shared" si="41"/>
        <v>79.264597999999992</v>
      </c>
      <c r="AL335" s="132">
        <f t="shared" si="41"/>
        <v>79.264597999999992</v>
      </c>
      <c r="AM335" s="132">
        <f t="shared" si="41"/>
        <v>79.264597999999992</v>
      </c>
      <c r="AN335" s="132">
        <f t="shared" si="41"/>
        <v>79.264597999999992</v>
      </c>
      <c r="AO335" s="132">
        <f t="shared" si="41"/>
        <v>79.264597999999992</v>
      </c>
      <c r="AP335" s="132">
        <f t="shared" si="41"/>
        <v>79.264597999999992</v>
      </c>
      <c r="AQ335" s="132">
        <f t="shared" si="41"/>
        <v>79.264597999999992</v>
      </c>
      <c r="AR335" s="132">
        <f t="shared" si="41"/>
        <v>79.264597999999992</v>
      </c>
      <c r="AS335" s="132">
        <f t="shared" si="41"/>
        <v>79.264597999999992</v>
      </c>
      <c r="AT335" s="132">
        <f t="shared" si="41"/>
        <v>79.264597999999992</v>
      </c>
      <c r="AU335" s="132">
        <f t="shared" si="41"/>
        <v>79.264597999999992</v>
      </c>
      <c r="AV335" s="132">
        <f t="shared" si="41"/>
        <v>79.264597999999992</v>
      </c>
      <c r="AW335" s="132">
        <f t="shared" si="41"/>
        <v>79.264597999999992</v>
      </c>
      <c r="AX335" s="132">
        <f t="shared" si="41"/>
        <v>79.264597999999992</v>
      </c>
      <c r="AY335" s="132">
        <f t="shared" si="41"/>
        <v>79.264597999999992</v>
      </c>
      <c r="AZ335" s="132">
        <f t="shared" si="41"/>
        <v>79.264597999999992</v>
      </c>
      <c r="BA335" s="132">
        <f t="shared" si="41"/>
        <v>79.264597999999992</v>
      </c>
      <c r="BB335" s="132">
        <f t="shared" si="41"/>
        <v>79.264597999999992</v>
      </c>
      <c r="BC335" s="132">
        <f t="shared" si="41"/>
        <v>79.264597999999992</v>
      </c>
      <c r="BD335" s="132">
        <f t="shared" si="41"/>
        <v>79.264597999999992</v>
      </c>
      <c r="BE335" s="132">
        <f t="shared" si="41"/>
        <v>79.264597999999992</v>
      </c>
    </row>
    <row r="336" spans="1:58" ht="14.25" customHeight="1" x14ac:dyDescent="0.45">
      <c r="A336" s="618">
        <v>1</v>
      </c>
      <c r="B336" s="618"/>
      <c r="C336" s="130"/>
      <c r="D336" s="115" t="s">
        <v>50</v>
      </c>
      <c r="E336" s="132">
        <v>99999</v>
      </c>
      <c r="F336" s="132">
        <v>99999</v>
      </c>
      <c r="G336" s="132">
        <v>99999</v>
      </c>
      <c r="H336" s="132">
        <v>99999</v>
      </c>
      <c r="I336" s="132">
        <f t="shared" ref="I336:X341" si="42">I324*1.01</f>
        <v>65.998853999999994</v>
      </c>
      <c r="J336" s="132">
        <f t="shared" si="42"/>
        <v>65.998853999999994</v>
      </c>
      <c r="K336" s="132">
        <f t="shared" si="42"/>
        <v>65.998853999999994</v>
      </c>
      <c r="L336" s="132">
        <f t="shared" si="42"/>
        <v>65.998853999999994</v>
      </c>
      <c r="M336" s="132">
        <f t="shared" si="42"/>
        <v>65.998853999999994</v>
      </c>
      <c r="N336" s="132">
        <f t="shared" si="42"/>
        <v>65.998853999999994</v>
      </c>
      <c r="O336" s="132">
        <f t="shared" si="42"/>
        <v>65.998853999999994</v>
      </c>
      <c r="P336" s="132">
        <f t="shared" si="42"/>
        <v>65.998853999999994</v>
      </c>
      <c r="Q336" s="132">
        <f t="shared" si="42"/>
        <v>65.998853999999994</v>
      </c>
      <c r="R336" s="132">
        <f t="shared" si="42"/>
        <v>65.998853999999994</v>
      </c>
      <c r="S336" s="132">
        <f t="shared" si="42"/>
        <v>65.998853999999994</v>
      </c>
      <c r="T336" s="132">
        <f t="shared" si="42"/>
        <v>65.998853999999994</v>
      </c>
      <c r="U336" s="132">
        <f t="shared" si="42"/>
        <v>65.998853999999994</v>
      </c>
      <c r="V336" s="132">
        <f t="shared" si="42"/>
        <v>65.998853999999994</v>
      </c>
      <c r="W336" s="132">
        <f t="shared" si="42"/>
        <v>65.998853999999994</v>
      </c>
      <c r="X336" s="132">
        <f t="shared" si="42"/>
        <v>65.998853999999994</v>
      </c>
      <c r="Y336" s="132">
        <f t="shared" si="41"/>
        <v>65.998853999999994</v>
      </c>
      <c r="Z336" s="132">
        <f t="shared" si="41"/>
        <v>65.998853999999994</v>
      </c>
      <c r="AA336" s="132">
        <f t="shared" si="41"/>
        <v>65.998853999999994</v>
      </c>
      <c r="AB336" s="132">
        <f t="shared" si="41"/>
        <v>65.998853999999994</v>
      </c>
      <c r="AC336" s="132">
        <f t="shared" si="41"/>
        <v>65.998853999999994</v>
      </c>
      <c r="AD336" s="132">
        <f t="shared" si="41"/>
        <v>65.998853999999994</v>
      </c>
      <c r="AE336" s="132">
        <f t="shared" si="41"/>
        <v>65.998853999999994</v>
      </c>
      <c r="AF336" s="132">
        <f t="shared" si="41"/>
        <v>65.998853999999994</v>
      </c>
      <c r="AG336" s="132">
        <f t="shared" si="41"/>
        <v>65.998853999999994</v>
      </c>
      <c r="AH336" s="132">
        <f t="shared" si="41"/>
        <v>65.998853999999994</v>
      </c>
      <c r="AI336" s="132">
        <f t="shared" si="41"/>
        <v>65.998853999999994</v>
      </c>
      <c r="AJ336" s="132">
        <f t="shared" si="41"/>
        <v>65.998853999999994</v>
      </c>
      <c r="AK336" s="132">
        <f t="shared" si="41"/>
        <v>65.998853999999994</v>
      </c>
      <c r="AL336" s="132">
        <f t="shared" si="41"/>
        <v>65.998853999999994</v>
      </c>
      <c r="AM336" s="132">
        <f t="shared" si="41"/>
        <v>65.998853999999994</v>
      </c>
      <c r="AN336" s="132">
        <f t="shared" si="41"/>
        <v>65.998853999999994</v>
      </c>
      <c r="AO336" s="132">
        <f t="shared" si="41"/>
        <v>65.998853999999994</v>
      </c>
      <c r="AP336" s="132">
        <f t="shared" si="41"/>
        <v>65.998853999999994</v>
      </c>
      <c r="AQ336" s="132">
        <f t="shared" si="41"/>
        <v>65.998853999999994</v>
      </c>
      <c r="AR336" s="132">
        <f t="shared" si="41"/>
        <v>65.998853999999994</v>
      </c>
      <c r="AS336" s="132">
        <f t="shared" si="41"/>
        <v>65.998853999999994</v>
      </c>
      <c r="AT336" s="132">
        <f t="shared" si="41"/>
        <v>65.998853999999994</v>
      </c>
      <c r="AU336" s="132">
        <f t="shared" si="41"/>
        <v>65.998853999999994</v>
      </c>
      <c r="AV336" s="132">
        <f t="shared" si="41"/>
        <v>65.998853999999994</v>
      </c>
      <c r="AW336" s="132">
        <f t="shared" si="41"/>
        <v>65.998853999999994</v>
      </c>
      <c r="AX336" s="132">
        <f t="shared" si="41"/>
        <v>65.998853999999994</v>
      </c>
      <c r="AY336" s="132">
        <f t="shared" si="41"/>
        <v>65.998853999999994</v>
      </c>
      <c r="AZ336" s="132">
        <f t="shared" si="41"/>
        <v>65.998853999999994</v>
      </c>
      <c r="BA336" s="132">
        <f t="shared" si="41"/>
        <v>65.998853999999994</v>
      </c>
      <c r="BB336" s="132">
        <f t="shared" si="41"/>
        <v>65.998853999999994</v>
      </c>
      <c r="BC336" s="132">
        <f t="shared" si="41"/>
        <v>65.998853999999994</v>
      </c>
      <c r="BD336" s="132">
        <f t="shared" si="41"/>
        <v>65.998853999999994</v>
      </c>
      <c r="BE336" s="132">
        <f t="shared" si="41"/>
        <v>65.998853999999994</v>
      </c>
    </row>
    <row r="337" spans="1:58" ht="14.25" customHeight="1" x14ac:dyDescent="0.45">
      <c r="A337" s="618">
        <v>1</v>
      </c>
      <c r="B337" s="618"/>
      <c r="C337" s="130"/>
      <c r="D337" s="115" t="s">
        <v>51</v>
      </c>
      <c r="E337" s="132">
        <v>99999</v>
      </c>
      <c r="F337" s="132">
        <v>99999</v>
      </c>
      <c r="G337" s="132">
        <v>99999</v>
      </c>
      <c r="H337" s="132">
        <v>99999</v>
      </c>
      <c r="I337" s="132">
        <f t="shared" si="42"/>
        <v>6.5794430000000004</v>
      </c>
      <c r="J337" s="132">
        <f t="shared" si="41"/>
        <v>6.5794430000000004</v>
      </c>
      <c r="K337" s="132">
        <f t="shared" si="41"/>
        <v>6.5794430000000004</v>
      </c>
      <c r="L337" s="132">
        <f t="shared" si="41"/>
        <v>6.5794430000000004</v>
      </c>
      <c r="M337" s="132">
        <f t="shared" si="41"/>
        <v>6.5794430000000004</v>
      </c>
      <c r="N337" s="132">
        <f t="shared" si="41"/>
        <v>6.5794430000000004</v>
      </c>
      <c r="O337" s="132">
        <f t="shared" si="41"/>
        <v>6.5794430000000004</v>
      </c>
      <c r="P337" s="132">
        <f t="shared" si="41"/>
        <v>6.5794430000000004</v>
      </c>
      <c r="Q337" s="132">
        <f t="shared" si="41"/>
        <v>6.5794430000000004</v>
      </c>
      <c r="R337" s="132">
        <f t="shared" si="41"/>
        <v>6.5794430000000004</v>
      </c>
      <c r="S337" s="132">
        <f t="shared" si="41"/>
        <v>6.5794430000000004</v>
      </c>
      <c r="T337" s="132">
        <f t="shared" si="41"/>
        <v>6.5794430000000004</v>
      </c>
      <c r="U337" s="132">
        <f t="shared" si="41"/>
        <v>6.5794430000000004</v>
      </c>
      <c r="V337" s="132">
        <f t="shared" si="41"/>
        <v>6.5794430000000004</v>
      </c>
      <c r="W337" s="132">
        <f t="shared" si="41"/>
        <v>6.5794430000000004</v>
      </c>
      <c r="X337" s="132">
        <f t="shared" si="41"/>
        <v>6.5794430000000004</v>
      </c>
      <c r="Y337" s="132">
        <f t="shared" si="41"/>
        <v>6.5794430000000004</v>
      </c>
      <c r="Z337" s="132">
        <f t="shared" si="41"/>
        <v>6.5794430000000004</v>
      </c>
      <c r="AA337" s="132">
        <f t="shared" si="41"/>
        <v>6.5794430000000004</v>
      </c>
      <c r="AB337" s="132">
        <f t="shared" si="41"/>
        <v>6.5794430000000004</v>
      </c>
      <c r="AC337" s="132">
        <f t="shared" si="41"/>
        <v>6.5794430000000004</v>
      </c>
      <c r="AD337" s="132">
        <f t="shared" si="41"/>
        <v>6.5794430000000004</v>
      </c>
      <c r="AE337" s="132">
        <f t="shared" si="41"/>
        <v>6.5794430000000004</v>
      </c>
      <c r="AF337" s="132">
        <f t="shared" si="41"/>
        <v>6.5794430000000004</v>
      </c>
      <c r="AG337" s="132">
        <f t="shared" si="41"/>
        <v>6.5794430000000004</v>
      </c>
      <c r="AH337" s="132">
        <f t="shared" si="41"/>
        <v>6.5794430000000004</v>
      </c>
      <c r="AI337" s="132">
        <f t="shared" si="41"/>
        <v>6.5794430000000004</v>
      </c>
      <c r="AJ337" s="132">
        <f t="shared" si="41"/>
        <v>6.5794430000000004</v>
      </c>
      <c r="AK337" s="132">
        <f t="shared" si="41"/>
        <v>6.5794430000000004</v>
      </c>
      <c r="AL337" s="132">
        <f t="shared" si="41"/>
        <v>6.5794430000000004</v>
      </c>
      <c r="AM337" s="132">
        <f t="shared" si="41"/>
        <v>6.5794430000000004</v>
      </c>
      <c r="AN337" s="132">
        <f t="shared" si="41"/>
        <v>6.5794430000000004</v>
      </c>
      <c r="AO337" s="132">
        <f t="shared" si="41"/>
        <v>6.5794430000000004</v>
      </c>
      <c r="AP337" s="132">
        <f t="shared" si="41"/>
        <v>6.5794430000000004</v>
      </c>
      <c r="AQ337" s="132">
        <f t="shared" si="41"/>
        <v>6.5794430000000004</v>
      </c>
      <c r="AR337" s="132">
        <f t="shared" si="41"/>
        <v>6.5794430000000004</v>
      </c>
      <c r="AS337" s="132">
        <f t="shared" si="41"/>
        <v>6.5794430000000004</v>
      </c>
      <c r="AT337" s="132">
        <f t="shared" si="41"/>
        <v>6.5794430000000004</v>
      </c>
      <c r="AU337" s="132">
        <f t="shared" si="41"/>
        <v>6.5794430000000004</v>
      </c>
      <c r="AV337" s="132">
        <f t="shared" si="41"/>
        <v>6.5794430000000004</v>
      </c>
      <c r="AW337" s="132">
        <f t="shared" si="41"/>
        <v>6.5794430000000004</v>
      </c>
      <c r="AX337" s="132">
        <f t="shared" si="41"/>
        <v>6.5794430000000004</v>
      </c>
      <c r="AY337" s="132">
        <f t="shared" si="41"/>
        <v>6.5794430000000004</v>
      </c>
      <c r="AZ337" s="132">
        <f t="shared" si="41"/>
        <v>6.5794430000000004</v>
      </c>
      <c r="BA337" s="132">
        <f t="shared" si="41"/>
        <v>6.5794430000000004</v>
      </c>
      <c r="BB337" s="132">
        <f t="shared" si="41"/>
        <v>6.5794430000000004</v>
      </c>
      <c r="BC337" s="132">
        <f t="shared" si="41"/>
        <v>6.5794430000000004</v>
      </c>
      <c r="BD337" s="132">
        <f t="shared" si="41"/>
        <v>6.5794430000000004</v>
      </c>
      <c r="BE337" s="132">
        <f t="shared" si="41"/>
        <v>6.5794430000000004</v>
      </c>
    </row>
    <row r="338" spans="1:58" ht="14.25" customHeight="1" x14ac:dyDescent="0.45">
      <c r="A338" s="618">
        <v>1</v>
      </c>
      <c r="B338" s="618"/>
      <c r="C338" s="130"/>
      <c r="D338" s="115" t="s">
        <v>52</v>
      </c>
      <c r="E338" s="132">
        <v>99999</v>
      </c>
      <c r="F338" s="132">
        <v>99999</v>
      </c>
      <c r="G338" s="132">
        <v>99999</v>
      </c>
      <c r="H338" s="132">
        <v>99999</v>
      </c>
      <c r="I338" s="132">
        <f t="shared" si="42"/>
        <v>137.71511599999999</v>
      </c>
      <c r="J338" s="132">
        <f t="shared" si="41"/>
        <v>137.71511599999999</v>
      </c>
      <c r="K338" s="132">
        <f t="shared" si="41"/>
        <v>137.71511599999999</v>
      </c>
      <c r="L338" s="132">
        <f t="shared" si="41"/>
        <v>137.71511599999999</v>
      </c>
      <c r="M338" s="132">
        <f t="shared" si="41"/>
        <v>137.71511599999999</v>
      </c>
      <c r="N338" s="132">
        <f t="shared" si="41"/>
        <v>137.71511599999999</v>
      </c>
      <c r="O338" s="132">
        <f t="shared" si="41"/>
        <v>137.71511599999999</v>
      </c>
      <c r="P338" s="132">
        <f t="shared" si="41"/>
        <v>137.71511599999999</v>
      </c>
      <c r="Q338" s="132">
        <f t="shared" si="41"/>
        <v>137.71511599999999</v>
      </c>
      <c r="R338" s="132">
        <f t="shared" si="41"/>
        <v>137.71511599999999</v>
      </c>
      <c r="S338" s="132">
        <f t="shared" si="41"/>
        <v>137.71511599999999</v>
      </c>
      <c r="T338" s="132">
        <f t="shared" si="41"/>
        <v>137.71511599999999</v>
      </c>
      <c r="U338" s="132">
        <f t="shared" si="41"/>
        <v>137.71511599999999</v>
      </c>
      <c r="V338" s="132">
        <f t="shared" si="41"/>
        <v>137.71511599999999</v>
      </c>
      <c r="W338" s="132">
        <f t="shared" si="41"/>
        <v>137.71511599999999</v>
      </c>
      <c r="X338" s="132">
        <f t="shared" si="41"/>
        <v>137.71511599999999</v>
      </c>
      <c r="Y338" s="132">
        <f t="shared" si="41"/>
        <v>137.71511599999999</v>
      </c>
      <c r="Z338" s="132">
        <f t="shared" si="41"/>
        <v>137.71511599999999</v>
      </c>
      <c r="AA338" s="132">
        <f t="shared" si="41"/>
        <v>137.71511599999999</v>
      </c>
      <c r="AB338" s="132">
        <f t="shared" si="41"/>
        <v>137.71511599999999</v>
      </c>
      <c r="AC338" s="132">
        <f t="shared" si="41"/>
        <v>137.71511599999999</v>
      </c>
      <c r="AD338" s="132">
        <f t="shared" si="41"/>
        <v>137.71511599999999</v>
      </c>
      <c r="AE338" s="132">
        <f t="shared" si="41"/>
        <v>137.71511599999999</v>
      </c>
      <c r="AF338" s="132">
        <f t="shared" si="41"/>
        <v>137.71511599999999</v>
      </c>
      <c r="AG338" s="132">
        <f t="shared" si="41"/>
        <v>137.71511599999999</v>
      </c>
      <c r="AH338" s="132">
        <f t="shared" si="41"/>
        <v>137.71511599999999</v>
      </c>
      <c r="AI338" s="132">
        <f t="shared" si="41"/>
        <v>137.71511599999999</v>
      </c>
      <c r="AJ338" s="132">
        <f t="shared" si="41"/>
        <v>137.71511599999999</v>
      </c>
      <c r="AK338" s="132">
        <f t="shared" si="41"/>
        <v>137.71511599999999</v>
      </c>
      <c r="AL338" s="132">
        <f t="shared" si="41"/>
        <v>137.71511599999999</v>
      </c>
      <c r="AM338" s="132">
        <f t="shared" si="41"/>
        <v>137.71511599999999</v>
      </c>
      <c r="AN338" s="132">
        <f t="shared" si="41"/>
        <v>137.71511599999999</v>
      </c>
      <c r="AO338" s="132">
        <f t="shared" si="41"/>
        <v>137.71511599999999</v>
      </c>
      <c r="AP338" s="132">
        <f t="shared" si="41"/>
        <v>137.71511599999999</v>
      </c>
      <c r="AQ338" s="132">
        <f t="shared" si="41"/>
        <v>137.71511599999999</v>
      </c>
      <c r="AR338" s="132">
        <f t="shared" si="41"/>
        <v>137.71511599999999</v>
      </c>
      <c r="AS338" s="132">
        <f t="shared" si="41"/>
        <v>137.71511599999999</v>
      </c>
      <c r="AT338" s="132">
        <f t="shared" si="41"/>
        <v>137.71511599999999</v>
      </c>
      <c r="AU338" s="132">
        <f t="shared" si="41"/>
        <v>137.71511599999999</v>
      </c>
      <c r="AV338" s="132">
        <f t="shared" si="41"/>
        <v>137.71511599999999</v>
      </c>
      <c r="AW338" s="132">
        <f t="shared" si="41"/>
        <v>137.71511599999999</v>
      </c>
      <c r="AX338" s="132">
        <f t="shared" si="41"/>
        <v>137.71511599999999</v>
      </c>
      <c r="AY338" s="132">
        <f t="shared" si="41"/>
        <v>137.71511599999999</v>
      </c>
      <c r="AZ338" s="132">
        <f t="shared" si="41"/>
        <v>137.71511599999999</v>
      </c>
      <c r="BA338" s="132">
        <f t="shared" si="41"/>
        <v>137.71511599999999</v>
      </c>
      <c r="BB338" s="132">
        <f t="shared" si="41"/>
        <v>137.71511599999999</v>
      </c>
      <c r="BC338" s="132">
        <f t="shared" si="41"/>
        <v>137.71511599999999</v>
      </c>
      <c r="BD338" s="132">
        <f t="shared" si="41"/>
        <v>137.71511599999999</v>
      </c>
      <c r="BE338" s="132">
        <f t="shared" si="41"/>
        <v>137.71511599999999</v>
      </c>
    </row>
    <row r="339" spans="1:58" ht="14.25" customHeight="1" x14ac:dyDescent="0.45">
      <c r="A339" s="618">
        <v>1</v>
      </c>
      <c r="B339" s="618"/>
      <c r="C339" s="130"/>
      <c r="D339" s="516" t="s">
        <v>53</v>
      </c>
      <c r="E339" s="132">
        <v>99999</v>
      </c>
      <c r="F339" s="132">
        <v>99999</v>
      </c>
      <c r="G339" s="132">
        <v>99999</v>
      </c>
      <c r="H339" s="132">
        <v>99999</v>
      </c>
      <c r="I339" s="132">
        <f t="shared" si="42"/>
        <v>16.502592000000003</v>
      </c>
      <c r="J339" s="132">
        <f t="shared" si="41"/>
        <v>16.502592000000003</v>
      </c>
      <c r="K339" s="132">
        <f t="shared" si="41"/>
        <v>16.502592000000003</v>
      </c>
      <c r="L339" s="132">
        <f t="shared" si="41"/>
        <v>16.502592000000003</v>
      </c>
      <c r="M339" s="132">
        <f t="shared" si="41"/>
        <v>16.502592000000003</v>
      </c>
      <c r="N339" s="132">
        <f t="shared" si="41"/>
        <v>16.502592000000003</v>
      </c>
      <c r="O339" s="132">
        <f t="shared" si="41"/>
        <v>16.502592000000003</v>
      </c>
      <c r="P339" s="132">
        <f t="shared" si="41"/>
        <v>16.502592000000003</v>
      </c>
      <c r="Q339" s="132">
        <f t="shared" si="41"/>
        <v>16.502592000000003</v>
      </c>
      <c r="R339" s="132">
        <f t="shared" si="41"/>
        <v>16.502592000000003</v>
      </c>
      <c r="S339" s="132">
        <f t="shared" si="41"/>
        <v>16.502592000000003</v>
      </c>
      <c r="T339" s="132">
        <f t="shared" si="41"/>
        <v>16.502592000000003</v>
      </c>
      <c r="U339" s="132">
        <f t="shared" si="41"/>
        <v>16.502592000000003</v>
      </c>
      <c r="V339" s="132">
        <f t="shared" si="41"/>
        <v>16.502592000000003</v>
      </c>
      <c r="W339" s="132">
        <f t="shared" si="41"/>
        <v>16.502592000000003</v>
      </c>
      <c r="X339" s="132">
        <f t="shared" si="41"/>
        <v>16.502592000000003</v>
      </c>
      <c r="Y339" s="132">
        <f t="shared" si="41"/>
        <v>16.502592000000003</v>
      </c>
      <c r="Z339" s="132">
        <f t="shared" si="41"/>
        <v>16.502592000000003</v>
      </c>
      <c r="AA339" s="132">
        <f t="shared" si="41"/>
        <v>16.502592000000003</v>
      </c>
      <c r="AB339" s="132">
        <f t="shared" si="41"/>
        <v>16.502592000000003</v>
      </c>
      <c r="AC339" s="132">
        <f t="shared" si="41"/>
        <v>16.502592000000003</v>
      </c>
      <c r="AD339" s="132">
        <f t="shared" si="41"/>
        <v>16.502592000000003</v>
      </c>
      <c r="AE339" s="132">
        <f t="shared" si="41"/>
        <v>16.502592000000003</v>
      </c>
      <c r="AF339" s="132">
        <f t="shared" si="41"/>
        <v>16.502592000000003</v>
      </c>
      <c r="AG339" s="132">
        <f t="shared" si="41"/>
        <v>16.502592000000003</v>
      </c>
      <c r="AH339" s="132">
        <f t="shared" si="41"/>
        <v>16.502592000000003</v>
      </c>
      <c r="AI339" s="132">
        <f t="shared" si="41"/>
        <v>16.502592000000003</v>
      </c>
      <c r="AJ339" s="132">
        <f t="shared" si="41"/>
        <v>16.502592000000003</v>
      </c>
      <c r="AK339" s="132">
        <f t="shared" si="41"/>
        <v>16.502592000000003</v>
      </c>
      <c r="AL339" s="132">
        <f t="shared" si="41"/>
        <v>16.502592000000003</v>
      </c>
      <c r="AM339" s="132">
        <f t="shared" si="41"/>
        <v>16.502592000000003</v>
      </c>
      <c r="AN339" s="132">
        <f t="shared" si="41"/>
        <v>16.502592000000003</v>
      </c>
      <c r="AO339" s="132">
        <f t="shared" si="41"/>
        <v>16.502592000000003</v>
      </c>
      <c r="AP339" s="132">
        <f t="shared" si="41"/>
        <v>16.502592000000003</v>
      </c>
      <c r="AQ339" s="132">
        <f t="shared" si="41"/>
        <v>16.502592000000003</v>
      </c>
      <c r="AR339" s="132">
        <f t="shared" si="41"/>
        <v>16.502592000000003</v>
      </c>
      <c r="AS339" s="132">
        <f t="shared" si="41"/>
        <v>16.502592000000003</v>
      </c>
      <c r="AT339" s="132">
        <f t="shared" si="41"/>
        <v>16.502592000000003</v>
      </c>
      <c r="AU339" s="132">
        <f t="shared" si="41"/>
        <v>16.502592000000003</v>
      </c>
      <c r="AV339" s="132">
        <f t="shared" si="41"/>
        <v>16.502592000000003</v>
      </c>
      <c r="AW339" s="132">
        <f t="shared" si="41"/>
        <v>16.502592000000003</v>
      </c>
      <c r="AX339" s="132">
        <f t="shared" si="41"/>
        <v>16.502592000000003</v>
      </c>
      <c r="AY339" s="132">
        <f t="shared" si="41"/>
        <v>16.502592000000003</v>
      </c>
      <c r="AZ339" s="132">
        <f t="shared" si="41"/>
        <v>16.502592000000003</v>
      </c>
      <c r="BA339" s="132">
        <f t="shared" si="41"/>
        <v>16.502592000000003</v>
      </c>
      <c r="BB339" s="132">
        <f t="shared" si="41"/>
        <v>16.502592000000003</v>
      </c>
      <c r="BC339" s="132">
        <f t="shared" si="41"/>
        <v>16.502592000000003</v>
      </c>
      <c r="BD339" s="132">
        <f t="shared" si="41"/>
        <v>16.502592000000003</v>
      </c>
      <c r="BE339" s="132">
        <f t="shared" si="41"/>
        <v>16.502592000000003</v>
      </c>
    </row>
    <row r="340" spans="1:58" ht="14.25" customHeight="1" x14ac:dyDescent="0.45">
      <c r="A340" s="618">
        <v>1</v>
      </c>
      <c r="B340" s="618"/>
      <c r="C340" s="130"/>
      <c r="D340" s="517" t="s">
        <v>159</v>
      </c>
      <c r="E340" s="132">
        <f t="shared" ref="E340:H342" si="43">(SUMIF($D$77:$D$113,$D340,E$77:E$113))*$D$334</f>
        <v>35.335824633707041</v>
      </c>
      <c r="F340" s="132">
        <f t="shared" si="43"/>
        <v>34.344733215652518</v>
      </c>
      <c r="G340" s="132">
        <f t="shared" si="43"/>
        <v>31.547209613994909</v>
      </c>
      <c r="H340" s="132">
        <f t="shared" si="43"/>
        <v>34.544083347533437</v>
      </c>
      <c r="I340" s="132">
        <f t="shared" si="42"/>
        <v>34.982461000000001</v>
      </c>
      <c r="J340" s="132">
        <f t="shared" si="41"/>
        <v>34.982461000000001</v>
      </c>
      <c r="K340" s="132">
        <f t="shared" si="41"/>
        <v>34.982461000000001</v>
      </c>
      <c r="L340" s="132">
        <f t="shared" si="41"/>
        <v>34.982461000000001</v>
      </c>
      <c r="M340" s="132">
        <f t="shared" si="41"/>
        <v>34.982461000000001</v>
      </c>
      <c r="N340" s="132">
        <f t="shared" si="41"/>
        <v>34.982461000000001</v>
      </c>
      <c r="O340" s="132">
        <f t="shared" si="41"/>
        <v>34.982461000000001</v>
      </c>
      <c r="P340" s="132">
        <f t="shared" si="41"/>
        <v>34.982461000000001</v>
      </c>
      <c r="Q340" s="132">
        <f t="shared" si="41"/>
        <v>34.982461000000001</v>
      </c>
      <c r="R340" s="132">
        <f t="shared" si="41"/>
        <v>34.982461000000001</v>
      </c>
      <c r="S340" s="132">
        <f t="shared" si="41"/>
        <v>34.982461000000001</v>
      </c>
      <c r="T340" s="132">
        <f t="shared" si="41"/>
        <v>34.982461000000001</v>
      </c>
      <c r="U340" s="132">
        <f t="shared" si="41"/>
        <v>34.982461000000001</v>
      </c>
      <c r="V340" s="132">
        <f t="shared" si="41"/>
        <v>34.982461000000001</v>
      </c>
      <c r="W340" s="132">
        <f t="shared" si="41"/>
        <v>34.982461000000001</v>
      </c>
      <c r="X340" s="132">
        <f t="shared" si="41"/>
        <v>34.982461000000001</v>
      </c>
      <c r="Y340" s="132">
        <f t="shared" si="41"/>
        <v>34.982461000000001</v>
      </c>
      <c r="Z340" s="132">
        <f t="shared" si="41"/>
        <v>34.982461000000001</v>
      </c>
      <c r="AA340" s="132">
        <f t="shared" si="41"/>
        <v>34.982461000000001</v>
      </c>
      <c r="AB340" s="132">
        <f t="shared" si="41"/>
        <v>34.982461000000001</v>
      </c>
      <c r="AC340" s="132">
        <f t="shared" si="41"/>
        <v>34.982461000000001</v>
      </c>
      <c r="AD340" s="132">
        <f t="shared" si="41"/>
        <v>34.982461000000001</v>
      </c>
      <c r="AE340" s="132">
        <f t="shared" si="41"/>
        <v>34.982461000000001</v>
      </c>
      <c r="AF340" s="132">
        <f t="shared" si="41"/>
        <v>34.982461000000001</v>
      </c>
      <c r="AG340" s="132">
        <f t="shared" si="41"/>
        <v>34.982461000000001</v>
      </c>
      <c r="AH340" s="132">
        <f t="shared" si="41"/>
        <v>34.982461000000001</v>
      </c>
      <c r="AI340" s="132">
        <f t="shared" si="41"/>
        <v>34.982461000000001</v>
      </c>
      <c r="AJ340" s="132">
        <f t="shared" si="41"/>
        <v>34.982461000000001</v>
      </c>
      <c r="AK340" s="132">
        <f t="shared" si="41"/>
        <v>34.982461000000001</v>
      </c>
      <c r="AL340" s="132">
        <f t="shared" si="41"/>
        <v>34.982461000000001</v>
      </c>
      <c r="AM340" s="132">
        <f t="shared" si="41"/>
        <v>34.982461000000001</v>
      </c>
      <c r="AN340" s="132">
        <f t="shared" ref="J340:BE341" si="44">AN328*1.01</f>
        <v>34.982461000000001</v>
      </c>
      <c r="AO340" s="132">
        <f t="shared" si="44"/>
        <v>34.982461000000001</v>
      </c>
      <c r="AP340" s="132">
        <f t="shared" si="44"/>
        <v>34.982461000000001</v>
      </c>
      <c r="AQ340" s="132">
        <f t="shared" si="44"/>
        <v>34.982461000000001</v>
      </c>
      <c r="AR340" s="132">
        <f t="shared" si="44"/>
        <v>34.982461000000001</v>
      </c>
      <c r="AS340" s="132">
        <f t="shared" si="44"/>
        <v>34.982461000000001</v>
      </c>
      <c r="AT340" s="132">
        <f t="shared" si="44"/>
        <v>34.982461000000001</v>
      </c>
      <c r="AU340" s="132">
        <f t="shared" si="44"/>
        <v>34.982461000000001</v>
      </c>
      <c r="AV340" s="132">
        <f t="shared" si="44"/>
        <v>34.982461000000001</v>
      </c>
      <c r="AW340" s="132">
        <f t="shared" si="44"/>
        <v>34.982461000000001</v>
      </c>
      <c r="AX340" s="132">
        <f t="shared" si="44"/>
        <v>34.982461000000001</v>
      </c>
      <c r="AY340" s="132">
        <f t="shared" si="44"/>
        <v>34.982461000000001</v>
      </c>
      <c r="AZ340" s="132">
        <f t="shared" si="44"/>
        <v>34.982461000000001</v>
      </c>
      <c r="BA340" s="132">
        <f t="shared" si="44"/>
        <v>34.982461000000001</v>
      </c>
      <c r="BB340" s="132">
        <f t="shared" si="44"/>
        <v>34.982461000000001</v>
      </c>
      <c r="BC340" s="132">
        <f t="shared" si="44"/>
        <v>34.982461000000001</v>
      </c>
      <c r="BD340" s="132">
        <f t="shared" si="44"/>
        <v>34.982461000000001</v>
      </c>
      <c r="BE340" s="132">
        <f t="shared" si="44"/>
        <v>34.982461000000001</v>
      </c>
    </row>
    <row r="341" spans="1:58" ht="14.25" customHeight="1" x14ac:dyDescent="0.45">
      <c r="A341" s="618">
        <v>1</v>
      </c>
      <c r="B341" s="618"/>
      <c r="C341" s="130"/>
      <c r="D341" s="518" t="s">
        <v>64</v>
      </c>
      <c r="E341" s="132">
        <f t="shared" si="43"/>
        <v>2.4214915027346073</v>
      </c>
      <c r="F341" s="132">
        <f t="shared" si="43"/>
        <v>2.3309572931459779</v>
      </c>
      <c r="G341" s="132">
        <f t="shared" si="43"/>
        <v>1.8691503937906422</v>
      </c>
      <c r="H341" s="132">
        <f t="shared" si="43"/>
        <v>2.0665879144994266</v>
      </c>
      <c r="I341" s="132">
        <f t="shared" si="42"/>
        <v>2.3972349999999998</v>
      </c>
      <c r="J341" s="132">
        <f t="shared" si="44"/>
        <v>2.3972349999999998</v>
      </c>
      <c r="K341" s="132">
        <f t="shared" si="44"/>
        <v>2.3972349999999998</v>
      </c>
      <c r="L341" s="132">
        <f t="shared" si="44"/>
        <v>2.3972349999999998</v>
      </c>
      <c r="M341" s="132">
        <f t="shared" si="44"/>
        <v>2.3972349999999998</v>
      </c>
      <c r="N341" s="132">
        <f t="shared" si="44"/>
        <v>2.3972349999999998</v>
      </c>
      <c r="O341" s="132">
        <f t="shared" si="44"/>
        <v>2.3972349999999998</v>
      </c>
      <c r="P341" s="132">
        <f t="shared" si="44"/>
        <v>2.3972349999999998</v>
      </c>
      <c r="Q341" s="132">
        <f t="shared" si="44"/>
        <v>2.3972349999999998</v>
      </c>
      <c r="R341" s="132">
        <f t="shared" si="44"/>
        <v>2.3972349999999998</v>
      </c>
      <c r="S341" s="132">
        <f t="shared" si="44"/>
        <v>2.3972349999999998</v>
      </c>
      <c r="T341" s="132">
        <f t="shared" si="44"/>
        <v>2.3972349999999998</v>
      </c>
      <c r="U341" s="132">
        <f t="shared" si="44"/>
        <v>2.3972349999999998</v>
      </c>
      <c r="V341" s="132">
        <f t="shared" si="44"/>
        <v>2.3972349999999998</v>
      </c>
      <c r="W341" s="132">
        <f t="shared" si="44"/>
        <v>2.3972349999999998</v>
      </c>
      <c r="X341" s="132">
        <f t="shared" si="44"/>
        <v>2.3972349999999998</v>
      </c>
      <c r="Y341" s="132">
        <f t="shared" si="44"/>
        <v>2.3972349999999998</v>
      </c>
      <c r="Z341" s="132">
        <f t="shared" si="44"/>
        <v>2.3972349999999998</v>
      </c>
      <c r="AA341" s="132">
        <f t="shared" si="44"/>
        <v>2.3972349999999998</v>
      </c>
      <c r="AB341" s="132">
        <f t="shared" si="44"/>
        <v>2.3972349999999998</v>
      </c>
      <c r="AC341" s="132">
        <f t="shared" si="44"/>
        <v>2.3972349999999998</v>
      </c>
      <c r="AD341" s="132">
        <f t="shared" si="44"/>
        <v>2.3972349999999998</v>
      </c>
      <c r="AE341" s="132">
        <f t="shared" si="44"/>
        <v>2.3972349999999998</v>
      </c>
      <c r="AF341" s="132">
        <f t="shared" si="44"/>
        <v>2.3972349999999998</v>
      </c>
      <c r="AG341" s="132">
        <f t="shared" si="44"/>
        <v>2.3972349999999998</v>
      </c>
      <c r="AH341" s="132">
        <f t="shared" si="44"/>
        <v>2.3972349999999998</v>
      </c>
      <c r="AI341" s="132">
        <f t="shared" si="44"/>
        <v>2.3972349999999998</v>
      </c>
      <c r="AJ341" s="132">
        <f t="shared" si="44"/>
        <v>2.3972349999999998</v>
      </c>
      <c r="AK341" s="132">
        <f t="shared" si="44"/>
        <v>2.3972349999999998</v>
      </c>
      <c r="AL341" s="132">
        <f t="shared" si="44"/>
        <v>2.3972349999999998</v>
      </c>
      <c r="AM341" s="132">
        <f t="shared" si="44"/>
        <v>2.3972349999999998</v>
      </c>
      <c r="AN341" s="132">
        <f t="shared" si="44"/>
        <v>2.3972349999999998</v>
      </c>
      <c r="AO341" s="132">
        <f t="shared" si="44"/>
        <v>2.3972349999999998</v>
      </c>
      <c r="AP341" s="132">
        <f t="shared" si="44"/>
        <v>2.3972349999999998</v>
      </c>
      <c r="AQ341" s="132">
        <f t="shared" si="44"/>
        <v>2.3972349999999998</v>
      </c>
      <c r="AR341" s="132">
        <f t="shared" si="44"/>
        <v>2.3972349999999998</v>
      </c>
      <c r="AS341" s="132">
        <f t="shared" si="44"/>
        <v>2.3972349999999998</v>
      </c>
      <c r="AT341" s="132">
        <f t="shared" si="44"/>
        <v>2.3972349999999998</v>
      </c>
      <c r="AU341" s="132">
        <f t="shared" si="44"/>
        <v>2.3972349999999998</v>
      </c>
      <c r="AV341" s="132">
        <f t="shared" si="44"/>
        <v>2.3972349999999998</v>
      </c>
      <c r="AW341" s="132">
        <f t="shared" si="44"/>
        <v>2.3972349999999998</v>
      </c>
      <c r="AX341" s="132">
        <f t="shared" si="44"/>
        <v>2.3972349999999998</v>
      </c>
      <c r="AY341" s="132">
        <f t="shared" si="44"/>
        <v>2.3972349999999998</v>
      </c>
      <c r="AZ341" s="132">
        <f t="shared" si="44"/>
        <v>2.3972349999999998</v>
      </c>
      <c r="BA341" s="132">
        <f t="shared" si="44"/>
        <v>2.3972349999999998</v>
      </c>
      <c r="BB341" s="132">
        <f t="shared" si="44"/>
        <v>2.3972349999999998</v>
      </c>
      <c r="BC341" s="132">
        <f t="shared" si="44"/>
        <v>2.3972349999999998</v>
      </c>
      <c r="BD341" s="132">
        <f t="shared" si="44"/>
        <v>2.3972349999999998</v>
      </c>
      <c r="BE341" s="132">
        <f t="shared" si="44"/>
        <v>2.3972349999999998</v>
      </c>
    </row>
    <row r="342" spans="1:58" ht="14.25" customHeight="1" x14ac:dyDescent="0.45">
      <c r="A342" s="618">
        <v>1</v>
      </c>
      <c r="B342" s="618"/>
      <c r="C342" s="130"/>
      <c r="D342" s="518" t="s">
        <v>65</v>
      </c>
      <c r="E342" s="132">
        <f t="shared" si="43"/>
        <v>9.0511448262343794</v>
      </c>
      <c r="F342" s="132">
        <f t="shared" si="43"/>
        <v>8.6605445937487673</v>
      </c>
      <c r="G342" s="132">
        <f t="shared" si="43"/>
        <v>6.6894720018193308</v>
      </c>
      <c r="H342" s="132">
        <f t="shared" si="43"/>
        <v>8.0494482300348</v>
      </c>
      <c r="I342" s="132">
        <f>I330*1.01</f>
        <v>8.9606189999999994</v>
      </c>
      <c r="J342" s="132">
        <f t="shared" ref="J342:BE342" si="45">J330*1.01</f>
        <v>8.9606189999999994</v>
      </c>
      <c r="K342" s="132">
        <f t="shared" si="45"/>
        <v>8.9606189999999994</v>
      </c>
      <c r="L342" s="132">
        <f t="shared" si="45"/>
        <v>8.9606189999999994</v>
      </c>
      <c r="M342" s="132">
        <f t="shared" si="45"/>
        <v>8.9606189999999994</v>
      </c>
      <c r="N342" s="132">
        <f t="shared" si="45"/>
        <v>8.9606189999999994</v>
      </c>
      <c r="O342" s="132">
        <f t="shared" si="45"/>
        <v>8.9606189999999994</v>
      </c>
      <c r="P342" s="132">
        <f t="shared" si="45"/>
        <v>8.9606189999999994</v>
      </c>
      <c r="Q342" s="132">
        <f t="shared" si="45"/>
        <v>8.9606189999999994</v>
      </c>
      <c r="R342" s="132">
        <f t="shared" si="45"/>
        <v>8.9606189999999994</v>
      </c>
      <c r="S342" s="132">
        <f t="shared" si="45"/>
        <v>8.9606189999999994</v>
      </c>
      <c r="T342" s="132">
        <f t="shared" si="45"/>
        <v>8.9606189999999994</v>
      </c>
      <c r="U342" s="132">
        <f t="shared" si="45"/>
        <v>8.9606189999999994</v>
      </c>
      <c r="V342" s="132">
        <f t="shared" si="45"/>
        <v>8.9606189999999994</v>
      </c>
      <c r="W342" s="132">
        <f t="shared" si="45"/>
        <v>8.9606189999999994</v>
      </c>
      <c r="X342" s="132">
        <f t="shared" si="45"/>
        <v>8.9606189999999994</v>
      </c>
      <c r="Y342" s="132">
        <f t="shared" si="45"/>
        <v>8.9606189999999994</v>
      </c>
      <c r="Z342" s="132">
        <f t="shared" si="45"/>
        <v>8.9606189999999994</v>
      </c>
      <c r="AA342" s="132">
        <f t="shared" si="45"/>
        <v>8.9606189999999994</v>
      </c>
      <c r="AB342" s="132">
        <f t="shared" si="45"/>
        <v>8.9606189999999994</v>
      </c>
      <c r="AC342" s="132">
        <f t="shared" si="45"/>
        <v>8.9606189999999994</v>
      </c>
      <c r="AD342" s="132">
        <f t="shared" si="45"/>
        <v>8.9606189999999994</v>
      </c>
      <c r="AE342" s="132">
        <f t="shared" si="45"/>
        <v>8.9606189999999994</v>
      </c>
      <c r="AF342" s="132">
        <f t="shared" si="45"/>
        <v>8.9606189999999994</v>
      </c>
      <c r="AG342" s="132">
        <f t="shared" si="45"/>
        <v>8.9606189999999994</v>
      </c>
      <c r="AH342" s="132">
        <f t="shared" si="45"/>
        <v>8.9606189999999994</v>
      </c>
      <c r="AI342" s="132">
        <f t="shared" si="45"/>
        <v>8.9606189999999994</v>
      </c>
      <c r="AJ342" s="132">
        <f t="shared" si="45"/>
        <v>8.9606189999999994</v>
      </c>
      <c r="AK342" s="132">
        <f t="shared" si="45"/>
        <v>8.9606189999999994</v>
      </c>
      <c r="AL342" s="132">
        <f t="shared" si="45"/>
        <v>8.9606189999999994</v>
      </c>
      <c r="AM342" s="132">
        <f t="shared" si="45"/>
        <v>8.9606189999999994</v>
      </c>
      <c r="AN342" s="132">
        <f t="shared" si="45"/>
        <v>8.9606189999999994</v>
      </c>
      <c r="AO342" s="132">
        <f t="shared" si="45"/>
        <v>8.9606189999999994</v>
      </c>
      <c r="AP342" s="132">
        <f t="shared" si="45"/>
        <v>8.9606189999999994</v>
      </c>
      <c r="AQ342" s="132">
        <f t="shared" si="45"/>
        <v>8.9606189999999994</v>
      </c>
      <c r="AR342" s="132">
        <f t="shared" si="45"/>
        <v>8.9606189999999994</v>
      </c>
      <c r="AS342" s="132">
        <f t="shared" si="45"/>
        <v>8.9606189999999994</v>
      </c>
      <c r="AT342" s="132">
        <f t="shared" si="45"/>
        <v>8.9606189999999994</v>
      </c>
      <c r="AU342" s="132">
        <f t="shared" si="45"/>
        <v>8.9606189999999994</v>
      </c>
      <c r="AV342" s="132">
        <f t="shared" si="45"/>
        <v>8.9606189999999994</v>
      </c>
      <c r="AW342" s="132">
        <f t="shared" si="45"/>
        <v>8.9606189999999994</v>
      </c>
      <c r="AX342" s="132">
        <f t="shared" si="45"/>
        <v>8.9606189999999994</v>
      </c>
      <c r="AY342" s="132">
        <f t="shared" si="45"/>
        <v>8.9606189999999994</v>
      </c>
      <c r="AZ342" s="132">
        <f t="shared" si="45"/>
        <v>8.9606189999999994</v>
      </c>
      <c r="BA342" s="132">
        <f t="shared" si="45"/>
        <v>8.9606189999999994</v>
      </c>
      <c r="BB342" s="132">
        <f t="shared" si="45"/>
        <v>8.9606189999999994</v>
      </c>
      <c r="BC342" s="132">
        <f t="shared" si="45"/>
        <v>8.9606189999999994</v>
      </c>
      <c r="BD342" s="132">
        <f t="shared" si="45"/>
        <v>8.9606189999999994</v>
      </c>
      <c r="BE342" s="132">
        <f t="shared" si="45"/>
        <v>8.9606189999999994</v>
      </c>
      <c r="BF342" s="3"/>
    </row>
    <row r="343" spans="1:58" ht="14.25" customHeight="1" thickBot="1" x14ac:dyDescent="0.5">
      <c r="A343" s="618"/>
      <c r="B343" s="618"/>
      <c r="C343" s="118"/>
      <c r="D343" s="119" t="s">
        <v>59</v>
      </c>
      <c r="E343" s="120">
        <f>SUM(E335:E342)</f>
        <v>500041.80846096267</v>
      </c>
      <c r="F343" s="120">
        <f>SUM(F335:F342)</f>
        <v>500040.33623510256</v>
      </c>
      <c r="G343" s="120">
        <f>SUM(G335:G342)</f>
        <v>500035.10583200963</v>
      </c>
      <c r="H343" s="120">
        <f>SUM(H335:H342)</f>
        <v>500039.66011949204</v>
      </c>
      <c r="I343" s="120">
        <f>SUM(I335:I342)</f>
        <v>352.40091799999999</v>
      </c>
      <c r="J343" s="120">
        <f t="shared" ref="J343:BE343" si="46">SUM(J335:J342)</f>
        <v>352.40091799999999</v>
      </c>
      <c r="K343" s="120">
        <f t="shared" si="46"/>
        <v>352.40091799999999</v>
      </c>
      <c r="L343" s="120">
        <f t="shared" si="46"/>
        <v>352.40091799999999</v>
      </c>
      <c r="M343" s="120">
        <f t="shared" si="46"/>
        <v>352.40091799999999</v>
      </c>
      <c r="N343" s="120">
        <f t="shared" si="46"/>
        <v>352.40091799999999</v>
      </c>
      <c r="O343" s="120">
        <f t="shared" si="46"/>
        <v>352.40091799999999</v>
      </c>
      <c r="P343" s="120">
        <f t="shared" si="46"/>
        <v>352.40091799999999</v>
      </c>
      <c r="Q343" s="120">
        <f t="shared" si="46"/>
        <v>352.40091799999999</v>
      </c>
      <c r="R343" s="120">
        <f t="shared" si="46"/>
        <v>352.40091799999999</v>
      </c>
      <c r="S343" s="120">
        <f t="shared" si="46"/>
        <v>352.40091799999999</v>
      </c>
      <c r="T343" s="120">
        <f t="shared" si="46"/>
        <v>352.40091799999999</v>
      </c>
      <c r="U343" s="120">
        <f t="shared" si="46"/>
        <v>352.40091799999999</v>
      </c>
      <c r="V343" s="120">
        <f t="shared" si="46"/>
        <v>352.40091799999999</v>
      </c>
      <c r="W343" s="120">
        <f t="shared" si="46"/>
        <v>352.40091799999999</v>
      </c>
      <c r="X343" s="120">
        <f t="shared" si="46"/>
        <v>352.40091799999999</v>
      </c>
      <c r="Y343" s="120">
        <f t="shared" si="46"/>
        <v>352.40091799999999</v>
      </c>
      <c r="Z343" s="120">
        <f t="shared" si="46"/>
        <v>352.40091799999999</v>
      </c>
      <c r="AA343" s="120">
        <f t="shared" si="46"/>
        <v>352.40091799999999</v>
      </c>
      <c r="AB343" s="120">
        <f t="shared" si="46"/>
        <v>352.40091799999999</v>
      </c>
      <c r="AC343" s="120">
        <f t="shared" si="46"/>
        <v>352.40091799999999</v>
      </c>
      <c r="AD343" s="120">
        <f t="shared" si="46"/>
        <v>352.40091799999999</v>
      </c>
      <c r="AE343" s="120">
        <f t="shared" si="46"/>
        <v>352.40091799999999</v>
      </c>
      <c r="AF343" s="120">
        <f t="shared" si="46"/>
        <v>352.40091799999999</v>
      </c>
      <c r="AG343" s="120">
        <f t="shared" si="46"/>
        <v>352.40091799999999</v>
      </c>
      <c r="AH343" s="120">
        <f t="shared" si="46"/>
        <v>352.40091799999999</v>
      </c>
      <c r="AI343" s="120">
        <f t="shared" si="46"/>
        <v>352.40091799999999</v>
      </c>
      <c r="AJ343" s="120">
        <f t="shared" si="46"/>
        <v>352.40091799999999</v>
      </c>
      <c r="AK343" s="120">
        <f t="shared" si="46"/>
        <v>352.40091799999999</v>
      </c>
      <c r="AL343" s="120">
        <f t="shared" si="46"/>
        <v>352.40091799999999</v>
      </c>
      <c r="AM343" s="120">
        <f t="shared" si="46"/>
        <v>352.40091799999999</v>
      </c>
      <c r="AN343" s="120">
        <f t="shared" si="46"/>
        <v>352.40091799999999</v>
      </c>
      <c r="AO343" s="120">
        <f t="shared" si="46"/>
        <v>352.40091799999999</v>
      </c>
      <c r="AP343" s="120">
        <f t="shared" si="46"/>
        <v>352.40091799999999</v>
      </c>
      <c r="AQ343" s="120">
        <f t="shared" si="46"/>
        <v>352.40091799999999</v>
      </c>
      <c r="AR343" s="120">
        <f t="shared" si="46"/>
        <v>352.40091799999999</v>
      </c>
      <c r="AS343" s="120">
        <f t="shared" si="46"/>
        <v>352.40091799999999</v>
      </c>
      <c r="AT343" s="120">
        <f t="shared" si="46"/>
        <v>352.40091799999999</v>
      </c>
      <c r="AU343" s="120">
        <f t="shared" si="46"/>
        <v>352.40091799999999</v>
      </c>
      <c r="AV343" s="120">
        <f t="shared" si="46"/>
        <v>352.40091799999999</v>
      </c>
      <c r="AW343" s="120">
        <f t="shared" si="46"/>
        <v>352.40091799999999</v>
      </c>
      <c r="AX343" s="120">
        <f t="shared" si="46"/>
        <v>352.40091799999999</v>
      </c>
      <c r="AY343" s="120">
        <f t="shared" si="46"/>
        <v>352.40091799999999</v>
      </c>
      <c r="AZ343" s="120">
        <f t="shared" si="46"/>
        <v>352.40091799999999</v>
      </c>
      <c r="BA343" s="120">
        <f t="shared" si="46"/>
        <v>352.40091799999999</v>
      </c>
      <c r="BB343" s="120">
        <f t="shared" si="46"/>
        <v>352.40091799999999</v>
      </c>
      <c r="BC343" s="120">
        <f t="shared" si="46"/>
        <v>352.40091799999999</v>
      </c>
      <c r="BD343" s="120">
        <f t="shared" si="46"/>
        <v>352.40091799999999</v>
      </c>
      <c r="BE343" s="120">
        <f t="shared" si="46"/>
        <v>352.40091799999999</v>
      </c>
      <c r="BF343" s="3"/>
    </row>
    <row r="344" spans="1:58" ht="13.5" customHeight="1" thickBot="1" x14ac:dyDescent="0.5">
      <c r="A344" s="618"/>
      <c r="B344" s="618"/>
      <c r="C344" s="618"/>
      <c r="D344" s="5"/>
      <c r="E344" s="6"/>
      <c r="F344" s="6"/>
      <c r="G344" s="6"/>
      <c r="H344" s="6"/>
      <c r="I344" s="618"/>
      <c r="J344" s="618"/>
      <c r="K344" s="618"/>
      <c r="L344" s="618"/>
      <c r="M344" s="618"/>
      <c r="N344" s="618"/>
      <c r="O344" s="618"/>
      <c r="P344" s="618"/>
      <c r="Q344" s="618"/>
      <c r="R344" s="618"/>
      <c r="S344" s="618"/>
      <c r="T344" s="618"/>
      <c r="U344" s="618"/>
      <c r="V344" s="618"/>
      <c r="W344" s="618"/>
      <c r="X344" s="618"/>
      <c r="Y344" s="618"/>
      <c r="Z344" s="618"/>
      <c r="AA344" s="618"/>
      <c r="AB344" s="618"/>
      <c r="AC344" s="618"/>
      <c r="AD344" s="618"/>
      <c r="AE344" s="618"/>
      <c r="AF344" s="618"/>
      <c r="AG344" s="618"/>
      <c r="AH344" s="618"/>
      <c r="AI344" s="618"/>
      <c r="AJ344" s="618"/>
      <c r="AK344" s="618"/>
      <c r="AL344" s="618"/>
      <c r="AM344" s="618"/>
      <c r="AN344" s="618"/>
      <c r="AO344" s="618"/>
      <c r="AP344" s="618"/>
      <c r="AQ344" s="618"/>
      <c r="AR344" s="618"/>
      <c r="AS344" s="618"/>
      <c r="AT344" s="618"/>
      <c r="AU344" s="3"/>
      <c r="AV344" s="3"/>
      <c r="AW344" s="3"/>
      <c r="AX344" s="3"/>
      <c r="AY344" s="3"/>
      <c r="AZ344" s="3"/>
      <c r="BA344" s="3"/>
      <c r="BB344" s="3"/>
      <c r="BC344" s="3"/>
      <c r="BD344" s="3"/>
      <c r="BE344" s="3"/>
      <c r="BF344" s="3"/>
    </row>
    <row r="345" spans="1:58" ht="14.25" customHeight="1" x14ac:dyDescent="0.45">
      <c r="A345" s="4"/>
      <c r="B345" s="4"/>
      <c r="C345" s="8"/>
      <c r="D345" s="122" t="s">
        <v>161</v>
      </c>
      <c r="E345" s="151">
        <v>1</v>
      </c>
      <c r="F345" s="151"/>
      <c r="G345" s="151"/>
      <c r="H345" s="151"/>
      <c r="I345" s="208"/>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c r="AK345" s="208"/>
      <c r="AL345" s="208"/>
      <c r="AM345" s="208"/>
      <c r="AN345" s="208"/>
      <c r="AO345" s="208"/>
      <c r="AP345" s="208"/>
      <c r="AQ345" s="208"/>
      <c r="AR345" s="208"/>
      <c r="AS345" s="208"/>
      <c r="AT345" s="208"/>
      <c r="AU345" s="208"/>
      <c r="AV345" s="208"/>
      <c r="AW345" s="208"/>
      <c r="AX345" s="208"/>
      <c r="AY345" s="208"/>
      <c r="AZ345" s="208"/>
      <c r="BA345" s="208"/>
      <c r="BB345" s="208"/>
      <c r="BC345" s="208"/>
      <c r="BD345" s="208"/>
      <c r="BE345" s="209"/>
      <c r="BF345" s="3"/>
    </row>
    <row r="346" spans="1:58" ht="14.25" customHeight="1" x14ac:dyDescent="0.45">
      <c r="A346" s="4"/>
      <c r="B346" s="4"/>
      <c r="C346" s="160"/>
      <c r="D346" s="111"/>
      <c r="E346" s="123">
        <v>2018</v>
      </c>
      <c r="F346" s="123">
        <v>2019</v>
      </c>
      <c r="G346" s="123">
        <v>2020</v>
      </c>
      <c r="H346" s="123">
        <v>2021</v>
      </c>
      <c r="I346" s="141">
        <v>2022</v>
      </c>
      <c r="J346" s="141">
        <v>2023</v>
      </c>
      <c r="K346" s="141">
        <v>2024</v>
      </c>
      <c r="L346" s="141">
        <v>2025</v>
      </c>
      <c r="M346" s="141">
        <v>2026</v>
      </c>
      <c r="N346" s="141">
        <v>2027</v>
      </c>
      <c r="O346" s="141">
        <v>2028</v>
      </c>
      <c r="P346" s="141">
        <v>2029</v>
      </c>
      <c r="Q346" s="141">
        <v>2030</v>
      </c>
      <c r="R346" s="141">
        <v>2031</v>
      </c>
      <c r="S346" s="141">
        <v>2032</v>
      </c>
      <c r="T346" s="141">
        <v>2033</v>
      </c>
      <c r="U346" s="141">
        <v>2034</v>
      </c>
      <c r="V346" s="141">
        <v>2035</v>
      </c>
      <c r="W346" s="141">
        <v>2036</v>
      </c>
      <c r="X346" s="141">
        <v>2037</v>
      </c>
      <c r="Y346" s="141">
        <v>2038</v>
      </c>
      <c r="Z346" s="141">
        <v>2039</v>
      </c>
      <c r="AA346" s="141">
        <v>2040</v>
      </c>
      <c r="AB346" s="141">
        <v>2041</v>
      </c>
      <c r="AC346" s="141">
        <v>2042</v>
      </c>
      <c r="AD346" s="141">
        <v>2043</v>
      </c>
      <c r="AE346" s="141">
        <v>2044</v>
      </c>
      <c r="AF346" s="141">
        <v>2045</v>
      </c>
      <c r="AG346" s="141">
        <v>2046</v>
      </c>
      <c r="AH346" s="141">
        <v>2047</v>
      </c>
      <c r="AI346" s="141">
        <v>2048</v>
      </c>
      <c r="AJ346" s="141">
        <v>2049</v>
      </c>
      <c r="AK346" s="141">
        <v>2050</v>
      </c>
      <c r="AL346" s="141">
        <v>2051</v>
      </c>
      <c r="AM346" s="141">
        <v>2052</v>
      </c>
      <c r="AN346" s="141">
        <v>2053</v>
      </c>
      <c r="AO346" s="141">
        <v>2054</v>
      </c>
      <c r="AP346" s="141">
        <v>2055</v>
      </c>
      <c r="AQ346" s="141">
        <v>2056</v>
      </c>
      <c r="AR346" s="141">
        <v>2057</v>
      </c>
      <c r="AS346" s="141">
        <v>2058</v>
      </c>
      <c r="AT346" s="141">
        <v>2059</v>
      </c>
      <c r="AU346" s="141">
        <v>2060</v>
      </c>
      <c r="AV346" s="141">
        <v>2061</v>
      </c>
      <c r="AW346" s="141">
        <v>2062</v>
      </c>
      <c r="AX346" s="141">
        <v>2063</v>
      </c>
      <c r="AY346" s="141">
        <v>2064</v>
      </c>
      <c r="AZ346" s="141">
        <v>2065</v>
      </c>
      <c r="BA346" s="141">
        <v>2066</v>
      </c>
      <c r="BB346" s="141">
        <v>2067</v>
      </c>
      <c r="BC346" s="141">
        <v>2068</v>
      </c>
      <c r="BD346" s="141">
        <v>2069</v>
      </c>
      <c r="BE346" s="142">
        <v>2070</v>
      </c>
      <c r="BF346" s="3"/>
    </row>
    <row r="347" spans="1:58" ht="13.5" customHeight="1" x14ac:dyDescent="0.45">
      <c r="A347" s="618"/>
      <c r="B347" s="618"/>
      <c r="C347" s="130"/>
      <c r="D347" s="115" t="s">
        <v>41</v>
      </c>
      <c r="E347" s="116">
        <f t="shared" ref="E347:AK347" si="47">$E$345*E44</f>
        <v>0</v>
      </c>
      <c r="F347" s="116">
        <f t="shared" si="47"/>
        <v>0</v>
      </c>
      <c r="G347" s="116">
        <f t="shared" si="47"/>
        <v>0</v>
      </c>
      <c r="H347" s="116">
        <f t="shared" si="47"/>
        <v>0</v>
      </c>
      <c r="I347" s="116">
        <f t="shared" si="47"/>
        <v>0</v>
      </c>
      <c r="J347" s="116">
        <f t="shared" si="47"/>
        <v>0</v>
      </c>
      <c r="K347" s="116">
        <f t="shared" si="47"/>
        <v>0</v>
      </c>
      <c r="L347" s="116">
        <f t="shared" si="47"/>
        <v>0</v>
      </c>
      <c r="M347" s="116">
        <f t="shared" si="47"/>
        <v>0</v>
      </c>
      <c r="N347" s="116">
        <f t="shared" si="47"/>
        <v>0</v>
      </c>
      <c r="O347" s="116">
        <f t="shared" si="47"/>
        <v>0</v>
      </c>
      <c r="P347" s="116">
        <f t="shared" si="47"/>
        <v>0</v>
      </c>
      <c r="Q347" s="116">
        <f t="shared" si="47"/>
        <v>107.34</v>
      </c>
      <c r="R347" s="116">
        <f t="shared" si="47"/>
        <v>152.09</v>
      </c>
      <c r="S347" s="116">
        <f t="shared" si="47"/>
        <v>188.59</v>
      </c>
      <c r="T347" s="116">
        <f t="shared" si="47"/>
        <v>232.28</v>
      </c>
      <c r="U347" s="116">
        <f t="shared" si="47"/>
        <v>273.43</v>
      </c>
      <c r="V347" s="116">
        <f t="shared" si="47"/>
        <v>345.84</v>
      </c>
      <c r="W347" s="116">
        <f t="shared" si="47"/>
        <v>379.09</v>
      </c>
      <c r="X347" s="116">
        <f t="shared" si="47"/>
        <v>379.09</v>
      </c>
      <c r="Y347" s="116">
        <f t="shared" si="47"/>
        <v>379.11</v>
      </c>
      <c r="Z347" s="116">
        <f t="shared" si="47"/>
        <v>379.11</v>
      </c>
      <c r="AA347" s="116">
        <f t="shared" si="47"/>
        <v>379.11</v>
      </c>
      <c r="AB347" s="116">
        <f t="shared" si="47"/>
        <v>379.11</v>
      </c>
      <c r="AC347" s="116">
        <f t="shared" si="47"/>
        <v>379.11</v>
      </c>
      <c r="AD347" s="116">
        <f t="shared" si="47"/>
        <v>379.11</v>
      </c>
      <c r="AE347" s="116">
        <f t="shared" si="47"/>
        <v>379.11</v>
      </c>
      <c r="AF347" s="116">
        <f t="shared" si="47"/>
        <v>379.11</v>
      </c>
      <c r="AG347" s="116">
        <f t="shared" si="47"/>
        <v>379.11</v>
      </c>
      <c r="AH347" s="116">
        <f t="shared" si="47"/>
        <v>379.11</v>
      </c>
      <c r="AI347" s="116">
        <f t="shared" si="47"/>
        <v>379.11</v>
      </c>
      <c r="AJ347" s="116">
        <f t="shared" si="47"/>
        <v>379.11</v>
      </c>
      <c r="AK347" s="116">
        <f t="shared" si="47"/>
        <v>379.11</v>
      </c>
      <c r="AL347" s="144">
        <v>379.11</v>
      </c>
      <c r="AM347" s="144">
        <v>379.11</v>
      </c>
      <c r="AN347" s="144">
        <v>379.11</v>
      </c>
      <c r="AO347" s="144">
        <v>379.11</v>
      </c>
      <c r="AP347" s="144">
        <v>379.11</v>
      </c>
      <c r="AQ347" s="144">
        <v>379.11</v>
      </c>
      <c r="AR347" s="144">
        <v>379.11</v>
      </c>
      <c r="AS347" s="144">
        <v>379.11</v>
      </c>
      <c r="AT347" s="144">
        <v>379.11</v>
      </c>
      <c r="AU347" s="144">
        <v>379.11</v>
      </c>
      <c r="AV347" s="144">
        <v>379.11</v>
      </c>
      <c r="AW347" s="144">
        <v>379.11</v>
      </c>
      <c r="AX347" s="144">
        <v>379.11</v>
      </c>
      <c r="AY347" s="144">
        <v>379.11</v>
      </c>
      <c r="AZ347" s="144">
        <v>379.11</v>
      </c>
      <c r="BA347" s="144">
        <v>379.11</v>
      </c>
      <c r="BB347" s="144">
        <v>379.11</v>
      </c>
      <c r="BC347" s="144">
        <v>379.11</v>
      </c>
      <c r="BD347" s="144">
        <v>379.11</v>
      </c>
      <c r="BE347" s="145">
        <v>379.11</v>
      </c>
      <c r="BF347" s="3"/>
    </row>
    <row r="348" spans="1:58" ht="14.25" customHeight="1" x14ac:dyDescent="0.45">
      <c r="A348" s="618">
        <v>1</v>
      </c>
      <c r="B348" s="618"/>
      <c r="C348" s="130"/>
      <c r="D348" s="115" t="s">
        <v>49</v>
      </c>
      <c r="E348" s="116">
        <f t="shared" ref="E348:AK348" si="48">$E$345*E45</f>
        <v>117.76053434755926</v>
      </c>
      <c r="F348" s="116">
        <f t="shared" si="48"/>
        <v>124.42923183837271</v>
      </c>
      <c r="G348" s="116">
        <f t="shared" si="48"/>
        <v>108.25917569387438</v>
      </c>
      <c r="H348" s="116">
        <f t="shared" si="48"/>
        <v>136.77355671196315</v>
      </c>
      <c r="I348" s="116">
        <f t="shared" si="48"/>
        <v>134.38999999999999</v>
      </c>
      <c r="J348" s="116">
        <f t="shared" si="48"/>
        <v>144.65</v>
      </c>
      <c r="K348" s="116">
        <f t="shared" si="48"/>
        <v>143.02000000000001</v>
      </c>
      <c r="L348" s="116">
        <f t="shared" si="48"/>
        <v>152.84</v>
      </c>
      <c r="M348" s="116">
        <f t="shared" si="48"/>
        <v>150.88999999999999</v>
      </c>
      <c r="N348" s="116">
        <f t="shared" si="48"/>
        <v>161.29</v>
      </c>
      <c r="O348" s="116">
        <f t="shared" si="48"/>
        <v>160.72999999999999</v>
      </c>
      <c r="P348" s="116">
        <f t="shared" si="48"/>
        <v>169.45</v>
      </c>
      <c r="Q348" s="116">
        <f t="shared" si="48"/>
        <v>168.68</v>
      </c>
      <c r="R348" s="116">
        <f t="shared" si="48"/>
        <v>178.69</v>
      </c>
      <c r="S348" s="116">
        <f t="shared" si="48"/>
        <v>178.77</v>
      </c>
      <c r="T348" s="116">
        <f t="shared" si="48"/>
        <v>188.05</v>
      </c>
      <c r="U348" s="116">
        <f t="shared" si="48"/>
        <v>188.69</v>
      </c>
      <c r="V348" s="116">
        <f t="shared" si="48"/>
        <v>196.72</v>
      </c>
      <c r="W348" s="116">
        <f t="shared" si="48"/>
        <v>198.44</v>
      </c>
      <c r="X348" s="116">
        <f t="shared" si="48"/>
        <v>206.04</v>
      </c>
      <c r="Y348" s="116">
        <f t="shared" si="48"/>
        <v>208.02</v>
      </c>
      <c r="Z348" s="116">
        <f t="shared" si="48"/>
        <v>215.95</v>
      </c>
      <c r="AA348" s="116">
        <f t="shared" si="48"/>
        <v>218.4</v>
      </c>
      <c r="AB348" s="116">
        <f t="shared" si="48"/>
        <v>225.69</v>
      </c>
      <c r="AC348" s="116">
        <f t="shared" si="48"/>
        <v>228.62</v>
      </c>
      <c r="AD348" s="116">
        <f t="shared" si="48"/>
        <v>234.58</v>
      </c>
      <c r="AE348" s="116">
        <f t="shared" si="48"/>
        <v>237.94</v>
      </c>
      <c r="AF348" s="116">
        <f t="shared" si="48"/>
        <v>244.03</v>
      </c>
      <c r="AG348" s="116">
        <f t="shared" si="48"/>
        <v>248.09</v>
      </c>
      <c r="AH348" s="116">
        <f t="shared" si="48"/>
        <v>254.09</v>
      </c>
      <c r="AI348" s="116">
        <f t="shared" si="48"/>
        <v>257.36</v>
      </c>
      <c r="AJ348" s="116">
        <f t="shared" si="48"/>
        <v>263.26</v>
      </c>
      <c r="AK348" s="116">
        <f t="shared" si="48"/>
        <v>266.93</v>
      </c>
      <c r="AL348" s="144">
        <v>272.14</v>
      </c>
      <c r="AM348" s="144">
        <v>277.64</v>
      </c>
      <c r="AN348" s="144">
        <v>282.91000000000003</v>
      </c>
      <c r="AO348" s="144">
        <v>288.45999999999998</v>
      </c>
      <c r="AP348" s="144">
        <v>293.94</v>
      </c>
      <c r="AQ348" s="144">
        <v>299.64</v>
      </c>
      <c r="AR348" s="144">
        <v>305.27</v>
      </c>
      <c r="AS348" s="144">
        <v>311.07</v>
      </c>
      <c r="AT348" s="144">
        <v>316.86</v>
      </c>
      <c r="AU348" s="144">
        <v>322.91000000000003</v>
      </c>
      <c r="AV348" s="144">
        <v>328.95</v>
      </c>
      <c r="AW348" s="144">
        <v>335.26</v>
      </c>
      <c r="AX348" s="144">
        <v>341.67</v>
      </c>
      <c r="AY348" s="144">
        <v>348.19</v>
      </c>
      <c r="AZ348" s="144">
        <v>354.84</v>
      </c>
      <c r="BA348" s="144">
        <v>361.59</v>
      </c>
      <c r="BB348" s="144">
        <v>368.46</v>
      </c>
      <c r="BC348" s="144">
        <v>375.46</v>
      </c>
      <c r="BD348" s="144">
        <v>382.59</v>
      </c>
      <c r="BE348" s="145">
        <v>389.86</v>
      </c>
      <c r="BF348" s="3"/>
    </row>
    <row r="349" spans="1:58" ht="14.25" customHeight="1" x14ac:dyDescent="0.45">
      <c r="A349" s="618">
        <v>1</v>
      </c>
      <c r="B349" s="618"/>
      <c r="C349" s="130"/>
      <c r="D349" s="115" t="s">
        <v>50</v>
      </c>
      <c r="E349" s="116">
        <f t="shared" ref="E349:AK349" si="49">$E$345*E46</f>
        <v>91.607975457177815</v>
      </c>
      <c r="F349" s="116">
        <f t="shared" si="49"/>
        <v>105.93168609615964</v>
      </c>
      <c r="G349" s="116">
        <f t="shared" si="49"/>
        <v>78.997084172717436</v>
      </c>
      <c r="H349" s="116">
        <f t="shared" si="49"/>
        <v>93.045174562286462</v>
      </c>
      <c r="I349" s="116">
        <f t="shared" si="49"/>
        <v>90.01</v>
      </c>
      <c r="J349" s="116">
        <f t="shared" si="49"/>
        <v>114.02</v>
      </c>
      <c r="K349" s="116">
        <f t="shared" si="49"/>
        <v>78.099999999999994</v>
      </c>
      <c r="L349" s="116">
        <f t="shared" si="49"/>
        <v>99.44</v>
      </c>
      <c r="M349" s="116">
        <f t="shared" si="49"/>
        <v>88.86</v>
      </c>
      <c r="N349" s="116">
        <f t="shared" si="49"/>
        <v>121.88</v>
      </c>
      <c r="O349" s="116">
        <f t="shared" si="49"/>
        <v>77.83</v>
      </c>
      <c r="P349" s="116">
        <f t="shared" si="49"/>
        <v>104.83</v>
      </c>
      <c r="Q349" s="116">
        <f t="shared" si="49"/>
        <v>88.46</v>
      </c>
      <c r="R349" s="116">
        <f t="shared" si="49"/>
        <v>129.11000000000001</v>
      </c>
      <c r="S349" s="116">
        <f t="shared" si="49"/>
        <v>77.87</v>
      </c>
      <c r="T349" s="116">
        <f t="shared" si="49"/>
        <v>110.28</v>
      </c>
      <c r="U349" s="116">
        <f t="shared" si="49"/>
        <v>88.76</v>
      </c>
      <c r="V349" s="116">
        <f t="shared" si="49"/>
        <v>134.61000000000001</v>
      </c>
      <c r="W349" s="116">
        <f t="shared" si="49"/>
        <v>78.55</v>
      </c>
      <c r="X349" s="116">
        <f t="shared" si="49"/>
        <v>114.5</v>
      </c>
      <c r="Y349" s="116">
        <f t="shared" si="49"/>
        <v>89.62</v>
      </c>
      <c r="Z349" s="116">
        <f t="shared" si="49"/>
        <v>139.72999999999999</v>
      </c>
      <c r="AA349" s="116">
        <f t="shared" si="49"/>
        <v>79.44</v>
      </c>
      <c r="AB349" s="116">
        <f t="shared" si="49"/>
        <v>118.32</v>
      </c>
      <c r="AC349" s="116">
        <f t="shared" si="49"/>
        <v>90.78</v>
      </c>
      <c r="AD349" s="116">
        <f t="shared" si="49"/>
        <v>143.38</v>
      </c>
      <c r="AE349" s="116">
        <f t="shared" si="49"/>
        <v>80.58</v>
      </c>
      <c r="AF349" s="116">
        <f t="shared" si="49"/>
        <v>121.35</v>
      </c>
      <c r="AG349" s="116">
        <f t="shared" si="49"/>
        <v>92.29</v>
      </c>
      <c r="AH349" s="116">
        <f t="shared" si="49"/>
        <v>146.84</v>
      </c>
      <c r="AI349" s="116">
        <f t="shared" si="49"/>
        <v>81.61</v>
      </c>
      <c r="AJ349" s="116">
        <f t="shared" si="49"/>
        <v>124.13</v>
      </c>
      <c r="AK349" s="116">
        <f t="shared" si="49"/>
        <v>93.58</v>
      </c>
      <c r="AL349" s="144">
        <v>149.71</v>
      </c>
      <c r="AM349" s="144">
        <v>83.26</v>
      </c>
      <c r="AN349" s="144">
        <v>126.49</v>
      </c>
      <c r="AO349" s="144">
        <v>95.41</v>
      </c>
      <c r="AP349" s="144">
        <v>152.55000000000001</v>
      </c>
      <c r="AQ349" s="144">
        <v>84.88</v>
      </c>
      <c r="AR349" s="144">
        <v>128.87</v>
      </c>
      <c r="AS349" s="144">
        <v>97.22</v>
      </c>
      <c r="AT349" s="144">
        <v>155.38999999999999</v>
      </c>
      <c r="AU349" s="144">
        <v>86.5</v>
      </c>
      <c r="AV349" s="144">
        <v>131.28</v>
      </c>
      <c r="AW349" s="144">
        <v>99.09</v>
      </c>
      <c r="AX349" s="144">
        <v>158.36000000000001</v>
      </c>
      <c r="AY349" s="144">
        <v>88.15</v>
      </c>
      <c r="AZ349" s="144">
        <v>133.79</v>
      </c>
      <c r="BA349" s="144">
        <v>100.97</v>
      </c>
      <c r="BB349" s="144">
        <v>161.36000000000001</v>
      </c>
      <c r="BC349" s="144">
        <v>89.82</v>
      </c>
      <c r="BD349" s="144">
        <v>136.33000000000001</v>
      </c>
      <c r="BE349" s="145">
        <v>102.89</v>
      </c>
      <c r="BF349" s="3"/>
    </row>
    <row r="350" spans="1:58" ht="14.25" customHeight="1" x14ac:dyDescent="0.45">
      <c r="A350" s="618">
        <v>1</v>
      </c>
      <c r="B350" s="618"/>
      <c r="C350" s="130"/>
      <c r="D350" s="115" t="s">
        <v>51</v>
      </c>
      <c r="E350" s="116">
        <f t="shared" ref="E350:AK350" si="50">$E$345*E47</f>
        <v>43.389807172946462</v>
      </c>
      <c r="F350" s="116">
        <f t="shared" si="50"/>
        <v>47.274511929187639</v>
      </c>
      <c r="G350" s="116">
        <f t="shared" si="50"/>
        <v>48.313115125721133</v>
      </c>
      <c r="H350" s="116">
        <f t="shared" si="50"/>
        <v>49.878194601928534</v>
      </c>
      <c r="I350" s="116">
        <f t="shared" si="50"/>
        <v>50.85</v>
      </c>
      <c r="J350" s="116">
        <f t="shared" si="50"/>
        <v>51.85</v>
      </c>
      <c r="K350" s="116">
        <f t="shared" si="50"/>
        <v>52.88</v>
      </c>
      <c r="L350" s="116">
        <f t="shared" si="50"/>
        <v>53.86</v>
      </c>
      <c r="M350" s="116">
        <f t="shared" si="50"/>
        <v>54.75</v>
      </c>
      <c r="N350" s="116">
        <f t="shared" si="50"/>
        <v>55.89</v>
      </c>
      <c r="O350" s="116">
        <f t="shared" si="50"/>
        <v>56.91</v>
      </c>
      <c r="P350" s="116">
        <f t="shared" si="50"/>
        <v>57.87</v>
      </c>
      <c r="Q350" s="116">
        <f t="shared" si="50"/>
        <v>58.81</v>
      </c>
      <c r="R350" s="116">
        <f t="shared" si="50"/>
        <v>60.03</v>
      </c>
      <c r="S350" s="116">
        <f t="shared" si="50"/>
        <v>61.02</v>
      </c>
      <c r="T350" s="116">
        <f t="shared" si="50"/>
        <v>62.2</v>
      </c>
      <c r="U350" s="116">
        <f t="shared" si="50"/>
        <v>63.19</v>
      </c>
      <c r="V350" s="116">
        <f t="shared" si="50"/>
        <v>64.239999999999995</v>
      </c>
      <c r="W350" s="116">
        <f t="shared" si="50"/>
        <v>65.3</v>
      </c>
      <c r="X350" s="116">
        <f t="shared" si="50"/>
        <v>66.33</v>
      </c>
      <c r="Y350" s="116">
        <f t="shared" si="50"/>
        <v>67.34</v>
      </c>
      <c r="Z350" s="116">
        <f t="shared" si="50"/>
        <v>68.42</v>
      </c>
      <c r="AA350" s="116">
        <f t="shared" si="50"/>
        <v>69.41</v>
      </c>
      <c r="AB350" s="116">
        <f t="shared" si="50"/>
        <v>70.42</v>
      </c>
      <c r="AC350" s="116">
        <f t="shared" si="50"/>
        <v>71.400000000000006</v>
      </c>
      <c r="AD350" s="116">
        <f t="shared" si="50"/>
        <v>72.25</v>
      </c>
      <c r="AE350" s="116">
        <f t="shared" si="50"/>
        <v>73.209999999999994</v>
      </c>
      <c r="AF350" s="116">
        <f t="shared" si="50"/>
        <v>74.069999999999993</v>
      </c>
      <c r="AG350" s="116">
        <f t="shared" si="50"/>
        <v>75.05</v>
      </c>
      <c r="AH350" s="116">
        <f t="shared" si="50"/>
        <v>75.91</v>
      </c>
      <c r="AI350" s="116">
        <f t="shared" si="50"/>
        <v>76.739999999999995</v>
      </c>
      <c r="AJ350" s="116">
        <f t="shared" si="50"/>
        <v>77.58</v>
      </c>
      <c r="AK350" s="116">
        <f t="shared" si="50"/>
        <v>78.41</v>
      </c>
      <c r="AL350" s="144">
        <v>79.319999999999993</v>
      </c>
      <c r="AM350" s="144">
        <v>80.12</v>
      </c>
      <c r="AN350" s="144">
        <v>80.89</v>
      </c>
      <c r="AO350" s="144">
        <v>81.680000000000007</v>
      </c>
      <c r="AP350" s="144">
        <v>82.46</v>
      </c>
      <c r="AQ350" s="144">
        <v>83.24</v>
      </c>
      <c r="AR350" s="144">
        <v>83.96</v>
      </c>
      <c r="AS350" s="144">
        <v>84.68</v>
      </c>
      <c r="AT350" s="144">
        <v>85.38</v>
      </c>
      <c r="AU350" s="144">
        <v>86.05</v>
      </c>
      <c r="AV350" s="144">
        <v>86.7</v>
      </c>
      <c r="AW350" s="144">
        <v>87.33</v>
      </c>
      <c r="AX350" s="144">
        <v>87.93</v>
      </c>
      <c r="AY350" s="144">
        <v>88.52</v>
      </c>
      <c r="AZ350" s="144">
        <v>89.08</v>
      </c>
      <c r="BA350" s="144">
        <v>89.62</v>
      </c>
      <c r="BB350" s="144">
        <v>90.13</v>
      </c>
      <c r="BC350" s="144">
        <v>90.61</v>
      </c>
      <c r="BD350" s="144">
        <v>91.07</v>
      </c>
      <c r="BE350" s="145">
        <v>91.49</v>
      </c>
      <c r="BF350" s="3"/>
    </row>
    <row r="351" spans="1:58" ht="14.25" customHeight="1" x14ac:dyDescent="0.45">
      <c r="A351" s="618">
        <v>1</v>
      </c>
      <c r="B351" s="618"/>
      <c r="C351" s="130"/>
      <c r="D351" s="115" t="s">
        <v>52</v>
      </c>
      <c r="E351" s="116">
        <f t="shared" ref="E351:AK351" si="51">$E$345*E48</f>
        <v>24.078345824693489</v>
      </c>
      <c r="F351" s="116">
        <f t="shared" si="51"/>
        <v>25.523331769395305</v>
      </c>
      <c r="G351" s="116">
        <f t="shared" si="51"/>
        <v>17.832534842966325</v>
      </c>
      <c r="H351" s="116">
        <f t="shared" si="51"/>
        <v>13.861502850491931</v>
      </c>
      <c r="I351" s="116">
        <f t="shared" si="51"/>
        <v>14.39</v>
      </c>
      <c r="J351" s="116">
        <f t="shared" si="51"/>
        <v>14.7</v>
      </c>
      <c r="K351" s="116">
        <f t="shared" si="51"/>
        <v>15.28</v>
      </c>
      <c r="L351" s="116">
        <f t="shared" si="51"/>
        <v>15.54</v>
      </c>
      <c r="M351" s="116">
        <f t="shared" si="51"/>
        <v>16.03</v>
      </c>
      <c r="N351" s="116">
        <f t="shared" si="51"/>
        <v>16.38</v>
      </c>
      <c r="O351" s="116">
        <f t="shared" si="51"/>
        <v>16.98</v>
      </c>
      <c r="P351" s="116">
        <f t="shared" si="51"/>
        <v>17.18</v>
      </c>
      <c r="Q351" s="116">
        <f t="shared" si="51"/>
        <v>17.71</v>
      </c>
      <c r="R351" s="116">
        <f t="shared" si="51"/>
        <v>18.12</v>
      </c>
      <c r="S351" s="116">
        <f t="shared" si="51"/>
        <v>18.68</v>
      </c>
      <c r="T351" s="116">
        <f t="shared" si="51"/>
        <v>19.07</v>
      </c>
      <c r="U351" s="116">
        <f t="shared" si="51"/>
        <v>19.63</v>
      </c>
      <c r="V351" s="116">
        <f t="shared" si="51"/>
        <v>19.96</v>
      </c>
      <c r="W351" s="116">
        <f t="shared" si="51"/>
        <v>20.56</v>
      </c>
      <c r="X351" s="116">
        <f t="shared" si="51"/>
        <v>20.9</v>
      </c>
      <c r="Y351" s="116">
        <f t="shared" si="51"/>
        <v>21.47</v>
      </c>
      <c r="Z351" s="116">
        <f t="shared" si="51"/>
        <v>21.9</v>
      </c>
      <c r="AA351" s="116">
        <f t="shared" si="51"/>
        <v>22.46</v>
      </c>
      <c r="AB351" s="116">
        <f t="shared" si="51"/>
        <v>22.87</v>
      </c>
      <c r="AC351" s="116">
        <f t="shared" si="51"/>
        <v>23.43</v>
      </c>
      <c r="AD351" s="116">
        <f t="shared" si="51"/>
        <v>23.75</v>
      </c>
      <c r="AE351" s="116">
        <f t="shared" si="51"/>
        <v>24.31</v>
      </c>
      <c r="AF351" s="116">
        <f t="shared" si="51"/>
        <v>24.68</v>
      </c>
      <c r="AG351" s="116">
        <f t="shared" si="51"/>
        <v>25.27</v>
      </c>
      <c r="AH351" s="116">
        <f t="shared" si="51"/>
        <v>25.66</v>
      </c>
      <c r="AI351" s="116">
        <f t="shared" si="51"/>
        <v>26.15</v>
      </c>
      <c r="AJ351" s="116">
        <f t="shared" si="51"/>
        <v>26.55</v>
      </c>
      <c r="AK351" s="116">
        <f t="shared" si="51"/>
        <v>27.05</v>
      </c>
      <c r="AL351" s="144">
        <v>27.57</v>
      </c>
      <c r="AM351" s="144">
        <v>28.09</v>
      </c>
      <c r="AN351" s="144">
        <v>28.62</v>
      </c>
      <c r="AO351" s="144">
        <v>29.14</v>
      </c>
      <c r="AP351" s="144">
        <v>29.69</v>
      </c>
      <c r="AQ351" s="144">
        <v>30.24</v>
      </c>
      <c r="AR351" s="144">
        <v>30.8</v>
      </c>
      <c r="AS351" s="144">
        <v>31.36</v>
      </c>
      <c r="AT351" s="144">
        <v>31.93</v>
      </c>
      <c r="AU351" s="144">
        <v>32.520000000000003</v>
      </c>
      <c r="AV351" s="144">
        <v>33.119999999999997</v>
      </c>
      <c r="AW351" s="144">
        <v>33.74</v>
      </c>
      <c r="AX351" s="144">
        <v>34.36</v>
      </c>
      <c r="AY351" s="144">
        <v>35</v>
      </c>
      <c r="AZ351" s="144">
        <v>35.65</v>
      </c>
      <c r="BA351" s="144">
        <v>36.31</v>
      </c>
      <c r="BB351" s="144">
        <v>36.979999999999997</v>
      </c>
      <c r="BC351" s="144">
        <v>37.659999999999997</v>
      </c>
      <c r="BD351" s="144">
        <v>38.36</v>
      </c>
      <c r="BE351" s="145">
        <v>39.07</v>
      </c>
      <c r="BF351" s="3"/>
    </row>
    <row r="352" spans="1:58" ht="14.25" customHeight="1" x14ac:dyDescent="0.45">
      <c r="A352" s="618">
        <v>1</v>
      </c>
      <c r="B352" s="618"/>
      <c r="C352" s="130"/>
      <c r="D352" s="115" t="s">
        <v>53</v>
      </c>
      <c r="E352" s="116">
        <f t="shared" ref="E352:AK352" si="52">$E$345*E49</f>
        <v>0</v>
      </c>
      <c r="F352" s="116">
        <f t="shared" si="52"/>
        <v>0</v>
      </c>
      <c r="G352" s="116">
        <f t="shared" si="52"/>
        <v>0.93795160777154696</v>
      </c>
      <c r="H352" s="116">
        <f t="shared" si="52"/>
        <v>0</v>
      </c>
      <c r="I352" s="116">
        <f t="shared" si="52"/>
        <v>1</v>
      </c>
      <c r="J352" s="116">
        <f t="shared" si="52"/>
        <v>1.04</v>
      </c>
      <c r="K352" s="116">
        <f t="shared" si="52"/>
        <v>1.07</v>
      </c>
      <c r="L352" s="116">
        <f t="shared" si="52"/>
        <v>1.1000000000000001</v>
      </c>
      <c r="M352" s="116">
        <f t="shared" si="52"/>
        <v>1.1200000000000001</v>
      </c>
      <c r="N352" s="116">
        <f t="shared" si="52"/>
        <v>1.1599999999999999</v>
      </c>
      <c r="O352" s="116">
        <f t="shared" si="52"/>
        <v>1.19</v>
      </c>
      <c r="P352" s="116">
        <f t="shared" si="52"/>
        <v>1.21</v>
      </c>
      <c r="Q352" s="116">
        <f t="shared" si="52"/>
        <v>1.24</v>
      </c>
      <c r="R352" s="116">
        <f t="shared" si="52"/>
        <v>1.28</v>
      </c>
      <c r="S352" s="116">
        <f t="shared" si="52"/>
        <v>1.31</v>
      </c>
      <c r="T352" s="116">
        <f t="shared" si="52"/>
        <v>1.35</v>
      </c>
      <c r="U352" s="116">
        <f t="shared" si="52"/>
        <v>1.38</v>
      </c>
      <c r="V352" s="116">
        <f t="shared" si="52"/>
        <v>1.42</v>
      </c>
      <c r="W352" s="116">
        <f t="shared" si="52"/>
        <v>1.45</v>
      </c>
      <c r="X352" s="116">
        <f t="shared" si="52"/>
        <v>1.49</v>
      </c>
      <c r="Y352" s="116">
        <f t="shared" si="52"/>
        <v>1.52</v>
      </c>
      <c r="Z352" s="116">
        <f t="shared" si="52"/>
        <v>1.56</v>
      </c>
      <c r="AA352" s="116">
        <f t="shared" si="52"/>
        <v>1.6</v>
      </c>
      <c r="AB352" s="116">
        <f t="shared" si="52"/>
        <v>1.63</v>
      </c>
      <c r="AC352" s="116">
        <f t="shared" si="52"/>
        <v>1.67</v>
      </c>
      <c r="AD352" s="116">
        <f t="shared" si="52"/>
        <v>1.7</v>
      </c>
      <c r="AE352" s="116">
        <f t="shared" si="52"/>
        <v>1.73</v>
      </c>
      <c r="AF352" s="116">
        <f t="shared" si="52"/>
        <v>1.77</v>
      </c>
      <c r="AG352" s="116">
        <f t="shared" si="52"/>
        <v>1.81</v>
      </c>
      <c r="AH352" s="116">
        <f t="shared" si="52"/>
        <v>1.84</v>
      </c>
      <c r="AI352" s="116">
        <f t="shared" si="52"/>
        <v>1.87</v>
      </c>
      <c r="AJ352" s="116">
        <f t="shared" si="52"/>
        <v>1.91</v>
      </c>
      <c r="AK352" s="116">
        <f t="shared" si="52"/>
        <v>1.94</v>
      </c>
      <c r="AL352" s="144">
        <v>1.98</v>
      </c>
      <c r="AM352" s="144">
        <v>2.02</v>
      </c>
      <c r="AN352" s="144">
        <v>2.0499999999999998</v>
      </c>
      <c r="AO352" s="144">
        <v>2.09</v>
      </c>
      <c r="AP352" s="144">
        <v>2.13</v>
      </c>
      <c r="AQ352" s="144">
        <v>2.16</v>
      </c>
      <c r="AR352" s="144">
        <v>2.2000000000000002</v>
      </c>
      <c r="AS352" s="144">
        <v>2.2400000000000002</v>
      </c>
      <c r="AT352" s="144">
        <v>2.2799999999999998</v>
      </c>
      <c r="AU352" s="144">
        <v>2.31</v>
      </c>
      <c r="AV352" s="144">
        <v>2.35</v>
      </c>
      <c r="AW352" s="144">
        <v>2.39</v>
      </c>
      <c r="AX352" s="144">
        <v>2.4300000000000002</v>
      </c>
      <c r="AY352" s="144">
        <v>2.4700000000000002</v>
      </c>
      <c r="AZ352" s="144">
        <v>2.5099999999999998</v>
      </c>
      <c r="BA352" s="144">
        <v>2.54</v>
      </c>
      <c r="BB352" s="144">
        <v>2.58</v>
      </c>
      <c r="BC352" s="144">
        <v>2.62</v>
      </c>
      <c r="BD352" s="144">
        <v>2.66</v>
      </c>
      <c r="BE352" s="145">
        <v>2.7</v>
      </c>
      <c r="BF352" s="3"/>
    </row>
    <row r="353" spans="1:58" ht="14.25" customHeight="1" x14ac:dyDescent="0.45">
      <c r="A353" s="618">
        <v>1</v>
      </c>
      <c r="B353" s="618"/>
      <c r="C353" s="130"/>
      <c r="D353" s="153" t="s">
        <v>54</v>
      </c>
      <c r="E353" s="116">
        <f t="shared" ref="E353:AK353" si="53">$E$345*E50</f>
        <v>5.5666818184799185</v>
      </c>
      <c r="F353" s="116">
        <f t="shared" si="53"/>
        <v>4.4513001057531385</v>
      </c>
      <c r="G353" s="116">
        <f t="shared" si="53"/>
        <v>5.1349054554247653</v>
      </c>
      <c r="H353" s="116">
        <f t="shared" si="53"/>
        <v>5.6722964060314354</v>
      </c>
      <c r="I353" s="116">
        <f t="shared" si="53"/>
        <v>6.17</v>
      </c>
      <c r="J353" s="116">
        <f t="shared" si="53"/>
        <v>5.99</v>
      </c>
      <c r="K353" s="116">
        <f t="shared" si="53"/>
        <v>6.63</v>
      </c>
      <c r="L353" s="116">
        <f t="shared" si="53"/>
        <v>6.37</v>
      </c>
      <c r="M353" s="116">
        <f t="shared" si="53"/>
        <v>7.03</v>
      </c>
      <c r="N353" s="116">
        <f t="shared" si="53"/>
        <v>6.78</v>
      </c>
      <c r="O353" s="116">
        <f t="shared" si="53"/>
        <v>7.5</v>
      </c>
      <c r="P353" s="116">
        <f t="shared" si="53"/>
        <v>7.19</v>
      </c>
      <c r="Q353" s="116">
        <f t="shared" si="53"/>
        <v>7.85</v>
      </c>
      <c r="R353" s="116">
        <f t="shared" si="53"/>
        <v>7.65</v>
      </c>
      <c r="S353" s="116">
        <f t="shared" si="53"/>
        <v>8.27</v>
      </c>
      <c r="T353" s="116">
        <f t="shared" si="53"/>
        <v>8.11</v>
      </c>
      <c r="U353" s="116">
        <f t="shared" si="53"/>
        <v>8.68</v>
      </c>
      <c r="V353" s="116">
        <f t="shared" si="53"/>
        <v>8.5399999999999991</v>
      </c>
      <c r="W353" s="116">
        <f t="shared" si="53"/>
        <v>9.08</v>
      </c>
      <c r="X353" s="116">
        <f t="shared" si="53"/>
        <v>8.99</v>
      </c>
      <c r="Y353" s="116">
        <f t="shared" si="53"/>
        <v>9.4700000000000006</v>
      </c>
      <c r="Z353" s="116">
        <f t="shared" si="53"/>
        <v>9.4600000000000009</v>
      </c>
      <c r="AA353" s="116">
        <f t="shared" si="53"/>
        <v>9.91</v>
      </c>
      <c r="AB353" s="116">
        <f t="shared" si="53"/>
        <v>9.93</v>
      </c>
      <c r="AC353" s="116">
        <f t="shared" si="53"/>
        <v>10.34</v>
      </c>
      <c r="AD353" s="116">
        <f t="shared" si="53"/>
        <v>10.35</v>
      </c>
      <c r="AE353" s="116">
        <f t="shared" si="53"/>
        <v>10.74</v>
      </c>
      <c r="AF353" s="116">
        <f t="shared" si="53"/>
        <v>10.79</v>
      </c>
      <c r="AG353" s="116">
        <f t="shared" si="53"/>
        <v>11.18</v>
      </c>
      <c r="AH353" s="116">
        <f t="shared" si="53"/>
        <v>11.26</v>
      </c>
      <c r="AI353" s="116">
        <f t="shared" si="53"/>
        <v>11.57</v>
      </c>
      <c r="AJ353" s="116">
        <f t="shared" si="53"/>
        <v>11.68</v>
      </c>
      <c r="AK353" s="116">
        <f t="shared" si="53"/>
        <v>11.99</v>
      </c>
      <c r="AL353" s="144">
        <v>12.25</v>
      </c>
      <c r="AM353" s="144">
        <v>12.49</v>
      </c>
      <c r="AN353" s="144">
        <v>12.76</v>
      </c>
      <c r="AO353" s="144">
        <v>13</v>
      </c>
      <c r="AP353" s="144">
        <v>13.28</v>
      </c>
      <c r="AQ353" s="144">
        <v>13.53</v>
      </c>
      <c r="AR353" s="144">
        <v>13.82</v>
      </c>
      <c r="AS353" s="144">
        <v>14.09</v>
      </c>
      <c r="AT353" s="144">
        <v>14.38</v>
      </c>
      <c r="AU353" s="144">
        <v>14.66</v>
      </c>
      <c r="AV353" s="144">
        <v>14.97</v>
      </c>
      <c r="AW353" s="144">
        <v>15.28</v>
      </c>
      <c r="AX353" s="144">
        <v>15.59</v>
      </c>
      <c r="AY353" s="144">
        <v>15.9</v>
      </c>
      <c r="AZ353" s="144">
        <v>16.22</v>
      </c>
      <c r="BA353" s="144">
        <v>16.55</v>
      </c>
      <c r="BB353" s="144">
        <v>16.89</v>
      </c>
      <c r="BC353" s="144">
        <v>17.23</v>
      </c>
      <c r="BD353" s="144">
        <v>17.579999999999998</v>
      </c>
      <c r="BE353" s="145">
        <v>17.940000000000001</v>
      </c>
      <c r="BF353" s="3"/>
    </row>
    <row r="354" spans="1:58" ht="14.25" customHeight="1" x14ac:dyDescent="0.45">
      <c r="A354" s="618"/>
      <c r="B354" s="618"/>
      <c r="C354" s="106"/>
      <c r="D354" s="115"/>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c r="AA354" s="146"/>
      <c r="AB354" s="146"/>
      <c r="AC354" s="146"/>
      <c r="AD354" s="146"/>
      <c r="AE354" s="146"/>
      <c r="AF354" s="146"/>
      <c r="AG354" s="146"/>
      <c r="AH354" s="146"/>
      <c r="AI354" s="146"/>
      <c r="AJ354" s="146"/>
      <c r="AK354" s="146"/>
      <c r="AL354" s="147"/>
      <c r="AM354" s="147"/>
      <c r="AN354" s="147"/>
      <c r="AO354" s="147"/>
      <c r="AP354" s="147"/>
      <c r="AQ354" s="147"/>
      <c r="AR354" s="147"/>
      <c r="AS354" s="147"/>
      <c r="AT354" s="147"/>
      <c r="AU354" s="147"/>
      <c r="AV354" s="147"/>
      <c r="AW354" s="147"/>
      <c r="AX354" s="147"/>
      <c r="AY354" s="147"/>
      <c r="AZ354" s="147"/>
      <c r="BA354" s="147"/>
      <c r="BB354" s="147"/>
      <c r="BC354" s="147"/>
      <c r="BD354" s="147"/>
      <c r="BE354" s="148"/>
      <c r="BF354" s="3"/>
    </row>
    <row r="355" spans="1:58" ht="14.25" customHeight="1" x14ac:dyDescent="0.45">
      <c r="A355" s="618"/>
      <c r="B355" s="618"/>
      <c r="C355" s="118"/>
      <c r="D355" s="119" t="s">
        <v>25</v>
      </c>
      <c r="E355" s="127">
        <f t="shared" ref="E355:BE355" si="54">SUM(E347:E353)</f>
        <v>282.40334462085696</v>
      </c>
      <c r="F355" s="127">
        <f t="shared" si="54"/>
        <v>307.61006173886847</v>
      </c>
      <c r="G355" s="127">
        <f t="shared" si="54"/>
        <v>259.47476689847559</v>
      </c>
      <c r="H355" s="127">
        <f t="shared" si="54"/>
        <v>299.23072513270154</v>
      </c>
      <c r="I355" s="127">
        <f t="shared" si="54"/>
        <v>296.81</v>
      </c>
      <c r="J355" s="127">
        <f t="shared" si="54"/>
        <v>332.25000000000006</v>
      </c>
      <c r="K355" s="127">
        <f t="shared" si="54"/>
        <v>296.97999999999996</v>
      </c>
      <c r="L355" s="127">
        <f t="shared" si="54"/>
        <v>329.15000000000003</v>
      </c>
      <c r="M355" s="127">
        <f t="shared" si="54"/>
        <v>318.67999999999995</v>
      </c>
      <c r="N355" s="127">
        <f t="shared" si="54"/>
        <v>363.37999999999994</v>
      </c>
      <c r="O355" s="127">
        <f t="shared" si="54"/>
        <v>321.14000000000004</v>
      </c>
      <c r="P355" s="127">
        <f t="shared" si="54"/>
        <v>357.72999999999996</v>
      </c>
      <c r="Q355" s="127">
        <f t="shared" si="54"/>
        <v>450.09</v>
      </c>
      <c r="R355" s="127">
        <f t="shared" si="54"/>
        <v>546.96999999999991</v>
      </c>
      <c r="S355" s="127">
        <f t="shared" si="54"/>
        <v>534.50999999999988</v>
      </c>
      <c r="T355" s="127">
        <f t="shared" si="54"/>
        <v>621.34000000000015</v>
      </c>
      <c r="U355" s="127">
        <f t="shared" si="54"/>
        <v>643.75999999999988</v>
      </c>
      <c r="V355" s="127">
        <f t="shared" si="54"/>
        <v>771.32999999999993</v>
      </c>
      <c r="W355" s="127">
        <f t="shared" si="54"/>
        <v>752.46999999999991</v>
      </c>
      <c r="X355" s="127">
        <f t="shared" si="54"/>
        <v>797.34</v>
      </c>
      <c r="Y355" s="127">
        <f t="shared" si="54"/>
        <v>776.55000000000007</v>
      </c>
      <c r="Z355" s="127">
        <f t="shared" si="54"/>
        <v>836.12999999999988</v>
      </c>
      <c r="AA355" s="127">
        <f t="shared" si="54"/>
        <v>780.33</v>
      </c>
      <c r="AB355" s="127">
        <f t="shared" si="54"/>
        <v>827.9699999999998</v>
      </c>
      <c r="AC355" s="127">
        <f t="shared" si="54"/>
        <v>805.34999999999991</v>
      </c>
      <c r="AD355" s="127">
        <f t="shared" si="54"/>
        <v>865.12000000000012</v>
      </c>
      <c r="AE355" s="127">
        <f t="shared" si="54"/>
        <v>807.62</v>
      </c>
      <c r="AF355" s="127">
        <f t="shared" si="54"/>
        <v>855.79999999999984</v>
      </c>
      <c r="AG355" s="127">
        <f t="shared" si="54"/>
        <v>832.79999999999984</v>
      </c>
      <c r="AH355" s="127">
        <f t="shared" si="54"/>
        <v>894.71</v>
      </c>
      <c r="AI355" s="127">
        <f t="shared" si="54"/>
        <v>834.41000000000008</v>
      </c>
      <c r="AJ355" s="127">
        <f t="shared" si="54"/>
        <v>884.21999999999991</v>
      </c>
      <c r="AK355" s="127">
        <f t="shared" si="54"/>
        <v>859.01</v>
      </c>
      <c r="AL355" s="149">
        <f t="shared" si="54"/>
        <v>922.08</v>
      </c>
      <c r="AM355" s="149">
        <f t="shared" si="54"/>
        <v>862.73</v>
      </c>
      <c r="AN355" s="149">
        <f t="shared" si="54"/>
        <v>912.82999999999993</v>
      </c>
      <c r="AO355" s="149">
        <f t="shared" si="54"/>
        <v>888.88999999999987</v>
      </c>
      <c r="AP355" s="149">
        <f t="shared" si="54"/>
        <v>953.16</v>
      </c>
      <c r="AQ355" s="149">
        <f t="shared" si="54"/>
        <v>892.8</v>
      </c>
      <c r="AR355" s="149">
        <f t="shared" si="54"/>
        <v>944.03000000000009</v>
      </c>
      <c r="AS355" s="149">
        <f t="shared" si="54"/>
        <v>919.77000000000021</v>
      </c>
      <c r="AT355" s="149">
        <f t="shared" si="54"/>
        <v>985.32999999999993</v>
      </c>
      <c r="AU355" s="149">
        <f t="shared" si="54"/>
        <v>924.05999999999983</v>
      </c>
      <c r="AV355" s="149">
        <f t="shared" si="54"/>
        <v>976.48</v>
      </c>
      <c r="AW355" s="149">
        <f t="shared" si="54"/>
        <v>952.2</v>
      </c>
      <c r="AX355" s="149">
        <f t="shared" si="54"/>
        <v>1019.4499999999999</v>
      </c>
      <c r="AY355" s="149">
        <f t="shared" si="54"/>
        <v>957.33999999999992</v>
      </c>
      <c r="AZ355" s="149">
        <f t="shared" si="54"/>
        <v>1011.2</v>
      </c>
      <c r="BA355" s="149">
        <f t="shared" si="54"/>
        <v>986.69</v>
      </c>
      <c r="BB355" s="149">
        <f t="shared" si="54"/>
        <v>1055.51</v>
      </c>
      <c r="BC355" s="149">
        <f t="shared" si="54"/>
        <v>992.50999999999988</v>
      </c>
      <c r="BD355" s="149">
        <f t="shared" si="54"/>
        <v>1047.7</v>
      </c>
      <c r="BE355" s="150">
        <f t="shared" si="54"/>
        <v>1023.0600000000002</v>
      </c>
      <c r="BF355" s="3"/>
    </row>
    <row r="356" spans="1:58" ht="13.5" customHeight="1" x14ac:dyDescent="0.45">
      <c r="A356" s="618"/>
      <c r="B356" s="618"/>
      <c r="C356" s="618"/>
      <c r="D356" s="5"/>
      <c r="E356" s="6"/>
      <c r="F356" s="6"/>
      <c r="G356" s="6"/>
      <c r="H356" s="6"/>
      <c r="I356" s="618"/>
      <c r="J356" s="618"/>
      <c r="K356" s="618"/>
      <c r="L356" s="618"/>
      <c r="M356" s="618"/>
      <c r="N356" s="618"/>
      <c r="O356" s="618"/>
      <c r="P356" s="618"/>
      <c r="Q356" s="618"/>
      <c r="R356" s="618"/>
      <c r="S356" s="618"/>
      <c r="T356" s="618"/>
      <c r="U356" s="618"/>
      <c r="V356" s="618"/>
      <c r="W356" s="618"/>
      <c r="X356" s="618"/>
      <c r="Y356" s="618"/>
      <c r="Z356" s="618"/>
      <c r="AA356" s="618"/>
      <c r="AB356" s="618"/>
      <c r="AC356" s="618"/>
      <c r="AD356" s="618"/>
      <c r="AE356" s="618"/>
      <c r="AF356" s="618"/>
      <c r="AG356" s="618"/>
      <c r="AH356" s="618"/>
      <c r="AI356" s="618"/>
      <c r="AJ356" s="618"/>
      <c r="AK356" s="618"/>
      <c r="AL356" s="618"/>
      <c r="AM356" s="618"/>
      <c r="AN356" s="618"/>
      <c r="AO356" s="618"/>
      <c r="AP356" s="618"/>
      <c r="AQ356" s="618"/>
      <c r="AR356" s="618"/>
      <c r="AS356" s="618"/>
      <c r="AT356" s="618"/>
      <c r="AU356" s="3"/>
      <c r="AV356" s="3"/>
      <c r="AW356" s="3"/>
      <c r="AX356" s="3"/>
      <c r="AY356" s="3"/>
      <c r="AZ356" s="3"/>
      <c r="BA356" s="3"/>
      <c r="BB356" s="3"/>
      <c r="BC356" s="3"/>
      <c r="BD356" s="3"/>
      <c r="BE356" s="3"/>
      <c r="BF356" s="3"/>
    </row>
    <row r="357" spans="1:58" ht="14.25" customHeight="1" x14ac:dyDescent="0.45">
      <c r="A357" s="4"/>
      <c r="B357" s="4"/>
      <c r="C357" s="8"/>
      <c r="D357" s="122" t="s">
        <v>162</v>
      </c>
      <c r="E357" s="151">
        <v>1</v>
      </c>
      <c r="F357" s="151"/>
      <c r="G357" s="151"/>
      <c r="H357" s="151"/>
      <c r="I357" s="208"/>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c r="AK357" s="208"/>
      <c r="AL357" s="208"/>
      <c r="AM357" s="208"/>
      <c r="AN357" s="208"/>
      <c r="AO357" s="208"/>
      <c r="AP357" s="208"/>
      <c r="AQ357" s="208"/>
      <c r="AR357" s="208"/>
      <c r="AS357" s="208"/>
      <c r="AT357" s="208"/>
      <c r="AU357" s="208"/>
      <c r="AV357" s="208"/>
      <c r="AW357" s="208"/>
      <c r="AX357" s="208"/>
      <c r="AY357" s="208"/>
      <c r="AZ357" s="208"/>
      <c r="BA357" s="208"/>
      <c r="BB357" s="208"/>
      <c r="BC357" s="208"/>
      <c r="BD357" s="208"/>
      <c r="BE357" s="209"/>
      <c r="BF357" s="3"/>
    </row>
    <row r="358" spans="1:58" ht="14.25" customHeight="1" x14ac:dyDescent="0.45">
      <c r="A358" s="4"/>
      <c r="B358" s="4"/>
      <c r="C358" s="160"/>
      <c r="D358" s="111"/>
      <c r="E358" s="123">
        <v>2018</v>
      </c>
      <c r="F358" s="123">
        <v>2019</v>
      </c>
      <c r="G358" s="123">
        <v>2020</v>
      </c>
      <c r="H358" s="123">
        <v>2021</v>
      </c>
      <c r="I358" s="141">
        <v>2022</v>
      </c>
      <c r="J358" s="141">
        <v>2023</v>
      </c>
      <c r="K358" s="141">
        <v>2024</v>
      </c>
      <c r="L358" s="141">
        <v>2025</v>
      </c>
      <c r="M358" s="141">
        <v>2026</v>
      </c>
      <c r="N358" s="141">
        <v>2027</v>
      </c>
      <c r="O358" s="141">
        <v>2028</v>
      </c>
      <c r="P358" s="141">
        <v>2029</v>
      </c>
      <c r="Q358" s="141">
        <v>2030</v>
      </c>
      <c r="R358" s="141">
        <v>2031</v>
      </c>
      <c r="S358" s="141">
        <v>2032</v>
      </c>
      <c r="T358" s="141">
        <v>2033</v>
      </c>
      <c r="U358" s="141">
        <v>2034</v>
      </c>
      <c r="V358" s="141">
        <v>2035</v>
      </c>
      <c r="W358" s="141">
        <v>2036</v>
      </c>
      <c r="X358" s="141">
        <v>2037</v>
      </c>
      <c r="Y358" s="141">
        <v>2038</v>
      </c>
      <c r="Z358" s="141">
        <v>2039</v>
      </c>
      <c r="AA358" s="141">
        <v>2040</v>
      </c>
      <c r="AB358" s="141">
        <v>2041</v>
      </c>
      <c r="AC358" s="141">
        <v>2042</v>
      </c>
      <c r="AD358" s="141">
        <v>2043</v>
      </c>
      <c r="AE358" s="141">
        <v>2044</v>
      </c>
      <c r="AF358" s="141">
        <v>2045</v>
      </c>
      <c r="AG358" s="141">
        <v>2046</v>
      </c>
      <c r="AH358" s="141">
        <v>2047</v>
      </c>
      <c r="AI358" s="141">
        <v>2048</v>
      </c>
      <c r="AJ358" s="141">
        <v>2049</v>
      </c>
      <c r="AK358" s="141">
        <v>2050</v>
      </c>
      <c r="AL358" s="141">
        <v>2051</v>
      </c>
      <c r="AM358" s="141">
        <v>2052</v>
      </c>
      <c r="AN358" s="141">
        <v>2053</v>
      </c>
      <c r="AO358" s="141">
        <v>2054</v>
      </c>
      <c r="AP358" s="141">
        <v>2055</v>
      </c>
      <c r="AQ358" s="141">
        <v>2056</v>
      </c>
      <c r="AR358" s="141">
        <v>2057</v>
      </c>
      <c r="AS358" s="141">
        <v>2058</v>
      </c>
      <c r="AT358" s="141">
        <v>2059</v>
      </c>
      <c r="AU358" s="141">
        <v>2060</v>
      </c>
      <c r="AV358" s="141">
        <v>2061</v>
      </c>
      <c r="AW358" s="141">
        <v>2062</v>
      </c>
      <c r="AX358" s="141">
        <v>2063</v>
      </c>
      <c r="AY358" s="141">
        <v>2064</v>
      </c>
      <c r="AZ358" s="141">
        <v>2065</v>
      </c>
      <c r="BA358" s="141">
        <v>2066</v>
      </c>
      <c r="BB358" s="141">
        <v>2067</v>
      </c>
      <c r="BC358" s="141">
        <v>2068</v>
      </c>
      <c r="BD358" s="141">
        <v>2069</v>
      </c>
      <c r="BE358" s="142">
        <v>2070</v>
      </c>
      <c r="BF358" s="3"/>
    </row>
    <row r="359" spans="1:58" ht="13.5" customHeight="1" x14ac:dyDescent="0.45">
      <c r="A359" s="618"/>
      <c r="B359" s="618"/>
      <c r="C359" s="130"/>
      <c r="D359" s="115" t="s">
        <v>41</v>
      </c>
      <c r="E359" s="116">
        <f t="shared" ref="E359:AK359" si="55">$E$357*E44</f>
        <v>0</v>
      </c>
      <c r="F359" s="116">
        <f t="shared" si="55"/>
        <v>0</v>
      </c>
      <c r="G359" s="116">
        <f t="shared" si="55"/>
        <v>0</v>
      </c>
      <c r="H359" s="116">
        <f t="shared" si="55"/>
        <v>0</v>
      </c>
      <c r="I359" s="116">
        <f t="shared" si="55"/>
        <v>0</v>
      </c>
      <c r="J359" s="116">
        <f t="shared" si="55"/>
        <v>0</v>
      </c>
      <c r="K359" s="116">
        <f t="shared" si="55"/>
        <v>0</v>
      </c>
      <c r="L359" s="116">
        <f t="shared" si="55"/>
        <v>0</v>
      </c>
      <c r="M359" s="116">
        <f t="shared" si="55"/>
        <v>0</v>
      </c>
      <c r="N359" s="116">
        <f t="shared" si="55"/>
        <v>0</v>
      </c>
      <c r="O359" s="116">
        <f t="shared" si="55"/>
        <v>0</v>
      </c>
      <c r="P359" s="116">
        <f t="shared" si="55"/>
        <v>0</v>
      </c>
      <c r="Q359" s="143">
        <f t="shared" si="55"/>
        <v>107.34</v>
      </c>
      <c r="R359" s="143">
        <f t="shared" si="55"/>
        <v>152.09</v>
      </c>
      <c r="S359" s="143">
        <f t="shared" si="55"/>
        <v>188.59</v>
      </c>
      <c r="T359" s="143">
        <f t="shared" si="55"/>
        <v>232.28</v>
      </c>
      <c r="U359" s="143">
        <f t="shared" si="55"/>
        <v>273.43</v>
      </c>
      <c r="V359" s="143">
        <f t="shared" si="55"/>
        <v>345.84</v>
      </c>
      <c r="W359" s="143">
        <f t="shared" si="55"/>
        <v>379.09</v>
      </c>
      <c r="X359" s="143">
        <f t="shared" si="55"/>
        <v>379.09</v>
      </c>
      <c r="Y359" s="143">
        <f t="shared" si="55"/>
        <v>379.11</v>
      </c>
      <c r="Z359" s="143">
        <f t="shared" si="55"/>
        <v>379.11</v>
      </c>
      <c r="AA359" s="143">
        <f t="shared" si="55"/>
        <v>379.11</v>
      </c>
      <c r="AB359" s="143">
        <f t="shared" si="55"/>
        <v>379.11</v>
      </c>
      <c r="AC359" s="143">
        <f t="shared" si="55"/>
        <v>379.11</v>
      </c>
      <c r="AD359" s="143">
        <f t="shared" si="55"/>
        <v>379.11</v>
      </c>
      <c r="AE359" s="143">
        <f t="shared" si="55"/>
        <v>379.11</v>
      </c>
      <c r="AF359" s="143">
        <f t="shared" si="55"/>
        <v>379.11</v>
      </c>
      <c r="AG359" s="143">
        <f t="shared" si="55"/>
        <v>379.11</v>
      </c>
      <c r="AH359" s="143">
        <f t="shared" si="55"/>
        <v>379.11</v>
      </c>
      <c r="AI359" s="143">
        <f t="shared" si="55"/>
        <v>379.11</v>
      </c>
      <c r="AJ359" s="143">
        <f t="shared" si="55"/>
        <v>379.11</v>
      </c>
      <c r="AK359" s="143">
        <f t="shared" si="55"/>
        <v>379.11</v>
      </c>
      <c r="AL359" s="144">
        <v>379.11</v>
      </c>
      <c r="AM359" s="144">
        <v>379.11</v>
      </c>
      <c r="AN359" s="144">
        <v>379.11</v>
      </c>
      <c r="AO359" s="144">
        <v>379.11</v>
      </c>
      <c r="AP359" s="144">
        <v>379.11</v>
      </c>
      <c r="AQ359" s="144">
        <v>379.11</v>
      </c>
      <c r="AR359" s="144">
        <v>379.11</v>
      </c>
      <c r="AS359" s="144">
        <v>379.11</v>
      </c>
      <c r="AT359" s="144">
        <v>379.11</v>
      </c>
      <c r="AU359" s="144">
        <v>379.11</v>
      </c>
      <c r="AV359" s="144">
        <v>379.11</v>
      </c>
      <c r="AW359" s="144">
        <v>379.11</v>
      </c>
      <c r="AX359" s="144">
        <v>379.11</v>
      </c>
      <c r="AY359" s="144">
        <v>379.11</v>
      </c>
      <c r="AZ359" s="144">
        <v>379.11</v>
      </c>
      <c r="BA359" s="144">
        <v>379.11</v>
      </c>
      <c r="BB359" s="144">
        <v>379.11</v>
      </c>
      <c r="BC359" s="144">
        <v>379.11</v>
      </c>
      <c r="BD359" s="144">
        <v>379.11</v>
      </c>
      <c r="BE359" s="145">
        <v>379.11</v>
      </c>
      <c r="BF359" s="3"/>
    </row>
    <row r="360" spans="1:58" ht="14.25" customHeight="1" x14ac:dyDescent="0.45">
      <c r="A360" s="618">
        <v>1</v>
      </c>
      <c r="B360" s="618"/>
      <c r="C360" s="130"/>
      <c r="D360" s="115" t="s">
        <v>49</v>
      </c>
      <c r="E360" s="116">
        <f t="shared" ref="E360:H365" si="56">$E$357*E45</f>
        <v>117.76053434755926</v>
      </c>
      <c r="F360" s="116">
        <f t="shared" si="56"/>
        <v>124.42923183837271</v>
      </c>
      <c r="G360" s="116">
        <f t="shared" si="56"/>
        <v>108.25917569387438</v>
      </c>
      <c r="H360" s="116">
        <f t="shared" si="56"/>
        <v>136.77355671196315</v>
      </c>
      <c r="I360" s="116">
        <f t="shared" ref="I360:AK360" si="57">$E$357*I44</f>
        <v>0</v>
      </c>
      <c r="J360" s="116">
        <f t="shared" si="57"/>
        <v>0</v>
      </c>
      <c r="K360" s="116">
        <f t="shared" si="57"/>
        <v>0</v>
      </c>
      <c r="L360" s="116">
        <f t="shared" si="57"/>
        <v>0</v>
      </c>
      <c r="M360" s="116">
        <f t="shared" si="57"/>
        <v>0</v>
      </c>
      <c r="N360" s="116">
        <f t="shared" si="57"/>
        <v>0</v>
      </c>
      <c r="O360" s="116">
        <f t="shared" si="57"/>
        <v>0</v>
      </c>
      <c r="P360" s="116">
        <f t="shared" si="57"/>
        <v>0</v>
      </c>
      <c r="Q360" s="116">
        <f t="shared" si="57"/>
        <v>107.34</v>
      </c>
      <c r="R360" s="116">
        <f t="shared" si="57"/>
        <v>152.09</v>
      </c>
      <c r="S360" s="116">
        <f t="shared" si="57"/>
        <v>188.59</v>
      </c>
      <c r="T360" s="116">
        <f t="shared" si="57"/>
        <v>232.28</v>
      </c>
      <c r="U360" s="116">
        <f t="shared" si="57"/>
        <v>273.43</v>
      </c>
      <c r="V360" s="116">
        <f t="shared" si="57"/>
        <v>345.84</v>
      </c>
      <c r="W360" s="116">
        <f t="shared" si="57"/>
        <v>379.09</v>
      </c>
      <c r="X360" s="116">
        <f t="shared" si="57"/>
        <v>379.09</v>
      </c>
      <c r="Y360" s="116">
        <f t="shared" si="57"/>
        <v>379.11</v>
      </c>
      <c r="Z360" s="116">
        <f t="shared" si="57"/>
        <v>379.11</v>
      </c>
      <c r="AA360" s="116">
        <f t="shared" si="57"/>
        <v>379.11</v>
      </c>
      <c r="AB360" s="116">
        <f t="shared" si="57"/>
        <v>379.11</v>
      </c>
      <c r="AC360" s="116">
        <f t="shared" si="57"/>
        <v>379.11</v>
      </c>
      <c r="AD360" s="116">
        <f t="shared" si="57"/>
        <v>379.11</v>
      </c>
      <c r="AE360" s="116">
        <f t="shared" si="57"/>
        <v>379.11</v>
      </c>
      <c r="AF360" s="116">
        <f t="shared" si="57"/>
        <v>379.11</v>
      </c>
      <c r="AG360" s="116">
        <f t="shared" si="57"/>
        <v>379.11</v>
      </c>
      <c r="AH360" s="116">
        <f t="shared" si="57"/>
        <v>379.11</v>
      </c>
      <c r="AI360" s="116">
        <f t="shared" si="57"/>
        <v>379.11</v>
      </c>
      <c r="AJ360" s="116">
        <f t="shared" si="57"/>
        <v>379.11</v>
      </c>
      <c r="AK360" s="116">
        <f t="shared" si="57"/>
        <v>379.11</v>
      </c>
      <c r="AL360" s="144">
        <v>272.14</v>
      </c>
      <c r="AM360" s="144">
        <v>277.64</v>
      </c>
      <c r="AN360" s="144">
        <v>282.91000000000003</v>
      </c>
      <c r="AO360" s="144">
        <v>288.45999999999998</v>
      </c>
      <c r="AP360" s="144">
        <v>293.94</v>
      </c>
      <c r="AQ360" s="144">
        <v>299.64</v>
      </c>
      <c r="AR360" s="144">
        <v>305.27</v>
      </c>
      <c r="AS360" s="144">
        <v>311.07</v>
      </c>
      <c r="AT360" s="144">
        <v>316.86</v>
      </c>
      <c r="AU360" s="144">
        <v>322.91000000000003</v>
      </c>
      <c r="AV360" s="144">
        <v>328.95</v>
      </c>
      <c r="AW360" s="144">
        <v>335.26</v>
      </c>
      <c r="AX360" s="144">
        <v>341.67</v>
      </c>
      <c r="AY360" s="144">
        <v>348.19</v>
      </c>
      <c r="AZ360" s="144">
        <v>354.84</v>
      </c>
      <c r="BA360" s="144">
        <v>361.59</v>
      </c>
      <c r="BB360" s="144">
        <v>368.46</v>
      </c>
      <c r="BC360" s="144">
        <v>375.46</v>
      </c>
      <c r="BD360" s="144">
        <v>382.59</v>
      </c>
      <c r="BE360" s="145">
        <v>389.86</v>
      </c>
      <c r="BF360" s="3"/>
    </row>
    <row r="361" spans="1:58" ht="14.25" customHeight="1" x14ac:dyDescent="0.45">
      <c r="A361" s="618">
        <v>1</v>
      </c>
      <c r="B361" s="618"/>
      <c r="C361" s="130"/>
      <c r="D361" s="115" t="s">
        <v>50</v>
      </c>
      <c r="E361" s="116">
        <f t="shared" si="56"/>
        <v>91.607975457177815</v>
      </c>
      <c r="F361" s="116">
        <f t="shared" si="56"/>
        <v>105.93168609615964</v>
      </c>
      <c r="G361" s="116">
        <f t="shared" si="56"/>
        <v>78.997084172717436</v>
      </c>
      <c r="H361" s="116">
        <f t="shared" si="56"/>
        <v>93.045174562286462</v>
      </c>
      <c r="I361" s="116">
        <f t="shared" ref="I361:AK361" si="58">$E$357*I45</f>
        <v>134.38999999999999</v>
      </c>
      <c r="J361" s="116">
        <f t="shared" si="58"/>
        <v>144.65</v>
      </c>
      <c r="K361" s="116">
        <f t="shared" si="58"/>
        <v>143.02000000000001</v>
      </c>
      <c r="L361" s="116">
        <f t="shared" si="58"/>
        <v>152.84</v>
      </c>
      <c r="M361" s="116">
        <f t="shared" si="58"/>
        <v>150.88999999999999</v>
      </c>
      <c r="N361" s="116">
        <f t="shared" si="58"/>
        <v>161.29</v>
      </c>
      <c r="O361" s="116">
        <f t="shared" si="58"/>
        <v>160.72999999999999</v>
      </c>
      <c r="P361" s="116">
        <f t="shared" si="58"/>
        <v>169.45</v>
      </c>
      <c r="Q361" s="116">
        <f t="shared" si="58"/>
        <v>168.68</v>
      </c>
      <c r="R361" s="116">
        <f t="shared" si="58"/>
        <v>178.69</v>
      </c>
      <c r="S361" s="116">
        <f t="shared" si="58"/>
        <v>178.77</v>
      </c>
      <c r="T361" s="116">
        <f t="shared" si="58"/>
        <v>188.05</v>
      </c>
      <c r="U361" s="116">
        <f t="shared" si="58"/>
        <v>188.69</v>
      </c>
      <c r="V361" s="116">
        <f t="shared" si="58"/>
        <v>196.72</v>
      </c>
      <c r="W361" s="116">
        <f t="shared" si="58"/>
        <v>198.44</v>
      </c>
      <c r="X361" s="116">
        <f t="shared" si="58"/>
        <v>206.04</v>
      </c>
      <c r="Y361" s="116">
        <f t="shared" si="58"/>
        <v>208.02</v>
      </c>
      <c r="Z361" s="116">
        <f t="shared" si="58"/>
        <v>215.95</v>
      </c>
      <c r="AA361" s="116">
        <f t="shared" si="58"/>
        <v>218.4</v>
      </c>
      <c r="AB361" s="116">
        <f t="shared" si="58"/>
        <v>225.69</v>
      </c>
      <c r="AC361" s="116">
        <f t="shared" si="58"/>
        <v>228.62</v>
      </c>
      <c r="AD361" s="116">
        <f t="shared" si="58"/>
        <v>234.58</v>
      </c>
      <c r="AE361" s="116">
        <f t="shared" si="58"/>
        <v>237.94</v>
      </c>
      <c r="AF361" s="116">
        <f t="shared" si="58"/>
        <v>244.03</v>
      </c>
      <c r="AG361" s="116">
        <f t="shared" si="58"/>
        <v>248.09</v>
      </c>
      <c r="AH361" s="116">
        <f t="shared" si="58"/>
        <v>254.09</v>
      </c>
      <c r="AI361" s="116">
        <f t="shared" si="58"/>
        <v>257.36</v>
      </c>
      <c r="AJ361" s="116">
        <f t="shared" si="58"/>
        <v>263.26</v>
      </c>
      <c r="AK361" s="116">
        <f t="shared" si="58"/>
        <v>266.93</v>
      </c>
      <c r="AL361" s="144">
        <v>149.71</v>
      </c>
      <c r="AM361" s="144">
        <v>83.26</v>
      </c>
      <c r="AN361" s="144">
        <v>126.49</v>
      </c>
      <c r="AO361" s="144">
        <v>95.41</v>
      </c>
      <c r="AP361" s="144">
        <v>152.55000000000001</v>
      </c>
      <c r="AQ361" s="144">
        <v>84.88</v>
      </c>
      <c r="AR361" s="144">
        <v>128.87</v>
      </c>
      <c r="AS361" s="144">
        <v>97.22</v>
      </c>
      <c r="AT361" s="144">
        <v>155.38999999999999</v>
      </c>
      <c r="AU361" s="144">
        <v>86.5</v>
      </c>
      <c r="AV361" s="144">
        <v>131.28</v>
      </c>
      <c r="AW361" s="144">
        <v>99.09</v>
      </c>
      <c r="AX361" s="144">
        <v>158.36000000000001</v>
      </c>
      <c r="AY361" s="144">
        <v>88.15</v>
      </c>
      <c r="AZ361" s="144">
        <v>133.79</v>
      </c>
      <c r="BA361" s="144">
        <v>100.97</v>
      </c>
      <c r="BB361" s="144">
        <v>161.36000000000001</v>
      </c>
      <c r="BC361" s="144">
        <v>89.82</v>
      </c>
      <c r="BD361" s="144">
        <v>136.33000000000001</v>
      </c>
      <c r="BE361" s="145">
        <v>102.89</v>
      </c>
      <c r="BF361" s="3"/>
    </row>
    <row r="362" spans="1:58" ht="14.25" customHeight="1" x14ac:dyDescent="0.45">
      <c r="A362" s="618">
        <v>1</v>
      </c>
      <c r="B362" s="618"/>
      <c r="C362" s="130"/>
      <c r="D362" s="115" t="s">
        <v>51</v>
      </c>
      <c r="E362" s="116">
        <f t="shared" si="56"/>
        <v>43.389807172946462</v>
      </c>
      <c r="F362" s="116">
        <f t="shared" si="56"/>
        <v>47.274511929187639</v>
      </c>
      <c r="G362" s="116">
        <f t="shared" si="56"/>
        <v>48.313115125721133</v>
      </c>
      <c r="H362" s="116">
        <f t="shared" si="56"/>
        <v>49.878194601928534</v>
      </c>
      <c r="I362" s="116">
        <f t="shared" ref="I362:AK362" si="59">$E$357*I46</f>
        <v>90.01</v>
      </c>
      <c r="J362" s="116">
        <f t="shared" si="59"/>
        <v>114.02</v>
      </c>
      <c r="K362" s="116">
        <f t="shared" si="59"/>
        <v>78.099999999999994</v>
      </c>
      <c r="L362" s="116">
        <f t="shared" si="59"/>
        <v>99.44</v>
      </c>
      <c r="M362" s="116">
        <f t="shared" si="59"/>
        <v>88.86</v>
      </c>
      <c r="N362" s="116">
        <f t="shared" si="59"/>
        <v>121.88</v>
      </c>
      <c r="O362" s="116">
        <f t="shared" si="59"/>
        <v>77.83</v>
      </c>
      <c r="P362" s="116">
        <f t="shared" si="59"/>
        <v>104.83</v>
      </c>
      <c r="Q362" s="116">
        <f t="shared" si="59"/>
        <v>88.46</v>
      </c>
      <c r="R362" s="116">
        <f t="shared" si="59"/>
        <v>129.11000000000001</v>
      </c>
      <c r="S362" s="116">
        <f t="shared" si="59"/>
        <v>77.87</v>
      </c>
      <c r="T362" s="116">
        <f t="shared" si="59"/>
        <v>110.28</v>
      </c>
      <c r="U362" s="116">
        <f t="shared" si="59"/>
        <v>88.76</v>
      </c>
      <c r="V362" s="116">
        <f t="shared" si="59"/>
        <v>134.61000000000001</v>
      </c>
      <c r="W362" s="116">
        <f t="shared" si="59"/>
        <v>78.55</v>
      </c>
      <c r="X362" s="116">
        <f t="shared" si="59"/>
        <v>114.5</v>
      </c>
      <c r="Y362" s="116">
        <f t="shared" si="59"/>
        <v>89.62</v>
      </c>
      <c r="Z362" s="116">
        <f t="shared" si="59"/>
        <v>139.72999999999999</v>
      </c>
      <c r="AA362" s="116">
        <f t="shared" si="59"/>
        <v>79.44</v>
      </c>
      <c r="AB362" s="116">
        <f t="shared" si="59"/>
        <v>118.32</v>
      </c>
      <c r="AC362" s="116">
        <f t="shared" si="59"/>
        <v>90.78</v>
      </c>
      <c r="AD362" s="116">
        <f t="shared" si="59"/>
        <v>143.38</v>
      </c>
      <c r="AE362" s="116">
        <f t="shared" si="59"/>
        <v>80.58</v>
      </c>
      <c r="AF362" s="116">
        <f t="shared" si="59"/>
        <v>121.35</v>
      </c>
      <c r="AG362" s="116">
        <f t="shared" si="59"/>
        <v>92.29</v>
      </c>
      <c r="AH362" s="116">
        <f t="shared" si="59"/>
        <v>146.84</v>
      </c>
      <c r="AI362" s="116">
        <f t="shared" si="59"/>
        <v>81.61</v>
      </c>
      <c r="AJ362" s="116">
        <f t="shared" si="59"/>
        <v>124.13</v>
      </c>
      <c r="AK362" s="116">
        <f t="shared" si="59"/>
        <v>93.58</v>
      </c>
      <c r="AL362" s="144">
        <v>79.319999999999993</v>
      </c>
      <c r="AM362" s="144">
        <v>80.12</v>
      </c>
      <c r="AN362" s="144">
        <v>80.89</v>
      </c>
      <c r="AO362" s="144">
        <v>81.680000000000007</v>
      </c>
      <c r="AP362" s="144">
        <v>82.46</v>
      </c>
      <c r="AQ362" s="144">
        <v>83.24</v>
      </c>
      <c r="AR362" s="144">
        <v>83.96</v>
      </c>
      <c r="AS362" s="144">
        <v>84.68</v>
      </c>
      <c r="AT362" s="144">
        <v>85.38</v>
      </c>
      <c r="AU362" s="144">
        <v>86.05</v>
      </c>
      <c r="AV362" s="144">
        <v>86.7</v>
      </c>
      <c r="AW362" s="144">
        <v>87.33</v>
      </c>
      <c r="AX362" s="144">
        <v>87.93</v>
      </c>
      <c r="AY362" s="144">
        <v>88.52</v>
      </c>
      <c r="AZ362" s="144">
        <v>89.08</v>
      </c>
      <c r="BA362" s="144">
        <v>89.62</v>
      </c>
      <c r="BB362" s="144">
        <v>90.13</v>
      </c>
      <c r="BC362" s="144">
        <v>90.61</v>
      </c>
      <c r="BD362" s="144">
        <v>91.07</v>
      </c>
      <c r="BE362" s="145">
        <v>91.49</v>
      </c>
      <c r="BF362" s="3"/>
    </row>
    <row r="363" spans="1:58" ht="14.25" customHeight="1" x14ac:dyDescent="0.45">
      <c r="A363" s="618">
        <v>1</v>
      </c>
      <c r="B363" s="618"/>
      <c r="C363" s="130"/>
      <c r="D363" s="115" t="s">
        <v>52</v>
      </c>
      <c r="E363" s="116">
        <f t="shared" si="56"/>
        <v>24.078345824693489</v>
      </c>
      <c r="F363" s="116">
        <f t="shared" si="56"/>
        <v>25.523331769395305</v>
      </c>
      <c r="G363" s="116">
        <f t="shared" si="56"/>
        <v>17.832534842966325</v>
      </c>
      <c r="H363" s="116">
        <f t="shared" si="56"/>
        <v>13.861502850491931</v>
      </c>
      <c r="I363" s="116">
        <f t="shared" ref="I363:AK363" si="60">$E$357*I47</f>
        <v>50.85</v>
      </c>
      <c r="J363" s="116">
        <f t="shared" si="60"/>
        <v>51.85</v>
      </c>
      <c r="K363" s="116">
        <f t="shared" si="60"/>
        <v>52.88</v>
      </c>
      <c r="L363" s="116">
        <f t="shared" si="60"/>
        <v>53.86</v>
      </c>
      <c r="M363" s="116">
        <f t="shared" si="60"/>
        <v>54.75</v>
      </c>
      <c r="N363" s="116">
        <f t="shared" si="60"/>
        <v>55.89</v>
      </c>
      <c r="O363" s="116">
        <f t="shared" si="60"/>
        <v>56.91</v>
      </c>
      <c r="P363" s="116">
        <f t="shared" si="60"/>
        <v>57.87</v>
      </c>
      <c r="Q363" s="116">
        <f t="shared" si="60"/>
        <v>58.81</v>
      </c>
      <c r="R363" s="116">
        <f t="shared" si="60"/>
        <v>60.03</v>
      </c>
      <c r="S363" s="116">
        <f t="shared" si="60"/>
        <v>61.02</v>
      </c>
      <c r="T363" s="116">
        <f t="shared" si="60"/>
        <v>62.2</v>
      </c>
      <c r="U363" s="116">
        <f t="shared" si="60"/>
        <v>63.19</v>
      </c>
      <c r="V363" s="116">
        <f t="shared" si="60"/>
        <v>64.239999999999995</v>
      </c>
      <c r="W363" s="116">
        <f t="shared" si="60"/>
        <v>65.3</v>
      </c>
      <c r="X363" s="116">
        <f t="shared" si="60"/>
        <v>66.33</v>
      </c>
      <c r="Y363" s="116">
        <f t="shared" si="60"/>
        <v>67.34</v>
      </c>
      <c r="Z363" s="116">
        <f t="shared" si="60"/>
        <v>68.42</v>
      </c>
      <c r="AA363" s="116">
        <f t="shared" si="60"/>
        <v>69.41</v>
      </c>
      <c r="AB363" s="116">
        <f t="shared" si="60"/>
        <v>70.42</v>
      </c>
      <c r="AC363" s="116">
        <f t="shared" si="60"/>
        <v>71.400000000000006</v>
      </c>
      <c r="AD363" s="116">
        <f t="shared" si="60"/>
        <v>72.25</v>
      </c>
      <c r="AE363" s="116">
        <f t="shared" si="60"/>
        <v>73.209999999999994</v>
      </c>
      <c r="AF363" s="116">
        <f t="shared" si="60"/>
        <v>74.069999999999993</v>
      </c>
      <c r="AG363" s="116">
        <f t="shared" si="60"/>
        <v>75.05</v>
      </c>
      <c r="AH363" s="116">
        <f t="shared" si="60"/>
        <v>75.91</v>
      </c>
      <c r="AI363" s="116">
        <f t="shared" si="60"/>
        <v>76.739999999999995</v>
      </c>
      <c r="AJ363" s="116">
        <f t="shared" si="60"/>
        <v>77.58</v>
      </c>
      <c r="AK363" s="116">
        <f t="shared" si="60"/>
        <v>78.41</v>
      </c>
      <c r="AL363" s="144">
        <v>27.57</v>
      </c>
      <c r="AM363" s="144">
        <v>28.09</v>
      </c>
      <c r="AN363" s="144">
        <v>28.62</v>
      </c>
      <c r="AO363" s="144">
        <v>29.14</v>
      </c>
      <c r="AP363" s="144">
        <v>29.69</v>
      </c>
      <c r="AQ363" s="144">
        <v>30.24</v>
      </c>
      <c r="AR363" s="144">
        <v>30.8</v>
      </c>
      <c r="AS363" s="144">
        <v>31.36</v>
      </c>
      <c r="AT363" s="144">
        <v>31.93</v>
      </c>
      <c r="AU363" s="144">
        <v>32.520000000000003</v>
      </c>
      <c r="AV363" s="144">
        <v>33.119999999999997</v>
      </c>
      <c r="AW363" s="144">
        <v>33.74</v>
      </c>
      <c r="AX363" s="144">
        <v>34.36</v>
      </c>
      <c r="AY363" s="144">
        <v>35</v>
      </c>
      <c r="AZ363" s="144">
        <v>35.65</v>
      </c>
      <c r="BA363" s="144">
        <v>36.31</v>
      </c>
      <c r="BB363" s="144">
        <v>36.979999999999997</v>
      </c>
      <c r="BC363" s="144">
        <v>37.659999999999997</v>
      </c>
      <c r="BD363" s="144">
        <v>38.36</v>
      </c>
      <c r="BE363" s="145">
        <v>39.07</v>
      </c>
      <c r="BF363" s="3"/>
    </row>
    <row r="364" spans="1:58" ht="14.25" customHeight="1" x14ac:dyDescent="0.45">
      <c r="A364" s="618">
        <v>1</v>
      </c>
      <c r="B364" s="618"/>
      <c r="C364" s="130"/>
      <c r="D364" s="115" t="s">
        <v>53</v>
      </c>
      <c r="E364" s="116">
        <f t="shared" si="56"/>
        <v>0</v>
      </c>
      <c r="F364" s="116">
        <f t="shared" si="56"/>
        <v>0</v>
      </c>
      <c r="G364" s="116">
        <f t="shared" si="56"/>
        <v>0.93795160777154696</v>
      </c>
      <c r="H364" s="116">
        <f t="shared" si="56"/>
        <v>0</v>
      </c>
      <c r="I364" s="116">
        <f t="shared" ref="I364:AK364" si="61">$E$357*I48</f>
        <v>14.39</v>
      </c>
      <c r="J364" s="116">
        <f t="shared" si="61"/>
        <v>14.7</v>
      </c>
      <c r="K364" s="116">
        <f t="shared" si="61"/>
        <v>15.28</v>
      </c>
      <c r="L364" s="116">
        <f t="shared" si="61"/>
        <v>15.54</v>
      </c>
      <c r="M364" s="116">
        <f t="shared" si="61"/>
        <v>16.03</v>
      </c>
      <c r="N364" s="116">
        <f t="shared" si="61"/>
        <v>16.38</v>
      </c>
      <c r="O364" s="116">
        <f t="shared" si="61"/>
        <v>16.98</v>
      </c>
      <c r="P364" s="116">
        <f t="shared" si="61"/>
        <v>17.18</v>
      </c>
      <c r="Q364" s="116">
        <f t="shared" si="61"/>
        <v>17.71</v>
      </c>
      <c r="R364" s="116">
        <f t="shared" si="61"/>
        <v>18.12</v>
      </c>
      <c r="S364" s="116">
        <f t="shared" si="61"/>
        <v>18.68</v>
      </c>
      <c r="T364" s="116">
        <f t="shared" si="61"/>
        <v>19.07</v>
      </c>
      <c r="U364" s="116">
        <f t="shared" si="61"/>
        <v>19.63</v>
      </c>
      <c r="V364" s="116">
        <f t="shared" si="61"/>
        <v>19.96</v>
      </c>
      <c r="W364" s="116">
        <f t="shared" si="61"/>
        <v>20.56</v>
      </c>
      <c r="X364" s="116">
        <f t="shared" si="61"/>
        <v>20.9</v>
      </c>
      <c r="Y364" s="116">
        <f t="shared" si="61"/>
        <v>21.47</v>
      </c>
      <c r="Z364" s="116">
        <f t="shared" si="61"/>
        <v>21.9</v>
      </c>
      <c r="AA364" s="116">
        <f t="shared" si="61"/>
        <v>22.46</v>
      </c>
      <c r="AB364" s="116">
        <f t="shared" si="61"/>
        <v>22.87</v>
      </c>
      <c r="AC364" s="116">
        <f t="shared" si="61"/>
        <v>23.43</v>
      </c>
      <c r="AD364" s="116">
        <f t="shared" si="61"/>
        <v>23.75</v>
      </c>
      <c r="AE364" s="116">
        <f t="shared" si="61"/>
        <v>24.31</v>
      </c>
      <c r="AF364" s="116">
        <f t="shared" si="61"/>
        <v>24.68</v>
      </c>
      <c r="AG364" s="116">
        <f t="shared" si="61"/>
        <v>25.27</v>
      </c>
      <c r="AH364" s="116">
        <f t="shared" si="61"/>
        <v>25.66</v>
      </c>
      <c r="AI364" s="116">
        <f t="shared" si="61"/>
        <v>26.15</v>
      </c>
      <c r="AJ364" s="116">
        <f t="shared" si="61"/>
        <v>26.55</v>
      </c>
      <c r="AK364" s="116">
        <f t="shared" si="61"/>
        <v>27.05</v>
      </c>
      <c r="AL364" s="144">
        <v>1.98</v>
      </c>
      <c r="AM364" s="144">
        <v>2.02</v>
      </c>
      <c r="AN364" s="144">
        <v>2.0499999999999998</v>
      </c>
      <c r="AO364" s="144">
        <v>2.09</v>
      </c>
      <c r="AP364" s="144">
        <v>2.13</v>
      </c>
      <c r="AQ364" s="144">
        <v>2.16</v>
      </c>
      <c r="AR364" s="144">
        <v>2.2000000000000002</v>
      </c>
      <c r="AS364" s="144">
        <v>2.2400000000000002</v>
      </c>
      <c r="AT364" s="144">
        <v>2.2799999999999998</v>
      </c>
      <c r="AU364" s="144">
        <v>2.31</v>
      </c>
      <c r="AV364" s="144">
        <v>2.35</v>
      </c>
      <c r="AW364" s="144">
        <v>2.39</v>
      </c>
      <c r="AX364" s="144">
        <v>2.4300000000000002</v>
      </c>
      <c r="AY364" s="144">
        <v>2.4700000000000002</v>
      </c>
      <c r="AZ364" s="144">
        <v>2.5099999999999998</v>
      </c>
      <c r="BA364" s="144">
        <v>2.54</v>
      </c>
      <c r="BB364" s="144">
        <v>2.58</v>
      </c>
      <c r="BC364" s="144">
        <v>2.62</v>
      </c>
      <c r="BD364" s="144">
        <v>2.66</v>
      </c>
      <c r="BE364" s="145">
        <v>2.7</v>
      </c>
      <c r="BF364" s="3"/>
    </row>
    <row r="365" spans="1:58" ht="14.25" customHeight="1" x14ac:dyDescent="0.45">
      <c r="A365" s="618">
        <v>1</v>
      </c>
      <c r="B365" s="618"/>
      <c r="C365" s="130"/>
      <c r="D365" s="153" t="s">
        <v>54</v>
      </c>
      <c r="E365" s="116">
        <f t="shared" si="56"/>
        <v>5.5666818184799185</v>
      </c>
      <c r="F365" s="116">
        <f t="shared" si="56"/>
        <v>4.4513001057531385</v>
      </c>
      <c r="G365" s="116">
        <f t="shared" si="56"/>
        <v>5.1349054554247653</v>
      </c>
      <c r="H365" s="116">
        <f t="shared" si="56"/>
        <v>5.6722964060314354</v>
      </c>
      <c r="I365" s="116">
        <f t="shared" ref="I365:AK365" si="62">$E$357*I49</f>
        <v>1</v>
      </c>
      <c r="J365" s="116">
        <f t="shared" si="62"/>
        <v>1.04</v>
      </c>
      <c r="K365" s="116">
        <f t="shared" si="62"/>
        <v>1.07</v>
      </c>
      <c r="L365" s="116">
        <f t="shared" si="62"/>
        <v>1.1000000000000001</v>
      </c>
      <c r="M365" s="116">
        <f t="shared" si="62"/>
        <v>1.1200000000000001</v>
      </c>
      <c r="N365" s="116">
        <f t="shared" si="62"/>
        <v>1.1599999999999999</v>
      </c>
      <c r="O365" s="116">
        <f t="shared" si="62"/>
        <v>1.19</v>
      </c>
      <c r="P365" s="116">
        <f t="shared" si="62"/>
        <v>1.21</v>
      </c>
      <c r="Q365" s="116">
        <f t="shared" si="62"/>
        <v>1.24</v>
      </c>
      <c r="R365" s="116">
        <f t="shared" si="62"/>
        <v>1.28</v>
      </c>
      <c r="S365" s="116">
        <f t="shared" si="62"/>
        <v>1.31</v>
      </c>
      <c r="T365" s="116">
        <f t="shared" si="62"/>
        <v>1.35</v>
      </c>
      <c r="U365" s="116">
        <f t="shared" si="62"/>
        <v>1.38</v>
      </c>
      <c r="V365" s="116">
        <f t="shared" si="62"/>
        <v>1.42</v>
      </c>
      <c r="W365" s="116">
        <f t="shared" si="62"/>
        <v>1.45</v>
      </c>
      <c r="X365" s="116">
        <f t="shared" si="62"/>
        <v>1.49</v>
      </c>
      <c r="Y365" s="116">
        <f t="shared" si="62"/>
        <v>1.52</v>
      </c>
      <c r="Z365" s="116">
        <f t="shared" si="62"/>
        <v>1.56</v>
      </c>
      <c r="AA365" s="116">
        <f t="shared" si="62"/>
        <v>1.6</v>
      </c>
      <c r="AB365" s="116">
        <f t="shared" si="62"/>
        <v>1.63</v>
      </c>
      <c r="AC365" s="116">
        <f t="shared" si="62"/>
        <v>1.67</v>
      </c>
      <c r="AD365" s="116">
        <f t="shared" si="62"/>
        <v>1.7</v>
      </c>
      <c r="AE365" s="116">
        <f t="shared" si="62"/>
        <v>1.73</v>
      </c>
      <c r="AF365" s="116">
        <f t="shared" si="62"/>
        <v>1.77</v>
      </c>
      <c r="AG365" s="116">
        <f t="shared" si="62"/>
        <v>1.81</v>
      </c>
      <c r="AH365" s="116">
        <f t="shared" si="62"/>
        <v>1.84</v>
      </c>
      <c r="AI365" s="116">
        <f t="shared" si="62"/>
        <v>1.87</v>
      </c>
      <c r="AJ365" s="116">
        <f t="shared" si="62"/>
        <v>1.91</v>
      </c>
      <c r="AK365" s="116">
        <f t="shared" si="62"/>
        <v>1.94</v>
      </c>
      <c r="AL365" s="144">
        <v>12.25</v>
      </c>
      <c r="AM365" s="144">
        <v>12.49</v>
      </c>
      <c r="AN365" s="144">
        <v>12.76</v>
      </c>
      <c r="AO365" s="144">
        <v>13</v>
      </c>
      <c r="AP365" s="144">
        <v>13.28</v>
      </c>
      <c r="AQ365" s="144">
        <v>13.53</v>
      </c>
      <c r="AR365" s="144">
        <v>13.82</v>
      </c>
      <c r="AS365" s="144">
        <v>14.09</v>
      </c>
      <c r="AT365" s="144">
        <v>14.38</v>
      </c>
      <c r="AU365" s="144">
        <v>14.66</v>
      </c>
      <c r="AV365" s="144">
        <v>14.97</v>
      </c>
      <c r="AW365" s="144">
        <v>15.28</v>
      </c>
      <c r="AX365" s="144">
        <v>15.59</v>
      </c>
      <c r="AY365" s="144">
        <v>15.9</v>
      </c>
      <c r="AZ365" s="144">
        <v>16.22</v>
      </c>
      <c r="BA365" s="144">
        <v>16.55</v>
      </c>
      <c r="BB365" s="144">
        <v>16.89</v>
      </c>
      <c r="BC365" s="144">
        <v>17.23</v>
      </c>
      <c r="BD365" s="144">
        <v>17.579999999999998</v>
      </c>
      <c r="BE365" s="145">
        <v>17.940000000000001</v>
      </c>
      <c r="BF365" s="3"/>
    </row>
    <row r="366" spans="1:58" ht="14.25" customHeight="1" x14ac:dyDescent="0.45">
      <c r="A366" s="618"/>
      <c r="B366" s="618"/>
      <c r="C366" s="106"/>
      <c r="D366" s="115"/>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c r="AA366" s="146"/>
      <c r="AB366" s="146"/>
      <c r="AC366" s="146"/>
      <c r="AD366" s="146"/>
      <c r="AE366" s="146"/>
      <c r="AF366" s="146"/>
      <c r="AG366" s="146"/>
      <c r="AH366" s="146"/>
      <c r="AI366" s="146"/>
      <c r="AJ366" s="146"/>
      <c r="AK366" s="146"/>
      <c r="AL366" s="147"/>
      <c r="AM366" s="147"/>
      <c r="AN366" s="147"/>
      <c r="AO366" s="147"/>
      <c r="AP366" s="147"/>
      <c r="AQ366" s="147"/>
      <c r="AR366" s="147"/>
      <c r="AS366" s="147"/>
      <c r="AT366" s="147"/>
      <c r="AU366" s="147"/>
      <c r="AV366" s="147"/>
      <c r="AW366" s="147"/>
      <c r="AX366" s="147"/>
      <c r="AY366" s="147"/>
      <c r="AZ366" s="147"/>
      <c r="BA366" s="147"/>
      <c r="BB366" s="147"/>
      <c r="BC366" s="147"/>
      <c r="BD366" s="147"/>
      <c r="BE366" s="148"/>
      <c r="BF366" s="3"/>
    </row>
    <row r="367" spans="1:58" ht="14.25" customHeight="1" x14ac:dyDescent="0.45">
      <c r="A367" s="618"/>
      <c r="B367" s="618"/>
      <c r="C367" s="118"/>
      <c r="D367" s="119" t="s">
        <v>25</v>
      </c>
      <c r="E367" s="127">
        <f t="shared" ref="E367:BE367" si="63">SUM(E359:E365)</f>
        <v>282.40334462085696</v>
      </c>
      <c r="F367" s="127">
        <f t="shared" si="63"/>
        <v>307.61006173886847</v>
      </c>
      <c r="G367" s="127">
        <f t="shared" si="63"/>
        <v>259.47476689847559</v>
      </c>
      <c r="H367" s="127">
        <f t="shared" si="63"/>
        <v>299.23072513270154</v>
      </c>
      <c r="I367" s="127">
        <f t="shared" si="63"/>
        <v>290.64</v>
      </c>
      <c r="J367" s="127">
        <f t="shared" si="63"/>
        <v>326.26000000000005</v>
      </c>
      <c r="K367" s="127">
        <f t="shared" si="63"/>
        <v>290.34999999999997</v>
      </c>
      <c r="L367" s="127">
        <f t="shared" si="63"/>
        <v>322.78000000000003</v>
      </c>
      <c r="M367" s="127">
        <f t="shared" si="63"/>
        <v>311.64999999999998</v>
      </c>
      <c r="N367" s="127">
        <f t="shared" si="63"/>
        <v>356.59999999999997</v>
      </c>
      <c r="O367" s="127">
        <f t="shared" si="63"/>
        <v>313.64000000000004</v>
      </c>
      <c r="P367" s="127">
        <f t="shared" si="63"/>
        <v>350.53999999999996</v>
      </c>
      <c r="Q367" s="127">
        <f t="shared" si="63"/>
        <v>549.58000000000004</v>
      </c>
      <c r="R367" s="127">
        <f t="shared" si="63"/>
        <v>691.41</v>
      </c>
      <c r="S367" s="127">
        <f t="shared" si="63"/>
        <v>714.82999999999993</v>
      </c>
      <c r="T367" s="127">
        <f t="shared" si="63"/>
        <v>845.5100000000001</v>
      </c>
      <c r="U367" s="127">
        <f t="shared" si="63"/>
        <v>908.51</v>
      </c>
      <c r="V367" s="127">
        <f t="shared" si="63"/>
        <v>1108.6300000000001</v>
      </c>
      <c r="W367" s="127">
        <f t="shared" si="63"/>
        <v>1122.4799999999998</v>
      </c>
      <c r="X367" s="127">
        <f t="shared" si="63"/>
        <v>1167.4399999999998</v>
      </c>
      <c r="Y367" s="127">
        <f t="shared" si="63"/>
        <v>1146.19</v>
      </c>
      <c r="Z367" s="127">
        <f t="shared" si="63"/>
        <v>1205.7800000000002</v>
      </c>
      <c r="AA367" s="127">
        <f t="shared" si="63"/>
        <v>1149.53</v>
      </c>
      <c r="AB367" s="127">
        <f t="shared" si="63"/>
        <v>1197.1500000000001</v>
      </c>
      <c r="AC367" s="127">
        <f t="shared" si="63"/>
        <v>1174.1200000000003</v>
      </c>
      <c r="AD367" s="127">
        <f t="shared" si="63"/>
        <v>1233.8800000000001</v>
      </c>
      <c r="AE367" s="127">
        <f t="shared" si="63"/>
        <v>1175.99</v>
      </c>
      <c r="AF367" s="127">
        <f t="shared" si="63"/>
        <v>1224.1199999999999</v>
      </c>
      <c r="AG367" s="127">
        <f t="shared" si="63"/>
        <v>1200.73</v>
      </c>
      <c r="AH367" s="127">
        <f t="shared" si="63"/>
        <v>1262.5600000000002</v>
      </c>
      <c r="AI367" s="127">
        <f t="shared" si="63"/>
        <v>1201.95</v>
      </c>
      <c r="AJ367" s="127">
        <f t="shared" si="63"/>
        <v>1251.6500000000001</v>
      </c>
      <c r="AK367" s="127">
        <f t="shared" si="63"/>
        <v>1226.1300000000001</v>
      </c>
      <c r="AL367" s="149">
        <f t="shared" si="63"/>
        <v>922.08</v>
      </c>
      <c r="AM367" s="149">
        <f t="shared" si="63"/>
        <v>862.73</v>
      </c>
      <c r="AN367" s="149">
        <f t="shared" si="63"/>
        <v>912.82999999999993</v>
      </c>
      <c r="AO367" s="149">
        <f t="shared" si="63"/>
        <v>888.88999999999987</v>
      </c>
      <c r="AP367" s="149">
        <f t="shared" si="63"/>
        <v>953.16</v>
      </c>
      <c r="AQ367" s="149">
        <f t="shared" si="63"/>
        <v>892.8</v>
      </c>
      <c r="AR367" s="149">
        <f t="shared" si="63"/>
        <v>944.03000000000009</v>
      </c>
      <c r="AS367" s="149">
        <f t="shared" si="63"/>
        <v>919.77000000000021</v>
      </c>
      <c r="AT367" s="149">
        <f t="shared" si="63"/>
        <v>985.32999999999993</v>
      </c>
      <c r="AU367" s="149">
        <f t="shared" si="63"/>
        <v>924.05999999999983</v>
      </c>
      <c r="AV367" s="149">
        <f t="shared" si="63"/>
        <v>976.48</v>
      </c>
      <c r="AW367" s="149">
        <f t="shared" si="63"/>
        <v>952.2</v>
      </c>
      <c r="AX367" s="149">
        <f t="shared" si="63"/>
        <v>1019.4499999999999</v>
      </c>
      <c r="AY367" s="149">
        <f t="shared" si="63"/>
        <v>957.33999999999992</v>
      </c>
      <c r="AZ367" s="149">
        <f t="shared" si="63"/>
        <v>1011.2</v>
      </c>
      <c r="BA367" s="149">
        <f t="shared" si="63"/>
        <v>986.69</v>
      </c>
      <c r="BB367" s="149">
        <f t="shared" si="63"/>
        <v>1055.51</v>
      </c>
      <c r="BC367" s="149">
        <f t="shared" si="63"/>
        <v>992.50999999999988</v>
      </c>
      <c r="BD367" s="149">
        <f t="shared" si="63"/>
        <v>1047.7</v>
      </c>
      <c r="BE367" s="150">
        <f t="shared" si="63"/>
        <v>1023.0600000000002</v>
      </c>
      <c r="BF367" s="3"/>
    </row>
    <row r="368" spans="1:58" ht="14.25" customHeight="1" x14ac:dyDescent="0.45">
      <c r="A368" s="618"/>
      <c r="B368" s="618"/>
      <c r="C368" s="618"/>
      <c r="D368" s="5"/>
      <c r="E368" s="6"/>
      <c r="F368" s="6"/>
      <c r="G368" s="6"/>
      <c r="H368" s="6"/>
      <c r="I368" s="618"/>
      <c r="J368" s="618"/>
      <c r="K368" s="618"/>
      <c r="L368" s="618"/>
      <c r="M368" s="618"/>
      <c r="N368" s="618"/>
      <c r="O368" s="618"/>
      <c r="P368" s="618"/>
      <c r="Q368" s="618"/>
      <c r="R368" s="618"/>
      <c r="S368" s="618"/>
      <c r="T368" s="618"/>
      <c r="U368" s="618"/>
      <c r="V368" s="618"/>
      <c r="W368" s="618"/>
      <c r="X368" s="618"/>
      <c r="Y368" s="618"/>
      <c r="Z368" s="618"/>
      <c r="AA368" s="618"/>
      <c r="AB368" s="618"/>
      <c r="AC368" s="618"/>
      <c r="AD368" s="618"/>
      <c r="AE368" s="618"/>
      <c r="AF368" s="618"/>
      <c r="AG368" s="618"/>
      <c r="AH368" s="618"/>
      <c r="AI368" s="618"/>
      <c r="AJ368" s="618"/>
      <c r="AK368" s="618"/>
      <c r="AL368" s="618"/>
      <c r="AM368" s="618"/>
      <c r="AN368" s="618"/>
      <c r="AO368" s="618"/>
      <c r="AP368" s="618"/>
      <c r="AQ368" s="618"/>
      <c r="AR368" s="618"/>
      <c r="AS368" s="618"/>
      <c r="AT368" s="618"/>
      <c r="AU368" s="3"/>
      <c r="AV368" s="3"/>
      <c r="AW368" s="3"/>
      <c r="AX368" s="3"/>
      <c r="AY368" s="3"/>
      <c r="AZ368" s="3"/>
      <c r="BA368" s="3"/>
      <c r="BB368" s="3"/>
      <c r="BC368" s="3"/>
      <c r="BD368" s="3"/>
      <c r="BE368" s="3"/>
      <c r="BF368" s="3"/>
    </row>
    <row r="369" spans="1:58" ht="14.25" customHeight="1" x14ac:dyDescent="0.45">
      <c r="A369" s="618"/>
      <c r="B369" s="618"/>
      <c r="C369" s="618"/>
      <c r="D369" s="5"/>
      <c r="E369" s="6">
        <f>-E153+E355+E310-Demanda_energia!E16-Demanda_energia!E29-Demanda_energia!E42-Demanda_energia!E55-Demanda_energia!E68-Demanda_energia!E73</f>
        <v>84.638673372441616</v>
      </c>
      <c r="F369" s="6"/>
      <c r="G369" s="6"/>
      <c r="H369" s="6"/>
      <c r="I369" s="618"/>
      <c r="J369" s="618"/>
      <c r="K369" s="618"/>
      <c r="L369" s="618"/>
      <c r="M369" s="618"/>
      <c r="N369" s="618"/>
      <c r="O369" s="618"/>
      <c r="P369" s="618"/>
      <c r="Q369" s="618"/>
      <c r="R369" s="618"/>
      <c r="S369" s="618"/>
      <c r="T369" s="618"/>
      <c r="U369" s="618"/>
      <c r="V369" s="618"/>
      <c r="W369" s="618"/>
      <c r="X369" s="618"/>
      <c r="Y369" s="618"/>
      <c r="Z369" s="618"/>
      <c r="AA369" s="618"/>
      <c r="AB369" s="618"/>
      <c r="AC369" s="618"/>
      <c r="AD369" s="618"/>
      <c r="AE369" s="618"/>
      <c r="AF369" s="618"/>
      <c r="AG369" s="618"/>
      <c r="AH369" s="618"/>
      <c r="AI369" s="618"/>
      <c r="AJ369" s="618"/>
      <c r="AK369" s="618"/>
      <c r="AL369" s="618"/>
      <c r="AM369" s="618"/>
      <c r="AN369" s="618"/>
      <c r="AO369" s="618"/>
      <c r="AP369" s="618"/>
      <c r="AQ369" s="618"/>
      <c r="AR369" s="618"/>
      <c r="AS369" s="618"/>
      <c r="AT369" s="618"/>
      <c r="AU369" s="3"/>
      <c r="AV369" s="3"/>
      <c r="AW369" s="3"/>
      <c r="AX369" s="3"/>
      <c r="AY369" s="3"/>
      <c r="AZ369" s="3"/>
      <c r="BA369" s="3"/>
      <c r="BB369" s="3"/>
      <c r="BC369" s="3"/>
      <c r="BD369" s="3"/>
      <c r="BE369" s="3"/>
      <c r="BF369" s="3"/>
    </row>
    <row r="370" spans="1:58" ht="14.25" customHeight="1" x14ac:dyDescent="0.45">
      <c r="A370" s="618"/>
      <c r="B370" s="618"/>
      <c r="C370" s="618"/>
      <c r="D370" s="14" t="s">
        <v>163</v>
      </c>
      <c r="E370" s="6"/>
      <c r="F370" s="6"/>
      <c r="G370" s="6"/>
      <c r="H370" s="6"/>
      <c r="I370" s="618"/>
      <c r="J370" s="618"/>
      <c r="K370" s="618"/>
      <c r="L370" s="618"/>
      <c r="M370" s="618"/>
      <c r="N370" s="618"/>
      <c r="O370" s="618"/>
      <c r="P370" s="618"/>
      <c r="Q370" s="618"/>
      <c r="R370" s="618"/>
      <c r="S370" s="618"/>
      <c r="T370" s="618"/>
      <c r="U370" s="618"/>
      <c r="V370" s="618"/>
      <c r="W370" s="618"/>
      <c r="X370" s="618"/>
      <c r="Y370" s="618"/>
      <c r="Z370" s="618"/>
      <c r="AA370" s="618"/>
      <c r="AB370" s="618"/>
      <c r="AC370" s="618"/>
      <c r="AD370" s="618"/>
      <c r="AE370" s="618"/>
      <c r="AF370" s="618"/>
      <c r="AG370" s="618"/>
      <c r="AH370" s="618"/>
      <c r="AI370" s="618"/>
      <c r="AJ370" s="618"/>
      <c r="AK370" s="618"/>
      <c r="AL370" s="618"/>
      <c r="AM370" s="618"/>
      <c r="AN370" s="618"/>
      <c r="AO370" s="618"/>
      <c r="AP370" s="618"/>
      <c r="AQ370" s="618"/>
      <c r="AR370" s="618"/>
      <c r="AS370" s="618"/>
      <c r="AT370" s="618"/>
      <c r="AU370" s="3"/>
      <c r="AV370" s="3"/>
      <c r="AW370" s="3"/>
      <c r="AX370" s="3"/>
      <c r="AY370" s="3"/>
      <c r="AZ370" s="3"/>
      <c r="BA370" s="3"/>
      <c r="BB370" s="3"/>
      <c r="BC370" s="3"/>
      <c r="BD370" s="3"/>
      <c r="BE370" s="3"/>
      <c r="BF370" s="3"/>
    </row>
    <row r="371" spans="1:58" ht="14.25" customHeight="1" x14ac:dyDescent="0.45">
      <c r="A371" s="618"/>
      <c r="B371" s="618"/>
      <c r="C371" s="618"/>
      <c r="D371" s="3"/>
      <c r="E371" s="6"/>
      <c r="F371" s="6"/>
      <c r="G371" s="6"/>
      <c r="H371" s="6"/>
      <c r="I371" s="618"/>
      <c r="J371" s="618"/>
      <c r="K371" s="618"/>
      <c r="L371" s="618"/>
      <c r="M371" s="618"/>
      <c r="N371" s="618"/>
      <c r="O371" s="618"/>
      <c r="P371" s="618"/>
      <c r="Q371" s="618"/>
      <c r="R371" s="618"/>
      <c r="S371" s="618"/>
      <c r="T371" s="618"/>
      <c r="U371" s="618"/>
      <c r="V371" s="618"/>
      <c r="W371" s="618"/>
      <c r="X371" s="618"/>
      <c r="Y371" s="618"/>
      <c r="Z371" s="618"/>
      <c r="AA371" s="618"/>
      <c r="AB371" s="618"/>
      <c r="AC371" s="618"/>
      <c r="AD371" s="618"/>
      <c r="AE371" s="618"/>
      <c r="AF371" s="618"/>
      <c r="AG371" s="618"/>
      <c r="AH371" s="618"/>
      <c r="AI371" s="618"/>
      <c r="AJ371" s="618"/>
      <c r="AK371" s="618"/>
      <c r="AL371" s="618"/>
      <c r="AM371" s="618"/>
      <c r="AN371" s="618"/>
      <c r="AO371" s="618"/>
      <c r="AP371" s="618"/>
      <c r="AQ371" s="618"/>
      <c r="AR371" s="618"/>
      <c r="AS371" s="618"/>
      <c r="AT371" s="618"/>
      <c r="AU371" s="3"/>
      <c r="AV371" s="3"/>
      <c r="AW371" s="3"/>
      <c r="AX371" s="3"/>
      <c r="AY371" s="3"/>
      <c r="AZ371" s="3"/>
      <c r="BA371" s="3"/>
      <c r="BB371" s="3"/>
      <c r="BC371" s="3"/>
      <c r="BD371" s="3"/>
      <c r="BE371" s="3"/>
      <c r="BF371" s="3"/>
    </row>
    <row r="372" spans="1:58" ht="14.25" customHeight="1" x14ac:dyDescent="0.45">
      <c r="A372" s="618"/>
      <c r="B372" s="618"/>
      <c r="C372" s="618"/>
      <c r="D372" s="115" t="s">
        <v>49</v>
      </c>
      <c r="E372" s="132">
        <f t="shared" ref="E372:H379" si="64">(SUMIF($D$77:$D$113,$D372,E$77:E$113))</f>
        <v>79.272563679530975</v>
      </c>
      <c r="F372" s="132">
        <f t="shared" si="64"/>
        <v>75.8349657724754</v>
      </c>
      <c r="G372" s="132">
        <f t="shared" si="64"/>
        <v>57.060511174464814</v>
      </c>
      <c r="H372" s="132">
        <f t="shared" si="64"/>
        <v>73.140171928787993</v>
      </c>
      <c r="I372" s="618"/>
      <c r="J372" s="618"/>
      <c r="K372" s="618"/>
      <c r="L372" s="618"/>
      <c r="M372" s="618"/>
      <c r="N372" s="618"/>
      <c r="O372" s="618"/>
      <c r="P372" s="618"/>
      <c r="Q372" s="618"/>
      <c r="R372" s="618"/>
      <c r="S372" s="618"/>
      <c r="T372" s="618"/>
      <c r="U372" s="618"/>
      <c r="V372" s="618"/>
      <c r="W372" s="618"/>
      <c r="X372" s="618"/>
      <c r="Y372" s="618"/>
      <c r="Z372" s="618"/>
      <c r="AA372" s="618"/>
      <c r="AB372" s="618"/>
      <c r="AC372" s="618"/>
      <c r="AD372" s="618"/>
      <c r="AE372" s="618"/>
      <c r="AF372" s="618"/>
      <c r="AG372" s="618"/>
      <c r="AH372" s="618"/>
      <c r="AI372" s="618"/>
      <c r="AJ372" s="618"/>
      <c r="AK372" s="618"/>
      <c r="AL372" s="618"/>
      <c r="AM372" s="618"/>
      <c r="AN372" s="618"/>
      <c r="AO372" s="618"/>
      <c r="AP372" s="618"/>
      <c r="AQ372" s="618"/>
      <c r="AR372" s="618"/>
      <c r="AS372" s="618"/>
      <c r="AT372" s="618"/>
      <c r="AU372" s="3"/>
      <c r="AV372" s="3"/>
      <c r="AW372" s="3"/>
      <c r="AX372" s="3"/>
      <c r="AY372" s="3"/>
      <c r="AZ372" s="3"/>
      <c r="BA372" s="3"/>
      <c r="BB372" s="3"/>
      <c r="BC372" s="3"/>
      <c r="BD372" s="3"/>
      <c r="BE372" s="3"/>
      <c r="BF372" s="3"/>
    </row>
    <row r="373" spans="1:58" ht="14.25" customHeight="1" x14ac:dyDescent="0.45">
      <c r="A373" s="618"/>
      <c r="B373" s="618"/>
      <c r="C373" s="618"/>
      <c r="D373" s="115" t="s">
        <v>50</v>
      </c>
      <c r="E373" s="132">
        <f t="shared" si="64"/>
        <v>66.005414910849794</v>
      </c>
      <c r="F373" s="132">
        <f t="shared" si="64"/>
        <v>60.814874060120601</v>
      </c>
      <c r="G373" s="132">
        <f t="shared" si="64"/>
        <v>46.626136990087183</v>
      </c>
      <c r="H373" s="132">
        <f t="shared" si="64"/>
        <v>53.848056099570023</v>
      </c>
      <c r="I373" s="618"/>
      <c r="J373" s="618"/>
      <c r="K373" s="618"/>
      <c r="L373" s="618"/>
      <c r="M373" s="618"/>
      <c r="N373" s="618"/>
      <c r="O373" s="618"/>
      <c r="P373" s="618"/>
      <c r="Q373" s="618"/>
      <c r="R373" s="618"/>
      <c r="S373" s="618"/>
      <c r="T373" s="618"/>
      <c r="U373" s="618"/>
      <c r="V373" s="618"/>
      <c r="W373" s="618"/>
      <c r="X373" s="618"/>
      <c r="Y373" s="618"/>
      <c r="Z373" s="618"/>
      <c r="AA373" s="618"/>
      <c r="AB373" s="618"/>
      <c r="AC373" s="618"/>
      <c r="AD373" s="618"/>
      <c r="AE373" s="618"/>
      <c r="AF373" s="618"/>
      <c r="AG373" s="618"/>
      <c r="AH373" s="618"/>
      <c r="AI373" s="618"/>
      <c r="AJ373" s="618"/>
      <c r="AK373" s="618"/>
      <c r="AL373" s="618"/>
      <c r="AM373" s="618"/>
      <c r="AN373" s="618"/>
      <c r="AO373" s="618"/>
      <c r="AP373" s="618"/>
      <c r="AQ373" s="618"/>
      <c r="AR373" s="618"/>
      <c r="AS373" s="618"/>
      <c r="AT373" s="618"/>
      <c r="AU373" s="3"/>
      <c r="AV373" s="3"/>
      <c r="AW373" s="3"/>
      <c r="AX373" s="3"/>
      <c r="AY373" s="3"/>
      <c r="AZ373" s="3"/>
      <c r="BA373" s="3"/>
      <c r="BB373" s="3"/>
      <c r="BC373" s="3"/>
      <c r="BD373" s="3"/>
      <c r="BE373" s="3"/>
      <c r="BF373" s="3"/>
    </row>
    <row r="374" spans="1:58" ht="14.25" customHeight="1" x14ac:dyDescent="0.45">
      <c r="A374" s="618"/>
      <c r="B374" s="618"/>
      <c r="C374" s="618"/>
      <c r="D374" s="115" t="s">
        <v>51</v>
      </c>
      <c r="E374" s="132">
        <f t="shared" si="64"/>
        <v>6.5801184348046693</v>
      </c>
      <c r="F374" s="132">
        <f t="shared" si="64"/>
        <v>3.9845341993146874</v>
      </c>
      <c r="G374" s="132">
        <f t="shared" si="64"/>
        <v>4.5242780346456852</v>
      </c>
      <c r="H374" s="132">
        <f t="shared" si="64"/>
        <v>4.6319722620556636</v>
      </c>
      <c r="I374" s="618"/>
      <c r="J374" s="618"/>
      <c r="K374" s="618"/>
      <c r="L374" s="618"/>
      <c r="M374" s="618"/>
      <c r="N374" s="618"/>
      <c r="O374" s="618"/>
      <c r="P374" s="618"/>
      <c r="Q374" s="618"/>
      <c r="R374" s="618"/>
      <c r="S374" s="618"/>
      <c r="T374" s="618"/>
      <c r="U374" s="618"/>
      <c r="V374" s="618"/>
      <c r="W374" s="618"/>
      <c r="X374" s="618"/>
      <c r="Y374" s="618"/>
      <c r="Z374" s="618"/>
      <c r="AA374" s="618"/>
      <c r="AB374" s="618"/>
      <c r="AC374" s="618"/>
      <c r="AD374" s="618"/>
      <c r="AE374" s="618"/>
      <c r="AF374" s="618"/>
      <c r="AG374" s="618"/>
      <c r="AH374" s="618"/>
      <c r="AI374" s="618"/>
      <c r="AJ374" s="618"/>
      <c r="AK374" s="618"/>
      <c r="AL374" s="618"/>
      <c r="AM374" s="618"/>
      <c r="AN374" s="618"/>
      <c r="AO374" s="618"/>
      <c r="AP374" s="618"/>
      <c r="AQ374" s="618"/>
      <c r="AR374" s="618"/>
      <c r="AS374" s="618"/>
      <c r="AT374" s="618"/>
      <c r="AU374" s="3"/>
      <c r="AV374" s="3"/>
      <c r="AW374" s="3"/>
      <c r="AX374" s="3"/>
      <c r="AY374" s="3"/>
      <c r="AZ374" s="3"/>
      <c r="BA374" s="3"/>
      <c r="BB374" s="3"/>
      <c r="BC374" s="3"/>
      <c r="BD374" s="3"/>
      <c r="BE374" s="3"/>
      <c r="BF374" s="3"/>
    </row>
    <row r="375" spans="1:58" ht="14.25" customHeight="1" x14ac:dyDescent="0.45">
      <c r="A375" s="618"/>
      <c r="B375" s="618"/>
      <c r="C375" s="618"/>
      <c r="D375" s="210" t="s">
        <v>52</v>
      </c>
      <c r="E375" s="132">
        <f t="shared" si="64"/>
        <v>137.72885353741711</v>
      </c>
      <c r="F375" s="132">
        <f t="shared" si="64"/>
        <v>106.79038564203195</v>
      </c>
      <c r="G375" s="132">
        <f t="shared" si="64"/>
        <v>100.53881616461788</v>
      </c>
      <c r="H375" s="132">
        <f t="shared" si="64"/>
        <v>130.34795044207465</v>
      </c>
      <c r="I375" s="618"/>
      <c r="J375" s="618"/>
      <c r="K375" s="618"/>
      <c r="L375" s="618"/>
      <c r="M375" s="618"/>
      <c r="N375" s="618"/>
      <c r="O375" s="618"/>
      <c r="P375" s="618"/>
      <c r="Q375" s="618"/>
      <c r="R375" s="618"/>
      <c r="S375" s="618"/>
      <c r="T375" s="618"/>
      <c r="U375" s="618"/>
      <c r="V375" s="618"/>
      <c r="W375" s="618"/>
      <c r="X375" s="618"/>
      <c r="Y375" s="618"/>
      <c r="Z375" s="618"/>
      <c r="AA375" s="618"/>
      <c r="AB375" s="618"/>
      <c r="AC375" s="618"/>
      <c r="AD375" s="618"/>
      <c r="AE375" s="618"/>
      <c r="AF375" s="618"/>
      <c r="AG375" s="618"/>
      <c r="AH375" s="618"/>
      <c r="AI375" s="618"/>
      <c r="AJ375" s="618"/>
      <c r="AK375" s="618"/>
      <c r="AL375" s="618"/>
      <c r="AM375" s="618"/>
      <c r="AN375" s="618"/>
      <c r="AO375" s="618"/>
      <c r="AP375" s="618"/>
      <c r="AQ375" s="618"/>
      <c r="AR375" s="618"/>
      <c r="AS375" s="618"/>
      <c r="AT375" s="618"/>
      <c r="AU375" s="3"/>
      <c r="AV375" s="3"/>
      <c r="AW375" s="3"/>
      <c r="AX375" s="3"/>
      <c r="AY375" s="3"/>
      <c r="AZ375" s="3"/>
      <c r="BA375" s="3"/>
      <c r="BB375" s="3"/>
      <c r="BC375" s="3"/>
      <c r="BD375" s="3"/>
      <c r="BE375" s="3"/>
      <c r="BF375" s="3"/>
    </row>
    <row r="376" spans="1:58" ht="14.25" customHeight="1" x14ac:dyDescent="0.45">
      <c r="A376" s="618"/>
      <c r="B376" s="618"/>
      <c r="C376" s="618"/>
      <c r="D376" s="210" t="s">
        <v>53</v>
      </c>
      <c r="E376" s="132">
        <f t="shared" si="64"/>
        <v>16.504218620499689</v>
      </c>
      <c r="F376" s="132">
        <f t="shared" si="64"/>
        <v>16.281091195584644</v>
      </c>
      <c r="G376" s="132">
        <f t="shared" si="64"/>
        <v>8.6843432633266708</v>
      </c>
      <c r="H376" s="132">
        <f t="shared" si="64"/>
        <v>12.509387559865688</v>
      </c>
      <c r="I376" s="618"/>
      <c r="J376" s="618"/>
      <c r="K376" s="618"/>
      <c r="L376" s="618"/>
      <c r="M376" s="618"/>
      <c r="N376" s="618"/>
      <c r="O376" s="618"/>
      <c r="P376" s="618"/>
      <c r="Q376" s="618"/>
      <c r="R376" s="618"/>
      <c r="S376" s="618"/>
      <c r="T376" s="618"/>
      <c r="U376" s="618"/>
      <c r="V376" s="618"/>
      <c r="W376" s="618"/>
      <c r="X376" s="618"/>
      <c r="Y376" s="618"/>
      <c r="Z376" s="618"/>
      <c r="AA376" s="618"/>
      <c r="AB376" s="618"/>
      <c r="AC376" s="618"/>
      <c r="AD376" s="618"/>
      <c r="AE376" s="618"/>
      <c r="AF376" s="618"/>
      <c r="AG376" s="618"/>
      <c r="AH376" s="618"/>
      <c r="AI376" s="618"/>
      <c r="AJ376" s="618"/>
      <c r="AK376" s="618"/>
      <c r="AL376" s="618"/>
      <c r="AM376" s="618"/>
      <c r="AN376" s="618"/>
      <c r="AO376" s="618"/>
      <c r="AP376" s="618"/>
      <c r="AQ376" s="618"/>
      <c r="AR376" s="618"/>
      <c r="AS376" s="618"/>
      <c r="AT376" s="618"/>
      <c r="AU376" s="3"/>
      <c r="AV376" s="3"/>
      <c r="AW376" s="3"/>
      <c r="AX376" s="3"/>
      <c r="AY376" s="3"/>
      <c r="AZ376" s="3"/>
      <c r="BA376" s="3"/>
      <c r="BB376" s="3"/>
      <c r="BC376" s="3"/>
      <c r="BD376" s="3"/>
      <c r="BE376" s="3"/>
      <c r="BF376" s="3"/>
    </row>
    <row r="377" spans="1:58" ht="14.25" customHeight="1" x14ac:dyDescent="0.45">
      <c r="A377" s="618"/>
      <c r="B377" s="618"/>
      <c r="C377" s="618"/>
      <c r="D377" s="115" t="s">
        <v>159</v>
      </c>
      <c r="E377" s="132">
        <f t="shared" si="64"/>
        <v>34.985964983868357</v>
      </c>
      <c r="F377" s="132">
        <f t="shared" si="64"/>
        <v>34.004686352131202</v>
      </c>
      <c r="G377" s="132">
        <f t="shared" si="64"/>
        <v>31.234861003955356</v>
      </c>
      <c r="H377" s="132">
        <f t="shared" si="64"/>
        <v>34.202062720330133</v>
      </c>
      <c r="I377" s="618"/>
      <c r="J377" s="618"/>
      <c r="K377" s="618"/>
      <c r="L377" s="618"/>
      <c r="M377" s="618"/>
      <c r="N377" s="618"/>
      <c r="O377" s="618"/>
      <c r="P377" s="618"/>
      <c r="Q377" s="618"/>
      <c r="R377" s="618"/>
      <c r="S377" s="618"/>
      <c r="T377" s="618"/>
      <c r="U377" s="618"/>
      <c r="V377" s="618"/>
      <c r="W377" s="618"/>
      <c r="X377" s="618"/>
      <c r="Y377" s="618"/>
      <c r="Z377" s="618"/>
      <c r="AA377" s="618"/>
      <c r="AB377" s="618"/>
      <c r="AC377" s="618"/>
      <c r="AD377" s="618"/>
      <c r="AE377" s="618"/>
      <c r="AF377" s="618"/>
      <c r="AG377" s="618"/>
      <c r="AH377" s="618"/>
      <c r="AI377" s="618"/>
      <c r="AJ377" s="618"/>
      <c r="AK377" s="618"/>
      <c r="AL377" s="618"/>
      <c r="AM377" s="618"/>
      <c r="AN377" s="618"/>
      <c r="AO377" s="618"/>
      <c r="AP377" s="618"/>
      <c r="AQ377" s="618"/>
      <c r="AR377" s="618"/>
      <c r="AS377" s="618"/>
      <c r="AT377" s="618"/>
      <c r="AU377" s="3"/>
      <c r="AV377" s="3"/>
      <c r="AW377" s="3"/>
      <c r="AX377" s="3"/>
      <c r="AY377" s="3"/>
      <c r="AZ377" s="3"/>
      <c r="BA377" s="3"/>
      <c r="BB377" s="3"/>
      <c r="BC377" s="3"/>
      <c r="BD377" s="3"/>
      <c r="BE377" s="3"/>
      <c r="BF377" s="3"/>
    </row>
    <row r="378" spans="1:58" ht="14.25" customHeight="1" x14ac:dyDescent="0.45">
      <c r="A378" s="618"/>
      <c r="B378" s="618"/>
      <c r="C378" s="618"/>
      <c r="D378" s="153" t="s">
        <v>64</v>
      </c>
      <c r="E378" s="132">
        <f t="shared" si="64"/>
        <v>2.3975163393411956</v>
      </c>
      <c r="F378" s="132">
        <f t="shared" si="64"/>
        <v>2.3078785080653246</v>
      </c>
      <c r="G378" s="132">
        <f t="shared" si="64"/>
        <v>1.8506439542481605</v>
      </c>
      <c r="H378" s="132">
        <f t="shared" si="64"/>
        <v>2.0461266480192344</v>
      </c>
      <c r="I378" s="618"/>
      <c r="J378" s="618"/>
      <c r="K378" s="618"/>
      <c r="L378" s="618"/>
      <c r="M378" s="618"/>
      <c r="N378" s="618"/>
      <c r="O378" s="618"/>
      <c r="P378" s="618"/>
      <c r="Q378" s="618"/>
      <c r="R378" s="618"/>
      <c r="S378" s="618"/>
      <c r="T378" s="618"/>
      <c r="U378" s="618"/>
      <c r="V378" s="618"/>
      <c r="W378" s="618"/>
      <c r="X378" s="618"/>
      <c r="Y378" s="618"/>
      <c r="Z378" s="618"/>
      <c r="AA378" s="618"/>
      <c r="AB378" s="618"/>
      <c r="AC378" s="618"/>
      <c r="AD378" s="618"/>
      <c r="AE378" s="618"/>
      <c r="AF378" s="618"/>
      <c r="AG378" s="618"/>
      <c r="AH378" s="618"/>
      <c r="AI378" s="618"/>
      <c r="AJ378" s="618"/>
      <c r="AK378" s="618"/>
      <c r="AL378" s="618"/>
      <c r="AM378" s="618"/>
      <c r="AN378" s="618"/>
      <c r="AO378" s="618"/>
      <c r="AP378" s="618"/>
      <c r="AQ378" s="618"/>
      <c r="AR378" s="618"/>
      <c r="AS378" s="618"/>
      <c r="AT378" s="618"/>
      <c r="AU378" s="3"/>
      <c r="AV378" s="3"/>
      <c r="AW378" s="3"/>
      <c r="AX378" s="3"/>
      <c r="AY378" s="3"/>
      <c r="AZ378" s="3"/>
      <c r="BA378" s="3"/>
      <c r="BB378" s="3"/>
      <c r="BC378" s="3"/>
      <c r="BD378" s="3"/>
      <c r="BE378" s="3"/>
      <c r="BF378" s="3"/>
    </row>
    <row r="379" spans="1:58" ht="14.25" customHeight="1" x14ac:dyDescent="0.45">
      <c r="A379" s="618"/>
      <c r="B379" s="618"/>
      <c r="C379" s="618"/>
      <c r="D379" s="153" t="s">
        <v>65</v>
      </c>
      <c r="E379" s="132">
        <f t="shared" si="64"/>
        <v>8.9615295309251284</v>
      </c>
      <c r="F379" s="132">
        <f t="shared" si="64"/>
        <v>8.5747966274740275</v>
      </c>
      <c r="G379" s="132">
        <f t="shared" si="64"/>
        <v>6.6232396057617136</v>
      </c>
      <c r="H379" s="132">
        <f t="shared" si="64"/>
        <v>7.9697507228067321</v>
      </c>
      <c r="I379" s="618"/>
      <c r="J379" s="618"/>
      <c r="K379" s="618"/>
      <c r="L379" s="618"/>
      <c r="M379" s="618"/>
      <c r="N379" s="618"/>
      <c r="O379" s="618"/>
      <c r="P379" s="618"/>
      <c r="Q379" s="618"/>
      <c r="R379" s="618"/>
      <c r="S379" s="618"/>
      <c r="T379" s="618"/>
      <c r="U379" s="618"/>
      <c r="V379" s="618"/>
      <c r="W379" s="618"/>
      <c r="X379" s="618"/>
      <c r="Y379" s="618"/>
      <c r="Z379" s="618"/>
      <c r="AA379" s="618"/>
      <c r="AB379" s="618"/>
      <c r="AC379" s="618"/>
      <c r="AD379" s="618"/>
      <c r="AE379" s="618"/>
      <c r="AF379" s="618"/>
      <c r="AG379" s="618"/>
      <c r="AH379" s="618"/>
      <c r="AI379" s="618"/>
      <c r="AJ379" s="618"/>
      <c r="AK379" s="618"/>
      <c r="AL379" s="618"/>
      <c r="AM379" s="618"/>
      <c r="AN379" s="618"/>
      <c r="AO379" s="618"/>
      <c r="AP379" s="618"/>
      <c r="AQ379" s="618"/>
      <c r="AR379" s="618"/>
      <c r="AS379" s="618"/>
      <c r="AT379" s="618"/>
    </row>
    <row r="380" spans="1:58" ht="14.25" customHeight="1" x14ac:dyDescent="0.45">
      <c r="A380" s="618"/>
      <c r="B380" s="618"/>
      <c r="C380" s="618"/>
      <c r="D380" s="115" t="s">
        <v>59</v>
      </c>
      <c r="E380" s="116">
        <f>SUM(E372:E379)</f>
        <v>352.43618003723691</v>
      </c>
      <c r="F380" s="116">
        <f>SUM(F372:F379)</f>
        <v>308.59321235719779</v>
      </c>
      <c r="G380" s="116">
        <f>SUM(G372:G379)</f>
        <v>257.14283019110752</v>
      </c>
      <c r="H380" s="116">
        <f>SUM(H372:H379)</f>
        <v>318.69547838351008</v>
      </c>
      <c r="I380" s="618"/>
      <c r="J380" s="618"/>
      <c r="K380" s="618"/>
      <c r="L380" s="618"/>
      <c r="M380" s="618"/>
      <c r="N380" s="618"/>
      <c r="O380" s="618"/>
      <c r="P380" s="618"/>
      <c r="Q380" s="618"/>
      <c r="R380" s="618"/>
      <c r="S380" s="618"/>
      <c r="T380" s="618"/>
      <c r="U380" s="618"/>
      <c r="V380" s="618"/>
      <c r="W380" s="618"/>
      <c r="X380" s="618"/>
      <c r="Y380" s="618"/>
      <c r="Z380" s="618"/>
      <c r="AA380" s="618"/>
      <c r="AB380" s="618"/>
      <c r="AC380" s="618"/>
      <c r="AD380" s="618"/>
      <c r="AE380" s="618"/>
      <c r="AF380" s="618"/>
      <c r="AG380" s="618"/>
      <c r="AH380" s="618"/>
      <c r="AI380" s="618"/>
      <c r="AJ380" s="618"/>
      <c r="AK380" s="618"/>
      <c r="AL380" s="618"/>
      <c r="AM380" s="618"/>
      <c r="AN380" s="618"/>
      <c r="AO380" s="618"/>
      <c r="AP380" s="618"/>
      <c r="AQ380" s="618"/>
      <c r="AR380" s="618"/>
      <c r="AS380" s="618"/>
      <c r="AT380" s="618"/>
    </row>
    <row r="381" spans="1:58" ht="14.25" customHeight="1" x14ac:dyDescent="0.45">
      <c r="A381" s="618"/>
      <c r="B381" s="618"/>
      <c r="C381" s="618"/>
      <c r="D381" s="5"/>
      <c r="E381" s="6"/>
      <c r="F381" s="6"/>
      <c r="G381" s="6"/>
      <c r="H381" s="6"/>
      <c r="I381" s="618"/>
      <c r="J381" s="618"/>
      <c r="K381" s="618"/>
      <c r="L381" s="618"/>
      <c r="M381" s="618"/>
      <c r="N381" s="618"/>
      <c r="O381" s="618"/>
      <c r="P381" s="618"/>
      <c r="Q381" s="618"/>
      <c r="R381" s="618"/>
      <c r="S381" s="618"/>
      <c r="T381" s="618"/>
      <c r="U381" s="618"/>
      <c r="V381" s="618"/>
      <c r="W381" s="618"/>
      <c r="X381" s="618"/>
      <c r="Y381" s="618"/>
      <c r="Z381" s="618"/>
      <c r="AA381" s="618"/>
      <c r="AB381" s="618"/>
      <c r="AC381" s="618"/>
      <c r="AD381" s="618"/>
      <c r="AE381" s="618"/>
      <c r="AF381" s="618"/>
      <c r="AG381" s="618"/>
      <c r="AH381" s="618"/>
      <c r="AI381" s="618"/>
      <c r="AJ381" s="618"/>
      <c r="AK381" s="618"/>
      <c r="AL381" s="618"/>
      <c r="AM381" s="618"/>
      <c r="AN381" s="618"/>
      <c r="AO381" s="618"/>
      <c r="AP381" s="618"/>
      <c r="AQ381" s="618"/>
      <c r="AR381" s="618"/>
      <c r="AS381" s="618"/>
      <c r="AT381" s="618"/>
    </row>
    <row r="382" spans="1:58" ht="14.25" customHeight="1" x14ac:dyDescent="0.45">
      <c r="A382" s="618"/>
      <c r="B382" s="618"/>
      <c r="C382" s="618"/>
      <c r="D382" s="5"/>
      <c r="E382" s="5"/>
      <c r="F382" s="5"/>
      <c r="G382" s="5"/>
      <c r="H382" s="5"/>
      <c r="I382" s="5"/>
      <c r="J382" s="618"/>
      <c r="K382" s="618"/>
      <c r="L382" s="618"/>
      <c r="M382" s="618"/>
      <c r="N382" s="618"/>
      <c r="O382" s="618"/>
      <c r="P382" s="618"/>
      <c r="Q382" s="618"/>
      <c r="R382" s="618"/>
      <c r="S382" s="618"/>
      <c r="T382" s="618"/>
      <c r="U382" s="618"/>
      <c r="V382" s="618"/>
      <c r="W382" s="618"/>
      <c r="X382" s="618"/>
      <c r="Y382" s="618"/>
      <c r="Z382" s="618"/>
      <c r="AA382" s="618"/>
      <c r="AB382" s="618"/>
      <c r="AC382" s="618"/>
      <c r="AD382" s="618"/>
      <c r="AE382" s="618"/>
      <c r="AF382" s="618"/>
      <c r="AG382" s="618"/>
      <c r="AH382" s="618"/>
      <c r="AI382" s="618"/>
      <c r="AJ382" s="618"/>
      <c r="AK382" s="618"/>
      <c r="AL382" s="618"/>
      <c r="AM382" s="618"/>
      <c r="AN382" s="618"/>
      <c r="AO382" s="618"/>
      <c r="AP382" s="618"/>
      <c r="AQ382" s="618"/>
      <c r="AR382" s="618"/>
      <c r="AS382" s="618"/>
      <c r="AT382" s="618"/>
    </row>
    <row r="383" spans="1:58" ht="14.25" customHeight="1" x14ac:dyDescent="0.45">
      <c r="A383" s="618"/>
      <c r="B383" s="618"/>
      <c r="C383" s="618"/>
      <c r="D383" s="5"/>
      <c r="E383" s="6"/>
      <c r="F383" s="6"/>
      <c r="G383" s="6"/>
      <c r="H383" s="6"/>
      <c r="I383" s="618"/>
      <c r="J383" s="618"/>
      <c r="K383" s="618"/>
      <c r="L383" s="618"/>
      <c r="M383" s="618"/>
      <c r="N383" s="618"/>
      <c r="O383" s="618"/>
      <c r="P383" s="618"/>
      <c r="Q383" s="618"/>
      <c r="R383" s="618"/>
      <c r="S383" s="618"/>
      <c r="T383" s="618"/>
      <c r="U383" s="618"/>
      <c r="V383" s="618"/>
      <c r="W383" s="618"/>
      <c r="X383" s="618"/>
      <c r="Y383" s="618"/>
      <c r="Z383" s="618"/>
      <c r="AA383" s="618"/>
      <c r="AB383" s="618"/>
      <c r="AC383" s="618"/>
      <c r="AD383" s="618"/>
      <c r="AE383" s="618"/>
      <c r="AF383" s="618"/>
      <c r="AG383" s="618"/>
      <c r="AH383" s="618"/>
      <c r="AI383" s="618"/>
      <c r="AJ383" s="618"/>
      <c r="AK383" s="618"/>
      <c r="AL383" s="618"/>
      <c r="AM383" s="618"/>
      <c r="AN383" s="618"/>
      <c r="AO383" s="618"/>
      <c r="AP383" s="618"/>
      <c r="AQ383" s="618"/>
      <c r="AR383" s="618"/>
      <c r="AS383" s="618"/>
      <c r="AT383" s="618"/>
    </row>
    <row r="384" spans="1:58" ht="14.25" customHeight="1" x14ac:dyDescent="0.45">
      <c r="A384" s="618"/>
      <c r="B384" s="618"/>
      <c r="C384" s="618"/>
      <c r="D384" s="5"/>
      <c r="E384" s="6"/>
      <c r="F384" s="6"/>
      <c r="G384" s="6"/>
      <c r="H384" s="6"/>
      <c r="I384" s="618"/>
      <c r="J384" s="618"/>
      <c r="K384" s="618"/>
      <c r="L384" s="618"/>
      <c r="M384" s="618"/>
      <c r="N384" s="618"/>
      <c r="O384" s="618"/>
      <c r="P384" s="618"/>
      <c r="Q384" s="618"/>
      <c r="R384" s="618"/>
      <c r="S384" s="618"/>
      <c r="T384" s="618"/>
      <c r="U384" s="618"/>
      <c r="V384" s="618"/>
      <c r="W384" s="618"/>
      <c r="X384" s="618"/>
      <c r="Y384" s="618"/>
      <c r="Z384" s="618"/>
      <c r="AA384" s="618"/>
      <c r="AB384" s="618"/>
      <c r="AC384" s="618"/>
      <c r="AD384" s="618"/>
      <c r="AE384" s="618"/>
      <c r="AF384" s="618"/>
      <c r="AG384" s="618"/>
      <c r="AH384" s="618"/>
      <c r="AI384" s="618"/>
      <c r="AJ384" s="618"/>
      <c r="AK384" s="618"/>
      <c r="AL384" s="618"/>
      <c r="AM384" s="618"/>
      <c r="AN384" s="618"/>
      <c r="AO384" s="618"/>
      <c r="AP384" s="618"/>
      <c r="AQ384" s="618"/>
      <c r="AR384" s="618"/>
      <c r="AS384" s="618"/>
      <c r="AT384" s="618"/>
    </row>
    <row r="385" spans="1:46" ht="14.25" customHeight="1" x14ac:dyDescent="0.45">
      <c r="A385" s="618"/>
      <c r="B385" s="618"/>
      <c r="C385" s="618"/>
      <c r="D385" s="5"/>
      <c r="E385" s="6"/>
      <c r="F385" s="6"/>
      <c r="G385" s="6"/>
      <c r="H385" s="6"/>
      <c r="J385" s="618"/>
      <c r="K385" s="618"/>
      <c r="L385" s="618"/>
      <c r="M385" s="618"/>
      <c r="N385" s="618"/>
      <c r="O385" s="618"/>
      <c r="P385" s="618"/>
      <c r="Q385" s="618"/>
      <c r="R385" s="618"/>
      <c r="S385" s="618"/>
      <c r="T385" s="618"/>
      <c r="U385" s="618"/>
      <c r="V385" s="618"/>
      <c r="W385" s="618"/>
      <c r="X385" s="618"/>
      <c r="Y385" s="618"/>
      <c r="Z385" s="618"/>
      <c r="AA385" s="618"/>
      <c r="AB385" s="618"/>
      <c r="AC385" s="618"/>
      <c r="AD385" s="618"/>
      <c r="AE385" s="618"/>
      <c r="AF385" s="618"/>
      <c r="AG385" s="618"/>
      <c r="AH385" s="618"/>
      <c r="AI385" s="618"/>
      <c r="AJ385" s="618"/>
      <c r="AK385" s="618"/>
      <c r="AL385" s="618"/>
      <c r="AM385" s="618"/>
      <c r="AN385" s="618"/>
      <c r="AO385" s="618"/>
      <c r="AP385" s="618"/>
      <c r="AQ385" s="618"/>
      <c r="AR385" s="618"/>
      <c r="AS385" s="618"/>
      <c r="AT385" s="618"/>
    </row>
    <row r="386" spans="1:46" ht="14.25" customHeight="1" x14ac:dyDescent="0.45">
      <c r="A386" s="618"/>
      <c r="B386" s="618"/>
      <c r="C386" s="618"/>
      <c r="D386" s="5"/>
      <c r="E386" s="6"/>
      <c r="F386" s="6"/>
      <c r="G386" s="6"/>
      <c r="H386" s="6"/>
      <c r="J386" s="618"/>
      <c r="K386" s="618"/>
      <c r="L386" s="618"/>
      <c r="M386" s="618"/>
      <c r="N386" s="618"/>
      <c r="O386" s="618"/>
      <c r="P386" s="618"/>
      <c r="Q386" s="618"/>
      <c r="R386" s="618"/>
      <c r="S386" s="618"/>
      <c r="T386" s="618"/>
      <c r="U386" s="618"/>
      <c r="V386" s="618"/>
      <c r="W386" s="618"/>
      <c r="X386" s="618"/>
      <c r="Y386" s="618"/>
      <c r="Z386" s="618"/>
      <c r="AA386" s="618"/>
      <c r="AB386" s="618"/>
      <c r="AC386" s="618"/>
      <c r="AD386" s="618"/>
      <c r="AE386" s="618"/>
      <c r="AF386" s="618"/>
      <c r="AG386" s="618"/>
      <c r="AH386" s="618"/>
      <c r="AI386" s="618"/>
      <c r="AJ386" s="618"/>
      <c r="AK386" s="618"/>
      <c r="AL386" s="618"/>
      <c r="AM386" s="618"/>
      <c r="AN386" s="618"/>
      <c r="AO386" s="618"/>
      <c r="AP386" s="618"/>
      <c r="AQ386" s="618"/>
      <c r="AR386" s="618"/>
      <c r="AS386" s="618"/>
      <c r="AT386" s="618"/>
    </row>
    <row r="387" spans="1:46" ht="14.25" customHeight="1" x14ac:dyDescent="0.45">
      <c r="A387" s="618"/>
      <c r="B387" s="618"/>
      <c r="C387" s="618"/>
      <c r="D387" s="5"/>
      <c r="E387" s="6"/>
      <c r="F387" s="6"/>
      <c r="G387" s="6"/>
      <c r="H387" s="6"/>
      <c r="J387" s="618"/>
      <c r="K387" s="618"/>
      <c r="L387" s="618"/>
      <c r="M387" s="618"/>
      <c r="N387" s="618"/>
      <c r="O387" s="618"/>
      <c r="P387" s="618"/>
      <c r="Q387" s="618"/>
      <c r="R387" s="618"/>
      <c r="S387" s="618"/>
      <c r="T387" s="618"/>
      <c r="U387" s="618"/>
      <c r="V387" s="618"/>
      <c r="W387" s="618"/>
      <c r="X387" s="618"/>
      <c r="Y387" s="618"/>
      <c r="Z387" s="618"/>
      <c r="AA387" s="618"/>
      <c r="AB387" s="618"/>
      <c r="AC387" s="618"/>
      <c r="AD387" s="618"/>
      <c r="AE387" s="618"/>
      <c r="AF387" s="618"/>
      <c r="AG387" s="618"/>
      <c r="AH387" s="618"/>
      <c r="AI387" s="618"/>
      <c r="AJ387" s="618"/>
      <c r="AK387" s="618"/>
      <c r="AL387" s="618"/>
      <c r="AM387" s="618"/>
      <c r="AN387" s="618"/>
      <c r="AO387" s="618"/>
      <c r="AP387" s="618"/>
      <c r="AQ387" s="618"/>
      <c r="AR387" s="618"/>
      <c r="AS387" s="618"/>
      <c r="AT387" s="618"/>
    </row>
    <row r="388" spans="1:46" ht="14.25" customHeight="1" x14ac:dyDescent="0.45">
      <c r="A388" s="618"/>
      <c r="B388" s="618"/>
      <c r="C388" s="618"/>
      <c r="D388" s="5"/>
      <c r="E388" s="6"/>
      <c r="F388" s="6"/>
      <c r="G388" s="6"/>
      <c r="H388" s="6"/>
      <c r="J388" s="618"/>
      <c r="K388" s="618"/>
      <c r="L388" s="618"/>
      <c r="M388" s="618"/>
      <c r="N388" s="618"/>
      <c r="O388" s="618"/>
      <c r="P388" s="618"/>
      <c r="Q388" s="618"/>
      <c r="R388" s="618"/>
      <c r="S388" s="618"/>
      <c r="T388" s="618"/>
      <c r="U388" s="618"/>
      <c r="V388" s="618"/>
      <c r="W388" s="618"/>
      <c r="X388" s="618"/>
      <c r="Y388" s="618"/>
      <c r="Z388" s="618"/>
      <c r="AA388" s="618"/>
      <c r="AB388" s="618"/>
      <c r="AC388" s="618"/>
      <c r="AD388" s="618"/>
      <c r="AE388" s="618"/>
      <c r="AF388" s="618"/>
      <c r="AG388" s="618"/>
      <c r="AH388" s="618"/>
      <c r="AI388" s="618"/>
      <c r="AJ388" s="618"/>
      <c r="AK388" s="618"/>
      <c r="AL388" s="618"/>
      <c r="AM388" s="618"/>
      <c r="AN388" s="618"/>
      <c r="AO388" s="618"/>
      <c r="AP388" s="618"/>
      <c r="AQ388" s="618"/>
      <c r="AR388" s="618"/>
      <c r="AS388" s="618"/>
      <c r="AT388" s="618"/>
    </row>
    <row r="389" spans="1:46" ht="14.25" customHeight="1" x14ac:dyDescent="0.45">
      <c r="A389" s="618"/>
      <c r="B389" s="618"/>
      <c r="C389" s="618"/>
      <c r="D389" s="5"/>
      <c r="E389" s="6"/>
      <c r="F389" s="6"/>
      <c r="G389" s="6"/>
      <c r="H389" s="6"/>
      <c r="J389" s="618"/>
      <c r="K389" s="618"/>
      <c r="L389" s="618"/>
      <c r="M389" s="618"/>
      <c r="N389" s="618"/>
      <c r="O389" s="618"/>
      <c r="P389" s="618"/>
      <c r="Q389" s="618"/>
      <c r="R389" s="618"/>
      <c r="S389" s="618"/>
      <c r="T389" s="618"/>
      <c r="U389" s="618"/>
      <c r="V389" s="618"/>
      <c r="W389" s="618"/>
      <c r="X389" s="618"/>
      <c r="Y389" s="618"/>
      <c r="Z389" s="618"/>
      <c r="AA389" s="618"/>
      <c r="AB389" s="618"/>
      <c r="AC389" s="618"/>
      <c r="AD389" s="618"/>
      <c r="AE389" s="618"/>
      <c r="AF389" s="618"/>
      <c r="AG389" s="618"/>
      <c r="AH389" s="618"/>
      <c r="AI389" s="618"/>
      <c r="AJ389" s="618"/>
      <c r="AK389" s="618"/>
      <c r="AL389" s="618"/>
      <c r="AM389" s="618"/>
      <c r="AN389" s="618"/>
      <c r="AO389" s="618"/>
      <c r="AP389" s="618"/>
      <c r="AQ389" s="618"/>
      <c r="AR389" s="618"/>
      <c r="AS389" s="618"/>
      <c r="AT389" s="618"/>
    </row>
    <row r="390" spans="1:46" ht="14.25" customHeight="1" x14ac:dyDescent="0.45">
      <c r="A390" s="618"/>
      <c r="B390" s="618"/>
      <c r="C390" s="618"/>
      <c r="D390" s="5"/>
      <c r="E390" s="6"/>
      <c r="F390" s="6"/>
      <c r="G390" s="6"/>
      <c r="H390" s="6"/>
      <c r="J390" s="618"/>
      <c r="K390" s="618"/>
      <c r="L390" s="618"/>
      <c r="M390" s="618"/>
      <c r="N390" s="618"/>
      <c r="O390" s="618"/>
      <c r="P390" s="618"/>
      <c r="Q390" s="618"/>
      <c r="R390" s="618"/>
      <c r="S390" s="618"/>
      <c r="T390" s="618"/>
      <c r="U390" s="618"/>
      <c r="V390" s="618"/>
      <c r="W390" s="618"/>
      <c r="X390" s="618"/>
      <c r="Y390" s="618"/>
      <c r="Z390" s="618"/>
      <c r="AA390" s="618"/>
      <c r="AB390" s="618"/>
      <c r="AC390" s="618"/>
      <c r="AD390" s="618"/>
      <c r="AE390" s="618"/>
      <c r="AF390" s="618"/>
      <c r="AG390" s="618"/>
      <c r="AH390" s="618"/>
      <c r="AI390" s="618"/>
      <c r="AJ390" s="618"/>
      <c r="AK390" s="618"/>
      <c r="AL390" s="618"/>
      <c r="AM390" s="618"/>
      <c r="AN390" s="618"/>
      <c r="AO390" s="618"/>
      <c r="AP390" s="618"/>
      <c r="AQ390" s="618"/>
      <c r="AR390" s="618"/>
      <c r="AS390" s="618"/>
      <c r="AT390" s="618"/>
    </row>
    <row r="391" spans="1:46" ht="14.25" customHeight="1" x14ac:dyDescent="0.45">
      <c r="A391" s="618"/>
      <c r="B391" s="618"/>
      <c r="C391" s="618"/>
      <c r="D391" s="5"/>
      <c r="E391" s="6"/>
      <c r="F391" s="6"/>
      <c r="G391" s="6"/>
      <c r="H391" s="6"/>
      <c r="J391" s="618"/>
      <c r="K391" s="618"/>
      <c r="L391" s="618"/>
      <c r="M391" s="618"/>
      <c r="N391" s="618"/>
      <c r="O391" s="618"/>
      <c r="P391" s="618"/>
      <c r="Q391" s="618"/>
      <c r="R391" s="618"/>
      <c r="S391" s="618"/>
      <c r="T391" s="618"/>
      <c r="U391" s="618"/>
      <c r="V391" s="618"/>
      <c r="W391" s="618"/>
      <c r="X391" s="618"/>
      <c r="Y391" s="618"/>
      <c r="Z391" s="618"/>
      <c r="AA391" s="618"/>
      <c r="AB391" s="618"/>
      <c r="AC391" s="618"/>
      <c r="AD391" s="618"/>
      <c r="AE391" s="618"/>
      <c r="AF391" s="618"/>
      <c r="AG391" s="618"/>
      <c r="AH391" s="618"/>
      <c r="AI391" s="618"/>
      <c r="AJ391" s="618"/>
      <c r="AK391" s="618"/>
      <c r="AL391" s="618"/>
      <c r="AM391" s="618"/>
      <c r="AN391" s="618"/>
      <c r="AO391" s="618"/>
      <c r="AP391" s="618"/>
      <c r="AQ391" s="618"/>
      <c r="AR391" s="618"/>
      <c r="AS391" s="618"/>
      <c r="AT391" s="618"/>
    </row>
    <row r="392" spans="1:46" ht="14.25" customHeight="1" x14ac:dyDescent="0.45">
      <c r="A392" s="618"/>
      <c r="B392" s="618"/>
      <c r="C392" s="618"/>
      <c r="D392" s="5"/>
      <c r="E392" s="6"/>
      <c r="F392" s="6"/>
      <c r="G392" s="6"/>
      <c r="H392" s="6"/>
      <c r="J392" s="618"/>
      <c r="K392" s="618"/>
      <c r="L392" s="618"/>
      <c r="M392" s="618"/>
      <c r="N392" s="618"/>
      <c r="O392" s="618"/>
      <c r="P392" s="618"/>
      <c r="Q392" s="618"/>
      <c r="R392" s="618"/>
      <c r="S392" s="618"/>
      <c r="T392" s="618"/>
      <c r="U392" s="618"/>
      <c r="V392" s="618"/>
      <c r="W392" s="618"/>
      <c r="X392" s="618"/>
      <c r="Y392" s="618"/>
      <c r="Z392" s="618"/>
      <c r="AA392" s="618"/>
      <c r="AB392" s="618"/>
      <c r="AC392" s="618"/>
      <c r="AD392" s="618"/>
      <c r="AE392" s="618"/>
      <c r="AF392" s="618"/>
      <c r="AG392" s="618"/>
      <c r="AH392" s="618"/>
      <c r="AI392" s="618"/>
      <c r="AJ392" s="618"/>
      <c r="AK392" s="618"/>
      <c r="AL392" s="618"/>
      <c r="AM392" s="618"/>
      <c r="AN392" s="618"/>
      <c r="AO392" s="618"/>
      <c r="AP392" s="618"/>
      <c r="AQ392" s="618"/>
      <c r="AR392" s="618"/>
      <c r="AS392" s="618"/>
      <c r="AT392" s="618"/>
    </row>
    <row r="393" spans="1:46" ht="14.25" customHeight="1" x14ac:dyDescent="0.45">
      <c r="A393" s="618"/>
      <c r="B393" s="618"/>
      <c r="C393" s="618"/>
      <c r="D393" s="5"/>
      <c r="E393" s="6"/>
      <c r="F393" s="6"/>
      <c r="G393" s="6"/>
      <c r="H393" s="6"/>
      <c r="J393" s="618"/>
      <c r="K393" s="618"/>
      <c r="L393" s="618"/>
      <c r="M393" s="618"/>
      <c r="N393" s="618"/>
      <c r="O393" s="618"/>
      <c r="P393" s="618"/>
      <c r="Q393" s="618"/>
      <c r="R393" s="618"/>
      <c r="S393" s="618"/>
      <c r="T393" s="618"/>
      <c r="U393" s="618"/>
      <c r="V393" s="618"/>
      <c r="W393" s="618"/>
      <c r="X393" s="618"/>
      <c r="Y393" s="618"/>
      <c r="Z393" s="618"/>
      <c r="AA393" s="618"/>
      <c r="AB393" s="618"/>
      <c r="AC393" s="618"/>
      <c r="AD393" s="618"/>
      <c r="AE393" s="618"/>
      <c r="AF393" s="618"/>
      <c r="AG393" s="618"/>
      <c r="AH393" s="618"/>
      <c r="AI393" s="618"/>
      <c r="AJ393" s="618"/>
      <c r="AK393" s="618"/>
      <c r="AL393" s="618"/>
      <c r="AM393" s="618"/>
      <c r="AN393" s="618"/>
      <c r="AO393" s="618"/>
      <c r="AP393" s="618"/>
      <c r="AQ393" s="618"/>
      <c r="AR393" s="618"/>
      <c r="AS393" s="618"/>
      <c r="AT393" s="618"/>
    </row>
    <row r="394" spans="1:46" ht="14.25" customHeight="1" x14ac:dyDescent="0.45">
      <c r="A394" s="618"/>
      <c r="B394" s="618"/>
      <c r="C394" s="618"/>
      <c r="D394" s="5"/>
      <c r="E394" s="6"/>
      <c r="F394" s="6"/>
      <c r="G394" s="6"/>
      <c r="H394" s="6"/>
      <c r="J394" s="618"/>
      <c r="K394" s="618"/>
      <c r="L394" s="618"/>
      <c r="M394" s="618"/>
      <c r="N394" s="618"/>
      <c r="O394" s="618"/>
      <c r="P394" s="618"/>
      <c r="Q394" s="618"/>
      <c r="R394" s="618"/>
      <c r="S394" s="618"/>
      <c r="T394" s="618"/>
      <c r="U394" s="618"/>
      <c r="V394" s="618"/>
      <c r="W394" s="618"/>
      <c r="X394" s="618"/>
      <c r="Y394" s="618"/>
      <c r="Z394" s="618"/>
      <c r="AA394" s="618"/>
      <c r="AB394" s="618"/>
      <c r="AC394" s="618"/>
      <c r="AD394" s="618"/>
      <c r="AE394" s="618"/>
      <c r="AF394" s="618"/>
      <c r="AG394" s="618"/>
      <c r="AH394" s="618"/>
      <c r="AI394" s="618"/>
      <c r="AJ394" s="618"/>
      <c r="AK394" s="618"/>
      <c r="AL394" s="618"/>
      <c r="AM394" s="618"/>
      <c r="AN394" s="618"/>
      <c r="AO394" s="618"/>
      <c r="AP394" s="618"/>
      <c r="AQ394" s="618"/>
      <c r="AR394" s="618"/>
      <c r="AS394" s="618"/>
      <c r="AT394" s="618"/>
    </row>
    <row r="395" spans="1:46" ht="14.25" customHeight="1" x14ac:dyDescent="0.45">
      <c r="A395" s="618"/>
      <c r="B395" s="618"/>
      <c r="C395" s="618"/>
      <c r="D395" s="5"/>
      <c r="E395" s="6"/>
      <c r="F395" s="6"/>
      <c r="G395" s="6"/>
      <c r="H395" s="6"/>
      <c r="J395" s="618"/>
      <c r="K395" s="618"/>
      <c r="L395" s="618"/>
      <c r="M395" s="618"/>
      <c r="N395" s="618"/>
      <c r="O395" s="618"/>
      <c r="P395" s="618"/>
      <c r="Q395" s="618"/>
      <c r="R395" s="618"/>
      <c r="S395" s="618"/>
      <c r="T395" s="618"/>
      <c r="U395" s="618"/>
      <c r="V395" s="618"/>
      <c r="W395" s="618"/>
      <c r="X395" s="618"/>
      <c r="Y395" s="618"/>
      <c r="Z395" s="618"/>
      <c r="AA395" s="618"/>
      <c r="AB395" s="618"/>
      <c r="AC395" s="618"/>
      <c r="AD395" s="618"/>
      <c r="AE395" s="618"/>
      <c r="AF395" s="618"/>
      <c r="AG395" s="618"/>
      <c r="AH395" s="618"/>
      <c r="AI395" s="618"/>
      <c r="AJ395" s="618"/>
      <c r="AK395" s="618"/>
      <c r="AL395" s="618"/>
      <c r="AM395" s="618"/>
      <c r="AN395" s="618"/>
      <c r="AO395" s="618"/>
      <c r="AP395" s="618"/>
      <c r="AQ395" s="618"/>
      <c r="AR395" s="618"/>
      <c r="AS395" s="618"/>
      <c r="AT395" s="618"/>
    </row>
    <row r="396" spans="1:46" ht="14.25" customHeight="1" x14ac:dyDescent="0.45">
      <c r="A396" s="618"/>
      <c r="B396" s="618"/>
      <c r="C396" s="618"/>
      <c r="D396" s="5"/>
      <c r="E396" s="6"/>
      <c r="F396" s="6"/>
      <c r="G396" s="6"/>
      <c r="H396" s="6"/>
      <c r="J396" s="618"/>
      <c r="K396" s="618"/>
      <c r="L396" s="618"/>
      <c r="M396" s="618"/>
      <c r="N396" s="618"/>
      <c r="O396" s="618"/>
      <c r="P396" s="618"/>
      <c r="Q396" s="618"/>
      <c r="R396" s="618"/>
      <c r="S396" s="618"/>
      <c r="T396" s="618"/>
      <c r="U396" s="618"/>
      <c r="V396" s="618"/>
      <c r="W396" s="618"/>
      <c r="X396" s="618"/>
      <c r="Y396" s="618"/>
      <c r="Z396" s="618"/>
      <c r="AA396" s="618"/>
      <c r="AB396" s="618"/>
      <c r="AC396" s="618"/>
      <c r="AD396" s="618"/>
      <c r="AE396" s="618"/>
      <c r="AF396" s="618"/>
      <c r="AG396" s="618"/>
      <c r="AH396" s="618"/>
      <c r="AI396" s="618"/>
      <c r="AJ396" s="618"/>
      <c r="AK396" s="618"/>
      <c r="AL396" s="618"/>
      <c r="AM396" s="618"/>
      <c r="AN396" s="618"/>
      <c r="AO396" s="618"/>
      <c r="AP396" s="618"/>
      <c r="AQ396" s="618"/>
      <c r="AR396" s="618"/>
      <c r="AS396" s="618"/>
      <c r="AT396" s="618"/>
    </row>
    <row r="397" spans="1:46" ht="14.25" customHeight="1" x14ac:dyDescent="0.45">
      <c r="A397" s="618"/>
      <c r="B397" s="618"/>
      <c r="C397" s="618"/>
      <c r="D397" s="5"/>
      <c r="E397" s="6"/>
      <c r="F397" s="6"/>
      <c r="G397" s="6"/>
      <c r="H397" s="6"/>
      <c r="I397" s="618"/>
      <c r="J397" s="618"/>
      <c r="K397" s="618"/>
      <c r="L397" s="618"/>
      <c r="M397" s="618"/>
      <c r="N397" s="618"/>
      <c r="O397" s="618"/>
      <c r="P397" s="618"/>
      <c r="Q397" s="618"/>
      <c r="R397" s="618"/>
      <c r="S397" s="618"/>
      <c r="T397" s="618"/>
      <c r="U397" s="618"/>
      <c r="V397" s="618"/>
      <c r="W397" s="618"/>
      <c r="X397" s="618"/>
      <c r="Y397" s="618"/>
      <c r="Z397" s="618"/>
      <c r="AA397" s="618"/>
      <c r="AB397" s="618"/>
      <c r="AC397" s="618"/>
      <c r="AD397" s="618"/>
      <c r="AE397" s="618"/>
      <c r="AF397" s="618"/>
      <c r="AG397" s="618"/>
      <c r="AH397" s="618"/>
      <c r="AI397" s="618"/>
      <c r="AJ397" s="618"/>
      <c r="AK397" s="618"/>
      <c r="AL397" s="618"/>
      <c r="AM397" s="618"/>
      <c r="AN397" s="618"/>
      <c r="AO397" s="618"/>
      <c r="AP397" s="618"/>
      <c r="AQ397" s="618"/>
      <c r="AR397" s="618"/>
      <c r="AS397" s="618"/>
      <c r="AT397" s="618"/>
    </row>
    <row r="398" spans="1:46" ht="14.25" customHeight="1" x14ac:dyDescent="0.45">
      <c r="A398" s="618"/>
      <c r="B398" s="618"/>
      <c r="C398" s="618"/>
      <c r="D398" s="5"/>
      <c r="E398" s="6"/>
      <c r="F398" s="6"/>
      <c r="G398" s="6"/>
      <c r="H398" s="6"/>
      <c r="I398" s="618"/>
      <c r="J398" s="618"/>
      <c r="K398" s="618"/>
      <c r="L398" s="618"/>
      <c r="M398" s="618"/>
      <c r="N398" s="618"/>
      <c r="O398" s="618"/>
      <c r="P398" s="618"/>
      <c r="Q398" s="618"/>
      <c r="R398" s="618"/>
      <c r="S398" s="618"/>
      <c r="T398" s="618"/>
      <c r="U398" s="618"/>
      <c r="V398" s="618"/>
      <c r="W398" s="618"/>
      <c r="X398" s="618"/>
      <c r="Y398" s="618"/>
      <c r="Z398" s="618"/>
      <c r="AA398" s="618"/>
      <c r="AB398" s="618"/>
      <c r="AC398" s="618"/>
      <c r="AD398" s="618"/>
      <c r="AE398" s="618"/>
      <c r="AF398" s="618"/>
      <c r="AG398" s="618"/>
      <c r="AH398" s="618"/>
      <c r="AI398" s="618"/>
      <c r="AJ398" s="618"/>
      <c r="AK398" s="618"/>
      <c r="AL398" s="618"/>
      <c r="AM398" s="618"/>
      <c r="AN398" s="618"/>
      <c r="AO398" s="618"/>
      <c r="AP398" s="618"/>
      <c r="AQ398" s="618"/>
      <c r="AR398" s="618"/>
      <c r="AS398" s="618"/>
      <c r="AT398" s="618"/>
    </row>
    <row r="399" spans="1:46" ht="14.25" customHeight="1" x14ac:dyDescent="0.45">
      <c r="A399" s="618"/>
      <c r="B399" s="618"/>
      <c r="C399" s="618"/>
      <c r="D399" s="5"/>
      <c r="E399" s="6"/>
      <c r="F399" s="6"/>
      <c r="G399" s="6"/>
      <c r="H399" s="6"/>
      <c r="I399" s="618"/>
      <c r="J399" s="618"/>
      <c r="K399" s="618"/>
      <c r="L399" s="618"/>
      <c r="M399" s="618"/>
      <c r="N399" s="618"/>
      <c r="O399" s="618"/>
      <c r="P399" s="618"/>
      <c r="Q399" s="618"/>
      <c r="R399" s="618"/>
      <c r="S399" s="618"/>
      <c r="T399" s="618"/>
      <c r="U399" s="618"/>
      <c r="V399" s="618"/>
      <c r="W399" s="618"/>
      <c r="X399" s="618"/>
      <c r="Y399" s="618"/>
      <c r="Z399" s="618"/>
      <c r="AA399" s="618"/>
      <c r="AB399" s="618"/>
      <c r="AC399" s="618"/>
      <c r="AD399" s="618"/>
      <c r="AE399" s="618"/>
      <c r="AF399" s="618"/>
      <c r="AG399" s="618"/>
      <c r="AH399" s="618"/>
      <c r="AI399" s="618"/>
      <c r="AJ399" s="618"/>
      <c r="AK399" s="618"/>
      <c r="AL399" s="618"/>
      <c r="AM399" s="618"/>
      <c r="AN399" s="618"/>
      <c r="AO399" s="618"/>
      <c r="AP399" s="618"/>
      <c r="AQ399" s="618"/>
      <c r="AR399" s="618"/>
      <c r="AS399" s="618"/>
      <c r="AT399" s="618"/>
    </row>
    <row r="400" spans="1:46" ht="14.25" customHeight="1" x14ac:dyDescent="0.45">
      <c r="A400" s="618"/>
      <c r="B400" s="618"/>
      <c r="C400" s="618"/>
      <c r="D400" s="5"/>
      <c r="E400" s="6"/>
      <c r="F400" s="6"/>
      <c r="G400" s="6"/>
      <c r="H400" s="6"/>
      <c r="I400" s="618"/>
      <c r="J400" s="618"/>
      <c r="K400" s="618"/>
      <c r="L400" s="618"/>
      <c r="M400" s="618"/>
      <c r="N400" s="618"/>
      <c r="O400" s="618"/>
      <c r="P400" s="618"/>
      <c r="Q400" s="618"/>
      <c r="R400" s="618"/>
      <c r="S400" s="618"/>
      <c r="T400" s="618"/>
      <c r="U400" s="618"/>
      <c r="V400" s="618"/>
      <c r="W400" s="618"/>
      <c r="X400" s="618"/>
      <c r="Y400" s="618"/>
      <c r="Z400" s="618"/>
      <c r="AA400" s="618"/>
      <c r="AB400" s="618"/>
      <c r="AC400" s="618"/>
      <c r="AD400" s="618"/>
      <c r="AE400" s="618"/>
      <c r="AF400" s="618"/>
      <c r="AG400" s="618"/>
      <c r="AH400" s="618"/>
      <c r="AI400" s="618"/>
      <c r="AJ400" s="618"/>
      <c r="AK400" s="618"/>
      <c r="AL400" s="618"/>
      <c r="AM400" s="618"/>
      <c r="AN400" s="618"/>
      <c r="AO400" s="618"/>
      <c r="AP400" s="618"/>
      <c r="AQ400" s="618"/>
      <c r="AR400" s="618"/>
      <c r="AS400" s="618"/>
      <c r="AT400" s="618"/>
    </row>
    <row r="401" spans="1:50" ht="14.25" customHeight="1" x14ac:dyDescent="0.45">
      <c r="A401" s="618"/>
      <c r="B401" s="618"/>
      <c r="C401" s="618"/>
      <c r="D401" s="5"/>
      <c r="E401" s="6"/>
      <c r="F401" s="6"/>
      <c r="G401" s="6"/>
      <c r="H401" s="6"/>
      <c r="I401" s="618"/>
      <c r="J401" s="618"/>
      <c r="K401" s="618"/>
      <c r="L401" s="618"/>
      <c r="M401" s="618"/>
      <c r="N401" s="618"/>
      <c r="O401" s="618"/>
      <c r="P401" s="618"/>
      <c r="Q401" s="618"/>
      <c r="R401" s="618"/>
      <c r="S401" s="618"/>
      <c r="T401" s="618"/>
      <c r="U401" s="618"/>
      <c r="V401" s="618"/>
      <c r="W401" s="618"/>
      <c r="X401" s="618"/>
      <c r="Y401" s="618"/>
      <c r="Z401" s="618"/>
      <c r="AA401" s="618"/>
      <c r="AB401" s="618"/>
      <c r="AC401" s="618"/>
      <c r="AD401" s="618"/>
      <c r="AE401" s="618"/>
      <c r="AF401" s="618"/>
      <c r="AG401" s="618"/>
      <c r="AH401" s="618"/>
      <c r="AI401" s="618"/>
      <c r="AJ401" s="618"/>
      <c r="AK401" s="618"/>
      <c r="AL401" s="618"/>
      <c r="AM401" s="618"/>
      <c r="AN401" s="618"/>
      <c r="AO401" s="618"/>
      <c r="AP401" s="618"/>
      <c r="AQ401" s="618"/>
      <c r="AR401" s="618"/>
      <c r="AS401" s="618"/>
      <c r="AT401" s="618"/>
    </row>
    <row r="402" spans="1:50" ht="14.25" customHeight="1" x14ac:dyDescent="0.45">
      <c r="A402" s="618"/>
      <c r="B402" s="618"/>
      <c r="C402" s="618"/>
      <c r="D402" s="5"/>
      <c r="E402" s="6"/>
      <c r="F402" s="6"/>
      <c r="G402" s="6"/>
      <c r="H402" s="6"/>
      <c r="I402" s="618"/>
      <c r="J402" s="618"/>
      <c r="K402" s="618"/>
      <c r="L402" s="618"/>
      <c r="M402" s="618"/>
      <c r="N402" s="618"/>
      <c r="O402" s="618"/>
      <c r="P402" s="618"/>
      <c r="Q402" s="618"/>
      <c r="R402" s="618"/>
      <c r="S402" s="618"/>
      <c r="T402" s="618"/>
      <c r="U402" s="618"/>
      <c r="V402" s="618"/>
      <c r="W402" s="618"/>
      <c r="X402" s="618"/>
      <c r="Y402" s="618"/>
      <c r="Z402" s="618"/>
      <c r="AA402" s="618"/>
      <c r="AB402" s="618"/>
      <c r="AC402" s="618"/>
      <c r="AD402" s="618"/>
      <c r="AE402" s="618"/>
      <c r="AF402" s="618"/>
      <c r="AG402" s="618"/>
      <c r="AH402" s="618"/>
      <c r="AI402" s="618"/>
      <c r="AJ402" s="618"/>
      <c r="AK402" s="618"/>
      <c r="AL402" s="618"/>
      <c r="AM402" s="618"/>
      <c r="AN402" s="618"/>
      <c r="AO402" s="618"/>
      <c r="AP402" s="618"/>
      <c r="AQ402" s="618"/>
      <c r="AR402" s="618"/>
      <c r="AS402" s="618"/>
      <c r="AT402" s="618"/>
    </row>
    <row r="403" spans="1:50" ht="14.25" customHeight="1" x14ac:dyDescent="0.45">
      <c r="A403" s="618"/>
      <c r="B403" s="618"/>
      <c r="C403" s="618"/>
      <c r="D403" s="5"/>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row>
    <row r="404" spans="1:50" ht="14.25" customHeight="1" x14ac:dyDescent="0.45">
      <c r="A404" s="618"/>
      <c r="B404" s="618"/>
      <c r="C404" s="618"/>
      <c r="D404" s="5"/>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row>
    <row r="405" spans="1:50" ht="14.25" customHeight="1" x14ac:dyDescent="0.45">
      <c r="A405" s="618"/>
      <c r="B405" s="618"/>
      <c r="C405" s="618"/>
      <c r="D405" s="5"/>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row>
    <row r="406" spans="1:50" ht="14.25" customHeight="1" x14ac:dyDescent="0.45">
      <c r="A406" s="618"/>
      <c r="B406" s="618"/>
      <c r="C406" s="618"/>
      <c r="D406" s="5"/>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row>
    <row r="407" spans="1:50" ht="14.25" customHeight="1" x14ac:dyDescent="0.45">
      <c r="A407" s="618"/>
      <c r="B407" s="618"/>
      <c r="C407" s="618"/>
      <c r="D407" s="5"/>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row>
    <row r="408" spans="1:50" ht="14.25" customHeight="1" x14ac:dyDescent="0.45">
      <c r="A408" s="618"/>
      <c r="B408" s="618"/>
      <c r="C408" s="618"/>
      <c r="D408" s="5"/>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row>
    <row r="409" spans="1:50" ht="14.25" customHeight="1" x14ac:dyDescent="0.45">
      <c r="A409" s="618"/>
      <c r="B409" s="618"/>
      <c r="C409" s="618"/>
      <c r="D409" s="5"/>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row>
    <row r="410" spans="1:50" ht="14.25" customHeight="1" x14ac:dyDescent="0.45">
      <c r="A410" s="618"/>
      <c r="B410" s="618"/>
      <c r="C410" s="618"/>
      <c r="D410" s="5"/>
      <c r="E410" s="6"/>
      <c r="F410" s="6"/>
      <c r="G410" s="6"/>
      <c r="H410" s="6"/>
      <c r="I410" s="618"/>
      <c r="J410" s="618"/>
      <c r="K410" s="618"/>
      <c r="L410" s="618"/>
      <c r="M410" s="618"/>
      <c r="N410" s="618"/>
      <c r="O410" s="618"/>
      <c r="P410" s="618"/>
      <c r="Q410" s="618"/>
      <c r="R410" s="618"/>
      <c r="S410" s="618"/>
      <c r="T410" s="618"/>
      <c r="U410" s="618"/>
      <c r="V410" s="618"/>
      <c r="W410" s="618"/>
      <c r="X410" s="618"/>
      <c r="Y410" s="618"/>
      <c r="Z410" s="618"/>
      <c r="AA410" s="618"/>
      <c r="AB410" s="618"/>
      <c r="AC410" s="618"/>
      <c r="AD410" s="618"/>
      <c r="AE410" s="618"/>
      <c r="AF410" s="618"/>
      <c r="AG410" s="618"/>
      <c r="AH410" s="618"/>
      <c r="AI410" s="618"/>
      <c r="AJ410" s="618"/>
      <c r="AK410" s="618"/>
      <c r="AL410" s="618"/>
      <c r="AM410" s="618"/>
      <c r="AN410" s="618"/>
      <c r="AO410" s="618"/>
      <c r="AP410" s="618"/>
      <c r="AQ410" s="618"/>
      <c r="AR410" s="618"/>
      <c r="AS410" s="618"/>
      <c r="AT410" s="618"/>
    </row>
    <row r="411" spans="1:50" ht="14.25" customHeight="1" x14ac:dyDescent="0.45">
      <c r="A411" s="618"/>
      <c r="B411" s="618"/>
      <c r="C411" s="618"/>
      <c r="D411" s="5"/>
      <c r="E411" s="6"/>
      <c r="F411" s="6"/>
      <c r="G411" s="6"/>
      <c r="H411" s="6"/>
      <c r="I411" s="618"/>
      <c r="J411" s="618"/>
      <c r="K411" s="618"/>
      <c r="L411" s="618"/>
      <c r="M411" s="618"/>
      <c r="N411" s="618"/>
      <c r="O411" s="618"/>
      <c r="P411" s="618"/>
      <c r="Q411" s="618"/>
      <c r="R411" s="618"/>
      <c r="S411" s="618"/>
      <c r="T411" s="618"/>
      <c r="U411" s="618"/>
      <c r="V411" s="618"/>
      <c r="W411" s="618"/>
      <c r="X411" s="618"/>
      <c r="Y411" s="618"/>
      <c r="Z411" s="618"/>
      <c r="AA411" s="618"/>
      <c r="AB411" s="618"/>
      <c r="AC411" s="618"/>
      <c r="AD411" s="618"/>
      <c r="AE411" s="618"/>
      <c r="AF411" s="618"/>
      <c r="AG411" s="618"/>
      <c r="AH411" s="618"/>
      <c r="AI411" s="618"/>
      <c r="AJ411" s="618"/>
      <c r="AK411" s="618"/>
      <c r="AL411" s="618"/>
      <c r="AM411" s="618"/>
      <c r="AN411" s="618"/>
      <c r="AO411" s="618"/>
      <c r="AP411" s="618"/>
      <c r="AQ411" s="618"/>
      <c r="AR411" s="618"/>
      <c r="AS411" s="618"/>
      <c r="AT411" s="618"/>
    </row>
    <row r="412" spans="1:50" ht="14.25" customHeight="1" x14ac:dyDescent="0.45">
      <c r="A412" s="618"/>
      <c r="B412" s="618"/>
      <c r="C412" s="618"/>
      <c r="D412" s="5"/>
      <c r="E412" s="6"/>
      <c r="F412" s="6"/>
      <c r="G412" s="6"/>
      <c r="H412" s="6"/>
      <c r="I412" s="618"/>
      <c r="J412" s="618"/>
      <c r="K412" s="618"/>
      <c r="L412" s="618"/>
      <c r="M412" s="618"/>
      <c r="N412" s="618"/>
      <c r="O412" s="618"/>
      <c r="P412" s="618"/>
      <c r="Q412" s="618"/>
      <c r="R412" s="618"/>
      <c r="S412" s="618"/>
      <c r="T412" s="618"/>
      <c r="U412" s="618"/>
      <c r="V412" s="618"/>
      <c r="W412" s="618"/>
      <c r="X412" s="618"/>
      <c r="Y412" s="618"/>
      <c r="Z412" s="618"/>
      <c r="AA412" s="618"/>
      <c r="AB412" s="618"/>
      <c r="AC412" s="618"/>
      <c r="AD412" s="618"/>
      <c r="AE412" s="618"/>
      <c r="AF412" s="618"/>
      <c r="AG412" s="618"/>
      <c r="AH412" s="618"/>
      <c r="AI412" s="618"/>
      <c r="AJ412" s="618"/>
      <c r="AK412" s="618"/>
      <c r="AL412" s="618"/>
      <c r="AM412" s="618"/>
      <c r="AN412" s="618"/>
      <c r="AO412" s="618"/>
      <c r="AP412" s="618"/>
      <c r="AQ412" s="618"/>
      <c r="AR412" s="618"/>
      <c r="AS412" s="618"/>
      <c r="AT412" s="618"/>
    </row>
    <row r="413" spans="1:50" ht="14.25" customHeight="1" x14ac:dyDescent="0.45">
      <c r="A413" s="618"/>
      <c r="B413" s="618"/>
      <c r="C413" s="618"/>
      <c r="D413" s="5"/>
      <c r="E413" s="6"/>
      <c r="F413" s="6"/>
      <c r="G413" s="6"/>
      <c r="H413" s="6"/>
      <c r="I413" s="618"/>
      <c r="J413" s="618"/>
      <c r="K413" s="618"/>
      <c r="L413" s="618"/>
      <c r="M413" s="618"/>
      <c r="N413" s="618"/>
      <c r="O413" s="618"/>
      <c r="P413" s="618"/>
      <c r="Q413" s="618"/>
      <c r="R413" s="618"/>
      <c r="S413" s="618"/>
      <c r="T413" s="618"/>
      <c r="U413" s="618"/>
      <c r="V413" s="618"/>
      <c r="W413" s="618"/>
      <c r="X413" s="618"/>
      <c r="Y413" s="618"/>
      <c r="Z413" s="618"/>
      <c r="AA413" s="618"/>
      <c r="AB413" s="618"/>
      <c r="AC413" s="618"/>
      <c r="AD413" s="618"/>
      <c r="AE413" s="618"/>
      <c r="AF413" s="618"/>
      <c r="AG413" s="618"/>
      <c r="AH413" s="618"/>
      <c r="AI413" s="618"/>
      <c r="AJ413" s="618"/>
      <c r="AK413" s="618"/>
      <c r="AL413" s="618"/>
      <c r="AM413" s="618"/>
      <c r="AN413" s="618"/>
      <c r="AO413" s="618"/>
      <c r="AP413" s="618"/>
      <c r="AQ413" s="618"/>
      <c r="AR413" s="618"/>
      <c r="AS413" s="618"/>
      <c r="AT413" s="618"/>
    </row>
    <row r="414" spans="1:50" ht="14.25" customHeight="1" x14ac:dyDescent="0.45">
      <c r="A414" s="618"/>
      <c r="B414" s="618"/>
      <c r="C414" s="618"/>
      <c r="D414" s="5"/>
      <c r="E414" s="6"/>
      <c r="F414" s="6"/>
      <c r="G414" s="6"/>
      <c r="H414" s="6"/>
      <c r="I414" s="618"/>
      <c r="J414" s="618"/>
      <c r="K414" s="618"/>
      <c r="L414" s="618"/>
      <c r="M414" s="618"/>
      <c r="N414" s="618"/>
      <c r="O414" s="618"/>
      <c r="P414" s="618"/>
      <c r="Q414" s="618"/>
      <c r="R414" s="618"/>
      <c r="S414" s="618"/>
      <c r="T414" s="618"/>
      <c r="U414" s="618"/>
      <c r="V414" s="618"/>
      <c r="W414" s="618"/>
      <c r="X414" s="618"/>
      <c r="Y414" s="618"/>
      <c r="Z414" s="618"/>
      <c r="AA414" s="618"/>
      <c r="AB414" s="618"/>
      <c r="AC414" s="618"/>
      <c r="AD414" s="618"/>
      <c r="AE414" s="618"/>
      <c r="AF414" s="618"/>
      <c r="AG414" s="618"/>
      <c r="AH414" s="618"/>
      <c r="AI414" s="618"/>
      <c r="AJ414" s="618"/>
      <c r="AK414" s="618"/>
      <c r="AL414" s="618"/>
      <c r="AM414" s="618"/>
      <c r="AN414" s="618"/>
      <c r="AO414" s="618"/>
      <c r="AP414" s="618"/>
      <c r="AQ414" s="618"/>
      <c r="AR414" s="618"/>
      <c r="AS414" s="618"/>
      <c r="AT414" s="618"/>
    </row>
    <row r="415" spans="1:50" ht="14.25" customHeight="1" x14ac:dyDescent="0.45">
      <c r="A415" s="618"/>
      <c r="B415" s="618"/>
      <c r="C415" s="618"/>
      <c r="D415" s="5"/>
      <c r="E415" s="6"/>
      <c r="F415" s="6"/>
      <c r="G415" s="6"/>
      <c r="H415" s="6"/>
      <c r="I415" s="618"/>
      <c r="J415" s="618"/>
      <c r="K415" s="618"/>
      <c r="L415" s="618"/>
      <c r="M415" s="618"/>
      <c r="N415" s="618"/>
      <c r="O415" s="618"/>
      <c r="P415" s="618"/>
      <c r="Q415" s="618"/>
      <c r="R415" s="618"/>
      <c r="S415" s="618"/>
      <c r="T415" s="618"/>
      <c r="U415" s="618"/>
      <c r="V415" s="618"/>
      <c r="W415" s="618"/>
      <c r="X415" s="618"/>
      <c r="Y415" s="618"/>
      <c r="Z415" s="618"/>
      <c r="AA415" s="618"/>
      <c r="AB415" s="618"/>
      <c r="AC415" s="618"/>
      <c r="AD415" s="618"/>
      <c r="AE415" s="618"/>
      <c r="AF415" s="618"/>
      <c r="AG415" s="618"/>
      <c r="AH415" s="618"/>
      <c r="AI415" s="618"/>
      <c r="AJ415" s="618"/>
      <c r="AK415" s="618"/>
      <c r="AL415" s="618"/>
      <c r="AM415" s="618"/>
      <c r="AN415" s="618"/>
      <c r="AO415" s="618"/>
      <c r="AP415" s="618"/>
      <c r="AQ415" s="618"/>
      <c r="AR415" s="618"/>
      <c r="AS415" s="618"/>
      <c r="AT415" s="618"/>
    </row>
    <row r="416" spans="1:50" ht="14.25" customHeight="1" x14ac:dyDescent="0.45">
      <c r="A416" s="618"/>
      <c r="B416" s="618"/>
      <c r="C416" s="618"/>
      <c r="D416" s="5"/>
      <c r="E416" s="6"/>
      <c r="F416" s="6"/>
      <c r="G416" s="6"/>
      <c r="H416" s="6"/>
      <c r="I416" s="618"/>
      <c r="J416" s="618"/>
      <c r="K416" s="618"/>
      <c r="L416" s="618"/>
      <c r="M416" s="618"/>
      <c r="N416" s="618"/>
      <c r="O416" s="618"/>
      <c r="P416" s="618"/>
      <c r="Q416" s="618"/>
      <c r="R416" s="618"/>
      <c r="S416" s="618"/>
      <c r="T416" s="618"/>
      <c r="U416" s="618"/>
      <c r="V416" s="618"/>
      <c r="W416" s="618"/>
      <c r="X416" s="618"/>
      <c r="Y416" s="618"/>
      <c r="Z416" s="618"/>
      <c r="AA416" s="618"/>
      <c r="AB416" s="618"/>
      <c r="AC416" s="618"/>
      <c r="AD416" s="618"/>
      <c r="AE416" s="618"/>
      <c r="AF416" s="618"/>
      <c r="AG416" s="618"/>
      <c r="AH416" s="618"/>
      <c r="AI416" s="618"/>
      <c r="AJ416" s="618"/>
      <c r="AK416" s="618"/>
      <c r="AL416" s="618"/>
      <c r="AM416" s="618"/>
      <c r="AN416" s="618"/>
      <c r="AO416" s="618"/>
      <c r="AP416" s="618"/>
      <c r="AQ416" s="618"/>
      <c r="AR416" s="618"/>
      <c r="AS416" s="618"/>
      <c r="AT416" s="618"/>
    </row>
    <row r="417" spans="1:46" ht="14.25" customHeight="1" x14ac:dyDescent="0.45">
      <c r="A417" s="618"/>
      <c r="B417" s="618"/>
      <c r="C417" s="618"/>
      <c r="D417" s="5"/>
      <c r="E417" s="6"/>
      <c r="F417" s="6"/>
      <c r="G417" s="6"/>
      <c r="H417" s="6"/>
      <c r="I417" s="618"/>
      <c r="J417" s="618"/>
      <c r="K417" s="618"/>
      <c r="L417" s="618"/>
      <c r="M417" s="618"/>
      <c r="N417" s="618"/>
      <c r="O417" s="618"/>
      <c r="P417" s="618"/>
      <c r="Q417" s="618"/>
      <c r="R417" s="618"/>
      <c r="S417" s="618"/>
      <c r="T417" s="618"/>
      <c r="U417" s="618"/>
      <c r="V417" s="618"/>
      <c r="W417" s="618"/>
      <c r="X417" s="618"/>
      <c r="Y417" s="618"/>
      <c r="Z417" s="618"/>
      <c r="AA417" s="618"/>
      <c r="AB417" s="618"/>
      <c r="AC417" s="618"/>
      <c r="AD417" s="618"/>
      <c r="AE417" s="618"/>
      <c r="AF417" s="618"/>
      <c r="AG417" s="618"/>
      <c r="AH417" s="618"/>
      <c r="AI417" s="618"/>
      <c r="AJ417" s="618"/>
      <c r="AK417" s="618"/>
      <c r="AL417" s="618"/>
      <c r="AM417" s="618"/>
      <c r="AN417" s="618"/>
      <c r="AO417" s="618"/>
      <c r="AP417" s="618"/>
      <c r="AQ417" s="618"/>
      <c r="AR417" s="618"/>
      <c r="AS417" s="618"/>
      <c r="AT417" s="618"/>
    </row>
    <row r="418" spans="1:46" ht="14.25" customHeight="1" x14ac:dyDescent="0.45">
      <c r="A418" s="618"/>
      <c r="B418" s="618"/>
      <c r="C418" s="618"/>
      <c r="D418" s="5"/>
      <c r="E418" s="6"/>
      <c r="F418" s="6"/>
      <c r="G418" s="6"/>
      <c r="H418" s="6"/>
      <c r="I418" s="618"/>
      <c r="J418" s="618"/>
      <c r="K418" s="618"/>
      <c r="L418" s="618"/>
      <c r="M418" s="618"/>
      <c r="N418" s="618"/>
      <c r="O418" s="618"/>
      <c r="P418" s="618"/>
      <c r="Q418" s="618"/>
      <c r="R418" s="618"/>
      <c r="S418" s="618"/>
      <c r="T418" s="618"/>
      <c r="U418" s="618"/>
      <c r="V418" s="618"/>
      <c r="W418" s="618"/>
      <c r="X418" s="618"/>
      <c r="Y418" s="618"/>
      <c r="Z418" s="618"/>
      <c r="AA418" s="618"/>
      <c r="AB418" s="618"/>
      <c r="AC418" s="618"/>
      <c r="AD418" s="618"/>
      <c r="AE418" s="618"/>
      <c r="AF418" s="618"/>
      <c r="AG418" s="618"/>
      <c r="AH418" s="618"/>
      <c r="AI418" s="618"/>
      <c r="AJ418" s="618"/>
      <c r="AK418" s="618"/>
      <c r="AL418" s="618"/>
      <c r="AM418" s="618"/>
      <c r="AN418" s="618"/>
      <c r="AO418" s="618"/>
      <c r="AP418" s="618"/>
      <c r="AQ418" s="618"/>
      <c r="AR418" s="618"/>
      <c r="AS418" s="618"/>
      <c r="AT418" s="618"/>
    </row>
    <row r="419" spans="1:46" ht="14.25" customHeight="1" x14ac:dyDescent="0.45">
      <c r="A419" s="618"/>
      <c r="B419" s="618"/>
      <c r="C419" s="618"/>
      <c r="D419" s="5"/>
      <c r="E419" s="6"/>
      <c r="F419" s="6"/>
      <c r="G419" s="6"/>
      <c r="H419" s="6"/>
      <c r="I419" s="618"/>
      <c r="J419" s="618"/>
      <c r="K419" s="618"/>
      <c r="L419" s="618"/>
      <c r="M419" s="618"/>
      <c r="N419" s="618"/>
      <c r="O419" s="618"/>
      <c r="P419" s="618"/>
      <c r="Q419" s="618"/>
      <c r="R419" s="618"/>
      <c r="S419" s="618"/>
      <c r="T419" s="618"/>
      <c r="U419" s="618"/>
      <c r="V419" s="618"/>
      <c r="W419" s="618"/>
      <c r="X419" s="618"/>
      <c r="Y419" s="618"/>
      <c r="Z419" s="618"/>
      <c r="AA419" s="618"/>
      <c r="AB419" s="618"/>
      <c r="AC419" s="618"/>
      <c r="AD419" s="618"/>
      <c r="AE419" s="618"/>
      <c r="AF419" s="618"/>
      <c r="AG419" s="618"/>
      <c r="AH419" s="618"/>
      <c r="AI419" s="618"/>
      <c r="AJ419" s="618"/>
      <c r="AK419" s="618"/>
      <c r="AL419" s="618"/>
      <c r="AM419" s="618"/>
      <c r="AN419" s="618"/>
      <c r="AO419" s="618"/>
      <c r="AP419" s="618"/>
      <c r="AQ419" s="618"/>
      <c r="AR419" s="618"/>
      <c r="AS419" s="618"/>
      <c r="AT419" s="618"/>
    </row>
    <row r="420" spans="1:46" ht="14.25" customHeight="1" x14ac:dyDescent="0.45">
      <c r="A420" s="618"/>
      <c r="B420" s="618"/>
      <c r="C420" s="618"/>
      <c r="D420" s="5"/>
      <c r="E420" s="6"/>
      <c r="F420" s="6"/>
      <c r="G420" s="6"/>
      <c r="H420" s="6"/>
      <c r="I420" s="618"/>
      <c r="J420" s="618"/>
      <c r="K420" s="618"/>
      <c r="L420" s="618"/>
      <c r="M420" s="618"/>
      <c r="N420" s="618"/>
      <c r="O420" s="618"/>
      <c r="P420" s="618"/>
      <c r="Q420" s="618"/>
      <c r="R420" s="618"/>
      <c r="S420" s="618"/>
      <c r="T420" s="618"/>
      <c r="U420" s="618"/>
      <c r="V420" s="618"/>
      <c r="W420" s="618"/>
      <c r="X420" s="618"/>
      <c r="Y420" s="618"/>
      <c r="Z420" s="618"/>
      <c r="AA420" s="618"/>
      <c r="AB420" s="618"/>
      <c r="AC420" s="618"/>
      <c r="AD420" s="618"/>
      <c r="AE420" s="618"/>
      <c r="AF420" s="618"/>
      <c r="AG420" s="618"/>
      <c r="AH420" s="618"/>
      <c r="AI420" s="618"/>
      <c r="AJ420" s="618"/>
      <c r="AK420" s="618"/>
      <c r="AL420" s="618"/>
      <c r="AM420" s="618"/>
      <c r="AN420" s="618"/>
      <c r="AO420" s="618"/>
      <c r="AP420" s="618"/>
      <c r="AQ420" s="618"/>
      <c r="AR420" s="618"/>
      <c r="AS420" s="618"/>
      <c r="AT420" s="618"/>
    </row>
    <row r="421" spans="1:46" ht="14.25" customHeight="1" x14ac:dyDescent="0.45">
      <c r="A421" s="618"/>
      <c r="B421" s="618"/>
      <c r="C421" s="618"/>
      <c r="D421" s="5"/>
      <c r="E421" s="6"/>
      <c r="F421" s="6"/>
      <c r="G421" s="6"/>
      <c r="H421" s="6"/>
      <c r="I421" s="618"/>
      <c r="J421" s="618"/>
      <c r="K421" s="618"/>
      <c r="L421" s="618"/>
      <c r="M421" s="618"/>
      <c r="N421" s="618"/>
      <c r="O421" s="618"/>
      <c r="P421" s="618"/>
      <c r="Q421" s="618"/>
      <c r="R421" s="618"/>
      <c r="S421" s="618"/>
      <c r="T421" s="618"/>
      <c r="U421" s="618"/>
      <c r="V421" s="618"/>
      <c r="W421" s="618"/>
      <c r="X421" s="618"/>
      <c r="Y421" s="618"/>
      <c r="Z421" s="618"/>
      <c r="AA421" s="618"/>
      <c r="AB421" s="618"/>
      <c r="AC421" s="618"/>
      <c r="AD421" s="618"/>
      <c r="AE421" s="618"/>
      <c r="AF421" s="618"/>
      <c r="AG421" s="618"/>
      <c r="AH421" s="618"/>
      <c r="AI421" s="618"/>
      <c r="AJ421" s="618"/>
      <c r="AK421" s="618"/>
      <c r="AL421" s="618"/>
      <c r="AM421" s="618"/>
      <c r="AN421" s="618"/>
      <c r="AO421" s="618"/>
      <c r="AP421" s="618"/>
      <c r="AQ421" s="618"/>
      <c r="AR421" s="618"/>
      <c r="AS421" s="618"/>
      <c r="AT421" s="618"/>
    </row>
    <row r="422" spans="1:46" ht="14.25" customHeight="1" x14ac:dyDescent="0.45">
      <c r="A422" s="618"/>
      <c r="B422" s="618"/>
      <c r="C422" s="618"/>
      <c r="D422" s="5"/>
      <c r="E422" s="6"/>
      <c r="F422" s="6"/>
      <c r="G422" s="6"/>
      <c r="H422" s="6"/>
      <c r="I422" s="618"/>
      <c r="J422" s="618"/>
      <c r="K422" s="618"/>
      <c r="L422" s="618"/>
      <c r="M422" s="618"/>
      <c r="N422" s="618"/>
      <c r="O422" s="618"/>
      <c r="P422" s="618"/>
      <c r="Q422" s="618"/>
      <c r="R422" s="618"/>
      <c r="S422" s="618"/>
      <c r="T422" s="618"/>
      <c r="U422" s="618"/>
      <c r="V422" s="618"/>
      <c r="W422" s="618"/>
      <c r="X422" s="618"/>
      <c r="Y422" s="618"/>
      <c r="Z422" s="618"/>
      <c r="AA422" s="618"/>
      <c r="AB422" s="618"/>
      <c r="AC422" s="618"/>
      <c r="AD422" s="618"/>
      <c r="AE422" s="618"/>
      <c r="AF422" s="618"/>
      <c r="AG422" s="618"/>
      <c r="AH422" s="618"/>
      <c r="AI422" s="618"/>
      <c r="AJ422" s="618"/>
      <c r="AK422" s="618"/>
      <c r="AL422" s="618"/>
      <c r="AM422" s="618"/>
      <c r="AN422" s="618"/>
      <c r="AO422" s="618"/>
      <c r="AP422" s="618"/>
      <c r="AQ422" s="618"/>
      <c r="AR422" s="618"/>
      <c r="AS422" s="618"/>
      <c r="AT422" s="618"/>
    </row>
    <row r="423" spans="1:46" ht="14.25" customHeight="1" x14ac:dyDescent="0.45">
      <c r="A423" s="618"/>
      <c r="B423" s="618"/>
      <c r="C423" s="618"/>
      <c r="D423" s="5"/>
      <c r="E423" s="6"/>
      <c r="F423" s="6"/>
      <c r="G423" s="6"/>
      <c r="H423" s="6"/>
      <c r="I423" s="618"/>
      <c r="J423" s="618"/>
      <c r="K423" s="618"/>
      <c r="L423" s="618"/>
      <c r="M423" s="618"/>
      <c r="N423" s="618"/>
      <c r="O423" s="618"/>
      <c r="P423" s="618"/>
      <c r="Q423" s="618"/>
      <c r="R423" s="618"/>
      <c r="S423" s="618"/>
      <c r="T423" s="618"/>
      <c r="U423" s="618"/>
      <c r="V423" s="618"/>
      <c r="W423" s="618"/>
      <c r="X423" s="618"/>
      <c r="Y423" s="618"/>
      <c r="Z423" s="618"/>
      <c r="AA423" s="618"/>
      <c r="AB423" s="618"/>
      <c r="AC423" s="618"/>
      <c r="AD423" s="618"/>
      <c r="AE423" s="618"/>
      <c r="AF423" s="618"/>
      <c r="AG423" s="618"/>
      <c r="AH423" s="618"/>
      <c r="AI423" s="618"/>
      <c r="AJ423" s="618"/>
      <c r="AK423" s="618"/>
      <c r="AL423" s="618"/>
      <c r="AM423" s="618"/>
      <c r="AN423" s="618"/>
      <c r="AO423" s="618"/>
      <c r="AP423" s="618"/>
      <c r="AQ423" s="618"/>
      <c r="AR423" s="618"/>
      <c r="AS423" s="618"/>
      <c r="AT423" s="618"/>
    </row>
    <row r="424" spans="1:46" ht="14.25" customHeight="1" x14ac:dyDescent="0.45">
      <c r="A424" s="618"/>
      <c r="B424" s="618"/>
      <c r="C424" s="618"/>
      <c r="D424" s="5"/>
      <c r="E424" s="6"/>
      <c r="F424" s="6"/>
      <c r="G424" s="6"/>
      <c r="H424" s="6"/>
      <c r="I424" s="618"/>
      <c r="J424" s="618"/>
      <c r="K424" s="618"/>
      <c r="L424" s="618"/>
      <c r="M424" s="618"/>
      <c r="N424" s="618"/>
      <c r="O424" s="618"/>
      <c r="P424" s="618"/>
      <c r="Q424" s="618"/>
      <c r="R424" s="618"/>
      <c r="S424" s="618"/>
      <c r="T424" s="618"/>
      <c r="U424" s="618"/>
      <c r="V424" s="618"/>
      <c r="W424" s="618"/>
      <c r="X424" s="618"/>
      <c r="Y424" s="618"/>
      <c r="Z424" s="618"/>
      <c r="AA424" s="618"/>
      <c r="AB424" s="618"/>
      <c r="AC424" s="618"/>
      <c r="AD424" s="618"/>
      <c r="AE424" s="618"/>
      <c r="AF424" s="618"/>
      <c r="AG424" s="618"/>
      <c r="AH424" s="618"/>
      <c r="AI424" s="618"/>
      <c r="AJ424" s="618"/>
      <c r="AK424" s="618"/>
      <c r="AL424" s="618"/>
      <c r="AM424" s="618"/>
      <c r="AN424" s="618"/>
      <c r="AO424" s="618"/>
      <c r="AP424" s="618"/>
      <c r="AQ424" s="618"/>
      <c r="AR424" s="618"/>
      <c r="AS424" s="618"/>
      <c r="AT424" s="618"/>
    </row>
    <row r="425" spans="1:46" ht="14.25" customHeight="1" x14ac:dyDescent="0.45">
      <c r="A425" s="618"/>
      <c r="B425" s="618"/>
      <c r="C425" s="618"/>
      <c r="D425" s="5"/>
      <c r="E425" s="6"/>
      <c r="F425" s="6"/>
      <c r="G425" s="6"/>
      <c r="H425" s="6"/>
      <c r="I425" s="618"/>
      <c r="J425" s="618"/>
      <c r="K425" s="618"/>
      <c r="L425" s="618"/>
      <c r="M425" s="618"/>
      <c r="N425" s="618"/>
      <c r="O425" s="618"/>
      <c r="P425" s="618"/>
      <c r="Q425" s="618"/>
      <c r="R425" s="618"/>
      <c r="S425" s="618"/>
      <c r="T425" s="618"/>
      <c r="U425" s="618"/>
      <c r="V425" s="618"/>
      <c r="W425" s="618"/>
      <c r="X425" s="618"/>
      <c r="Y425" s="618"/>
      <c r="Z425" s="618"/>
      <c r="AA425" s="618"/>
      <c r="AB425" s="618"/>
      <c r="AC425" s="618"/>
      <c r="AD425" s="618"/>
      <c r="AE425" s="618"/>
      <c r="AF425" s="618"/>
      <c r="AG425" s="618"/>
      <c r="AH425" s="618"/>
      <c r="AI425" s="618"/>
      <c r="AJ425" s="618"/>
      <c r="AK425" s="618"/>
      <c r="AL425" s="618"/>
      <c r="AM425" s="618"/>
      <c r="AN425" s="618"/>
      <c r="AO425" s="618"/>
      <c r="AP425" s="618"/>
      <c r="AQ425" s="618"/>
      <c r="AR425" s="618"/>
      <c r="AS425" s="618"/>
      <c r="AT425" s="618"/>
    </row>
    <row r="426" spans="1:46" ht="14.25" customHeight="1" x14ac:dyDescent="0.45">
      <c r="A426" s="618"/>
      <c r="B426" s="618"/>
      <c r="C426" s="618"/>
      <c r="D426" s="5"/>
      <c r="E426" s="6"/>
      <c r="F426" s="6"/>
      <c r="G426" s="6"/>
      <c r="H426" s="6"/>
      <c r="I426" s="618"/>
      <c r="J426" s="618"/>
      <c r="K426" s="618"/>
      <c r="L426" s="618"/>
      <c r="M426" s="618"/>
      <c r="N426" s="618"/>
      <c r="O426" s="618"/>
      <c r="P426" s="618"/>
      <c r="Q426" s="618"/>
      <c r="R426" s="618"/>
      <c r="S426" s="618"/>
      <c r="T426" s="618"/>
      <c r="U426" s="618"/>
      <c r="V426" s="618"/>
      <c r="W426" s="618"/>
      <c r="X426" s="618"/>
      <c r="Y426" s="618"/>
      <c r="Z426" s="618"/>
      <c r="AA426" s="618"/>
      <c r="AB426" s="618"/>
      <c r="AC426" s="618"/>
      <c r="AD426" s="618"/>
      <c r="AE426" s="618"/>
      <c r="AF426" s="618"/>
      <c r="AG426" s="618"/>
      <c r="AH426" s="618"/>
      <c r="AI426" s="618"/>
      <c r="AJ426" s="618"/>
      <c r="AK426" s="618"/>
      <c r="AL426" s="618"/>
      <c r="AM426" s="618"/>
      <c r="AN426" s="618"/>
      <c r="AO426" s="618"/>
      <c r="AP426" s="618"/>
      <c r="AQ426" s="618"/>
      <c r="AR426" s="618"/>
      <c r="AS426" s="618"/>
      <c r="AT426" s="618"/>
    </row>
    <row r="427" spans="1:46" ht="14.25" customHeight="1" x14ac:dyDescent="0.45">
      <c r="A427" s="618"/>
      <c r="B427" s="618"/>
      <c r="C427" s="618"/>
      <c r="D427" s="5"/>
      <c r="E427" s="6"/>
      <c r="F427" s="6"/>
      <c r="G427" s="6"/>
      <c r="H427" s="6"/>
      <c r="I427" s="618"/>
      <c r="J427" s="618"/>
      <c r="K427" s="618"/>
      <c r="L427" s="618"/>
      <c r="M427" s="618"/>
      <c r="N427" s="618"/>
      <c r="O427" s="618"/>
      <c r="P427" s="618"/>
      <c r="Q427" s="618"/>
      <c r="R427" s="618"/>
      <c r="S427" s="618"/>
      <c r="T427" s="618"/>
      <c r="U427" s="618"/>
      <c r="V427" s="618"/>
      <c r="W427" s="618"/>
      <c r="X427" s="618"/>
      <c r="Y427" s="618"/>
      <c r="Z427" s="618"/>
      <c r="AA427" s="618"/>
      <c r="AB427" s="618"/>
      <c r="AC427" s="618"/>
      <c r="AD427" s="618"/>
      <c r="AE427" s="618"/>
      <c r="AF427" s="618"/>
      <c r="AG427" s="618"/>
      <c r="AH427" s="618"/>
      <c r="AI427" s="618"/>
      <c r="AJ427" s="618"/>
      <c r="AK427" s="618"/>
      <c r="AL427" s="618"/>
      <c r="AM427" s="618"/>
      <c r="AN427" s="618"/>
      <c r="AO427" s="618"/>
      <c r="AP427" s="618"/>
      <c r="AQ427" s="618"/>
      <c r="AR427" s="618"/>
      <c r="AS427" s="618"/>
      <c r="AT427" s="618"/>
    </row>
    <row r="428" spans="1:46" ht="14.25" customHeight="1" x14ac:dyDescent="0.45">
      <c r="A428" s="618"/>
      <c r="B428" s="618"/>
      <c r="C428" s="618"/>
      <c r="D428" s="5"/>
      <c r="E428" s="6"/>
      <c r="F428" s="6"/>
      <c r="G428" s="6"/>
      <c r="H428" s="6"/>
      <c r="I428" s="618"/>
      <c r="J428" s="618"/>
      <c r="K428" s="618"/>
      <c r="L428" s="618"/>
      <c r="M428" s="618"/>
      <c r="N428" s="618"/>
      <c r="O428" s="618"/>
      <c r="P428" s="618"/>
      <c r="Q428" s="618"/>
      <c r="R428" s="618"/>
      <c r="S428" s="618"/>
      <c r="T428" s="618"/>
      <c r="U428" s="618"/>
      <c r="V428" s="618"/>
      <c r="W428" s="618"/>
      <c r="X428" s="618"/>
      <c r="Y428" s="618"/>
      <c r="Z428" s="618"/>
      <c r="AA428" s="618"/>
      <c r="AB428" s="618"/>
      <c r="AC428" s="618"/>
      <c r="AD428" s="618"/>
      <c r="AE428" s="618"/>
      <c r="AF428" s="618"/>
      <c r="AG428" s="618"/>
      <c r="AH428" s="618"/>
      <c r="AI428" s="618"/>
      <c r="AJ428" s="618"/>
      <c r="AK428" s="618"/>
      <c r="AL428" s="4"/>
      <c r="AM428" s="1"/>
      <c r="AN428" s="3"/>
      <c r="AO428" s="3"/>
      <c r="AP428" s="3"/>
      <c r="AQ428" s="3"/>
      <c r="AR428" s="3"/>
      <c r="AS428" s="3"/>
      <c r="AT428" s="3"/>
    </row>
    <row r="429" spans="1:46" ht="14.25" customHeight="1" x14ac:dyDescent="0.45">
      <c r="A429" s="618"/>
      <c r="B429" s="618"/>
      <c r="C429" s="618"/>
      <c r="D429" s="5"/>
      <c r="E429" s="6"/>
      <c r="F429" s="6"/>
      <c r="G429" s="6"/>
      <c r="H429" s="6"/>
      <c r="I429" s="618"/>
      <c r="J429" s="618"/>
      <c r="K429" s="618"/>
      <c r="L429" s="618"/>
      <c r="M429" s="618"/>
      <c r="N429" s="618"/>
      <c r="O429" s="618"/>
      <c r="P429" s="618"/>
      <c r="Q429" s="618"/>
      <c r="R429" s="618"/>
      <c r="S429" s="618"/>
      <c r="T429" s="618"/>
      <c r="U429" s="618"/>
      <c r="V429" s="618"/>
      <c r="W429" s="618"/>
      <c r="X429" s="618"/>
      <c r="Y429" s="618"/>
      <c r="Z429" s="618"/>
      <c r="AA429" s="618"/>
      <c r="AB429" s="618"/>
      <c r="AC429" s="618"/>
      <c r="AD429" s="618"/>
      <c r="AE429" s="618"/>
      <c r="AF429" s="618"/>
      <c r="AG429" s="618"/>
      <c r="AH429" s="618"/>
      <c r="AI429" s="618"/>
      <c r="AJ429" s="618"/>
      <c r="AK429" s="618"/>
      <c r="AL429" s="4"/>
      <c r="AM429" s="1"/>
      <c r="AN429" s="3"/>
      <c r="AO429" s="3"/>
      <c r="AP429" s="3"/>
      <c r="AQ429" s="3"/>
      <c r="AR429" s="3"/>
      <c r="AS429" s="3"/>
      <c r="AT429" s="3"/>
    </row>
    <row r="430" spans="1:46" ht="14.25" customHeight="1" x14ac:dyDescent="0.45">
      <c r="A430" s="618"/>
      <c r="B430" s="618"/>
      <c r="C430" s="618"/>
      <c r="D430" s="5"/>
      <c r="E430" s="6"/>
      <c r="F430" s="6"/>
      <c r="G430" s="6"/>
      <c r="H430" s="6"/>
      <c r="I430" s="618"/>
      <c r="J430" s="618"/>
      <c r="K430" s="618"/>
      <c r="L430" s="618"/>
      <c r="M430" s="618"/>
      <c r="N430" s="618"/>
      <c r="O430" s="618"/>
      <c r="P430" s="618"/>
      <c r="Q430" s="618"/>
      <c r="R430" s="618"/>
      <c r="S430" s="618"/>
      <c r="T430" s="618"/>
      <c r="U430" s="618"/>
      <c r="V430" s="618"/>
      <c r="W430" s="618"/>
      <c r="X430" s="618"/>
      <c r="Y430" s="618"/>
      <c r="Z430" s="618"/>
      <c r="AA430" s="618"/>
      <c r="AB430" s="618"/>
      <c r="AC430" s="618"/>
      <c r="AD430" s="618"/>
      <c r="AE430" s="618"/>
      <c r="AF430" s="618"/>
      <c r="AG430" s="618"/>
      <c r="AH430" s="618"/>
      <c r="AI430" s="618"/>
      <c r="AJ430" s="618"/>
      <c r="AK430" s="618"/>
      <c r="AL430" s="4"/>
      <c r="AM430" s="1"/>
      <c r="AN430" s="3"/>
      <c r="AO430" s="3"/>
      <c r="AP430" s="3"/>
      <c r="AQ430" s="3"/>
      <c r="AR430" s="3"/>
      <c r="AS430" s="3"/>
      <c r="AT430" s="3"/>
    </row>
    <row r="431" spans="1:46" ht="14.25" customHeight="1" x14ac:dyDescent="0.45">
      <c r="A431" s="618"/>
      <c r="B431" s="618"/>
      <c r="C431" s="618"/>
      <c r="D431" s="5"/>
      <c r="E431" s="6"/>
      <c r="F431" s="6"/>
      <c r="G431" s="6"/>
      <c r="H431" s="6"/>
      <c r="I431" s="618"/>
      <c r="J431" s="618"/>
      <c r="K431" s="618"/>
      <c r="L431" s="618"/>
      <c r="M431" s="618"/>
      <c r="N431" s="618"/>
      <c r="O431" s="618"/>
      <c r="P431" s="618"/>
      <c r="Q431" s="618"/>
      <c r="R431" s="618"/>
      <c r="S431" s="618"/>
      <c r="T431" s="618"/>
      <c r="U431" s="618"/>
      <c r="V431" s="618"/>
      <c r="W431" s="618"/>
      <c r="X431" s="618"/>
      <c r="Y431" s="618"/>
      <c r="Z431" s="618"/>
      <c r="AA431" s="618"/>
      <c r="AB431" s="618"/>
      <c r="AC431" s="618"/>
      <c r="AD431" s="618"/>
      <c r="AE431" s="618"/>
      <c r="AF431" s="618"/>
      <c r="AG431" s="618"/>
      <c r="AH431" s="618"/>
      <c r="AI431" s="618"/>
      <c r="AJ431" s="618"/>
      <c r="AK431" s="618"/>
      <c r="AL431" s="4"/>
      <c r="AM431" s="1"/>
      <c r="AN431" s="3"/>
      <c r="AO431" s="3"/>
      <c r="AP431" s="3"/>
      <c r="AQ431" s="3"/>
      <c r="AR431" s="3"/>
      <c r="AS431" s="3"/>
      <c r="AT431" s="3"/>
    </row>
    <row r="432" spans="1:46" ht="14.25" customHeight="1" x14ac:dyDescent="0.45">
      <c r="A432" s="618"/>
      <c r="B432" s="618"/>
      <c r="C432" s="618"/>
      <c r="D432" s="5"/>
      <c r="E432" s="6"/>
      <c r="F432" s="6"/>
      <c r="G432" s="6"/>
      <c r="H432" s="6"/>
      <c r="I432" s="618"/>
      <c r="J432" s="618"/>
      <c r="K432" s="618"/>
      <c r="L432" s="618"/>
      <c r="M432" s="618"/>
      <c r="N432" s="618"/>
      <c r="O432" s="618"/>
      <c r="P432" s="618"/>
      <c r="Q432" s="618"/>
      <c r="R432" s="618"/>
      <c r="S432" s="618"/>
      <c r="T432" s="618"/>
      <c r="U432" s="618"/>
      <c r="V432" s="618"/>
      <c r="W432" s="618"/>
      <c r="X432" s="618"/>
      <c r="Y432" s="618"/>
      <c r="Z432" s="618"/>
      <c r="AA432" s="618"/>
      <c r="AB432" s="618"/>
      <c r="AC432" s="618"/>
      <c r="AD432" s="618"/>
      <c r="AE432" s="618"/>
      <c r="AF432" s="618"/>
      <c r="AG432" s="618"/>
      <c r="AH432" s="618"/>
      <c r="AI432" s="618"/>
      <c r="AJ432" s="618"/>
      <c r="AK432" s="618"/>
      <c r="AL432" s="4"/>
      <c r="AM432" s="1"/>
      <c r="AN432" s="3"/>
      <c r="AO432" s="3"/>
      <c r="AP432" s="3"/>
      <c r="AQ432" s="3"/>
      <c r="AR432" s="3"/>
      <c r="AS432" s="3"/>
      <c r="AT432" s="3"/>
    </row>
    <row r="433" spans="1:46" ht="14.25" customHeight="1" x14ac:dyDescent="0.45">
      <c r="A433" s="618"/>
      <c r="B433" s="618"/>
      <c r="C433" s="618"/>
      <c r="D433" s="5"/>
      <c r="E433" s="6"/>
      <c r="F433" s="6"/>
      <c r="G433" s="6"/>
      <c r="H433" s="6"/>
      <c r="I433" s="618"/>
      <c r="J433" s="618"/>
      <c r="K433" s="618"/>
      <c r="L433" s="618"/>
      <c r="M433" s="618"/>
      <c r="N433" s="618"/>
      <c r="O433" s="618"/>
      <c r="P433" s="618"/>
      <c r="Q433" s="618"/>
      <c r="R433" s="618"/>
      <c r="S433" s="618"/>
      <c r="T433" s="618"/>
      <c r="U433" s="618"/>
      <c r="V433" s="618"/>
      <c r="W433" s="618"/>
      <c r="X433" s="618"/>
      <c r="Y433" s="618"/>
      <c r="Z433" s="618"/>
      <c r="AA433" s="618"/>
      <c r="AB433" s="618"/>
      <c r="AC433" s="618"/>
      <c r="AD433" s="618"/>
      <c r="AE433" s="618"/>
      <c r="AF433" s="618"/>
      <c r="AG433" s="618"/>
      <c r="AH433" s="618"/>
      <c r="AI433" s="618"/>
      <c r="AJ433" s="618"/>
      <c r="AK433" s="618"/>
      <c r="AL433" s="4"/>
      <c r="AM433" s="1"/>
      <c r="AN433" s="3"/>
      <c r="AO433" s="3"/>
      <c r="AP433" s="3"/>
      <c r="AQ433" s="3"/>
      <c r="AR433" s="3"/>
      <c r="AS433" s="3"/>
      <c r="AT433" s="3"/>
    </row>
    <row r="434" spans="1:46" ht="14.25" customHeight="1" x14ac:dyDescent="0.45">
      <c r="A434" s="618"/>
      <c r="B434" s="618"/>
      <c r="C434" s="618"/>
      <c r="D434" s="5"/>
      <c r="E434" s="6"/>
      <c r="F434" s="6"/>
      <c r="G434" s="6"/>
      <c r="H434" s="6"/>
      <c r="I434" s="618"/>
      <c r="J434" s="618"/>
      <c r="K434" s="618"/>
      <c r="L434" s="618"/>
      <c r="M434" s="618"/>
      <c r="N434" s="618"/>
      <c r="O434" s="618"/>
      <c r="P434" s="618"/>
      <c r="Q434" s="618"/>
      <c r="R434" s="618"/>
      <c r="S434" s="618"/>
      <c r="T434" s="618"/>
      <c r="U434" s="618"/>
      <c r="V434" s="618"/>
      <c r="W434" s="618"/>
      <c r="X434" s="618"/>
      <c r="Y434" s="618"/>
      <c r="Z434" s="618"/>
      <c r="AA434" s="618"/>
      <c r="AB434" s="618"/>
      <c r="AC434" s="618"/>
      <c r="AD434" s="618"/>
      <c r="AE434" s="618"/>
      <c r="AF434" s="618"/>
      <c r="AG434" s="618"/>
      <c r="AH434" s="618"/>
      <c r="AI434" s="618"/>
      <c r="AJ434" s="618"/>
      <c r="AK434" s="618"/>
      <c r="AL434" s="4"/>
      <c r="AM434" s="1"/>
      <c r="AN434" s="3"/>
      <c r="AO434" s="3"/>
      <c r="AP434" s="3"/>
      <c r="AQ434" s="3"/>
      <c r="AR434" s="3"/>
      <c r="AS434" s="3"/>
      <c r="AT434" s="3"/>
    </row>
    <row r="435" spans="1:46" ht="14.25" customHeight="1" x14ac:dyDescent="0.45">
      <c r="A435" s="618"/>
      <c r="B435" s="618"/>
      <c r="C435" s="618"/>
      <c r="D435" s="5"/>
      <c r="E435" s="6"/>
      <c r="F435" s="6"/>
      <c r="G435" s="6"/>
      <c r="H435" s="6"/>
      <c r="I435" s="618"/>
      <c r="J435" s="618"/>
      <c r="K435" s="618"/>
      <c r="L435" s="618"/>
      <c r="M435" s="618"/>
      <c r="N435" s="618"/>
      <c r="O435" s="618"/>
      <c r="P435" s="618"/>
      <c r="Q435" s="618"/>
      <c r="R435" s="618"/>
      <c r="S435" s="618"/>
      <c r="T435" s="618"/>
      <c r="U435" s="618"/>
      <c r="V435" s="618"/>
      <c r="W435" s="618"/>
      <c r="X435" s="618"/>
      <c r="Y435" s="618"/>
      <c r="Z435" s="618"/>
      <c r="AA435" s="618"/>
      <c r="AB435" s="618"/>
      <c r="AC435" s="618"/>
      <c r="AD435" s="618"/>
      <c r="AE435" s="618"/>
      <c r="AF435" s="618"/>
      <c r="AG435" s="618"/>
      <c r="AH435" s="618"/>
      <c r="AI435" s="618"/>
      <c r="AJ435" s="618"/>
      <c r="AK435" s="618"/>
      <c r="AL435" s="4"/>
      <c r="AM435" s="1"/>
      <c r="AN435" s="3"/>
      <c r="AO435" s="3"/>
      <c r="AP435" s="3"/>
      <c r="AQ435" s="3"/>
      <c r="AR435" s="3"/>
      <c r="AS435" s="3"/>
      <c r="AT435" s="3"/>
    </row>
    <row r="436" spans="1:46" ht="14.25" customHeight="1" x14ac:dyDescent="0.45">
      <c r="A436" s="618"/>
      <c r="B436" s="618"/>
      <c r="C436" s="618"/>
      <c r="D436" s="5"/>
      <c r="E436" s="6"/>
      <c r="F436" s="6"/>
      <c r="G436" s="6"/>
      <c r="H436" s="6"/>
      <c r="I436" s="618"/>
      <c r="J436" s="618"/>
      <c r="K436" s="618"/>
      <c r="L436" s="618"/>
      <c r="M436" s="618"/>
      <c r="N436" s="618"/>
      <c r="O436" s="618"/>
      <c r="P436" s="618"/>
      <c r="Q436" s="618"/>
      <c r="R436" s="618"/>
      <c r="S436" s="618"/>
      <c r="T436" s="618"/>
      <c r="U436" s="618"/>
      <c r="V436" s="618"/>
      <c r="W436" s="618"/>
      <c r="X436" s="618"/>
      <c r="Y436" s="618"/>
      <c r="Z436" s="618"/>
      <c r="AA436" s="618"/>
      <c r="AB436" s="618"/>
      <c r="AC436" s="618"/>
      <c r="AD436" s="618"/>
      <c r="AE436" s="618"/>
      <c r="AF436" s="618"/>
      <c r="AG436" s="618"/>
      <c r="AH436" s="618"/>
      <c r="AI436" s="618"/>
      <c r="AJ436" s="618"/>
      <c r="AK436" s="618"/>
      <c r="AL436" s="4"/>
      <c r="AM436" s="1"/>
      <c r="AN436" s="3"/>
      <c r="AO436" s="3"/>
      <c r="AP436" s="3"/>
      <c r="AQ436" s="3"/>
      <c r="AR436" s="3"/>
      <c r="AS436" s="3"/>
      <c r="AT436" s="3"/>
    </row>
    <row r="437" spans="1:46" ht="14.25" customHeight="1" x14ac:dyDescent="0.45">
      <c r="A437" s="618"/>
      <c r="B437" s="618"/>
      <c r="C437" s="618"/>
      <c r="D437" s="5"/>
      <c r="E437" s="6"/>
      <c r="F437" s="6"/>
      <c r="G437" s="6"/>
      <c r="H437" s="6"/>
      <c r="I437" s="618"/>
      <c r="J437" s="618"/>
      <c r="K437" s="618"/>
      <c r="L437" s="618"/>
      <c r="M437" s="618"/>
      <c r="N437" s="618"/>
      <c r="O437" s="618"/>
      <c r="P437" s="618"/>
      <c r="Q437" s="618"/>
      <c r="R437" s="618"/>
      <c r="S437" s="618"/>
      <c r="T437" s="618"/>
      <c r="U437" s="618"/>
      <c r="V437" s="618"/>
      <c r="W437" s="618"/>
      <c r="X437" s="618"/>
      <c r="Y437" s="618"/>
      <c r="Z437" s="618"/>
      <c r="AA437" s="618"/>
      <c r="AB437" s="618"/>
      <c r="AC437" s="618"/>
      <c r="AD437" s="618"/>
      <c r="AE437" s="618"/>
      <c r="AF437" s="618"/>
      <c r="AG437" s="618"/>
      <c r="AH437" s="618"/>
      <c r="AI437" s="618"/>
      <c r="AJ437" s="618"/>
      <c r="AK437" s="618"/>
      <c r="AL437" s="4"/>
      <c r="AM437" s="1"/>
      <c r="AN437" s="3"/>
      <c r="AO437" s="3"/>
      <c r="AP437" s="3"/>
      <c r="AQ437" s="3"/>
      <c r="AR437" s="3"/>
      <c r="AS437" s="3"/>
      <c r="AT437" s="3"/>
    </row>
    <row r="438" spans="1:46" ht="14.25" customHeight="1" x14ac:dyDescent="0.45">
      <c r="A438" s="618"/>
      <c r="B438" s="618"/>
      <c r="C438" s="618"/>
      <c r="D438" s="5"/>
      <c r="E438" s="6"/>
      <c r="F438" s="6"/>
      <c r="G438" s="6"/>
      <c r="H438" s="6"/>
      <c r="I438" s="618"/>
      <c r="J438" s="618"/>
      <c r="K438" s="618"/>
      <c r="L438" s="618"/>
      <c r="M438" s="618"/>
      <c r="N438" s="618"/>
      <c r="O438" s="618"/>
      <c r="P438" s="618"/>
      <c r="Q438" s="618"/>
      <c r="R438" s="618"/>
      <c r="S438" s="618"/>
      <c r="T438" s="618"/>
      <c r="U438" s="618"/>
      <c r="V438" s="618"/>
      <c r="W438" s="618"/>
      <c r="X438" s="618"/>
      <c r="Y438" s="618"/>
      <c r="Z438" s="618"/>
      <c r="AA438" s="618"/>
      <c r="AB438" s="618"/>
      <c r="AC438" s="618"/>
      <c r="AD438" s="618"/>
      <c r="AE438" s="618"/>
      <c r="AF438" s="618"/>
      <c r="AG438" s="618"/>
      <c r="AH438" s="618"/>
      <c r="AI438" s="618"/>
      <c r="AJ438" s="618"/>
      <c r="AK438" s="618"/>
      <c r="AL438" s="4"/>
      <c r="AM438" s="1"/>
      <c r="AN438" s="3"/>
      <c r="AO438" s="3"/>
      <c r="AP438" s="3"/>
      <c r="AQ438" s="3"/>
      <c r="AR438" s="3"/>
      <c r="AS438" s="3"/>
      <c r="AT438" s="3"/>
    </row>
    <row r="439" spans="1:46" ht="14.25" customHeight="1" x14ac:dyDescent="0.45">
      <c r="A439" s="618"/>
      <c r="B439" s="618"/>
      <c r="C439" s="618"/>
      <c r="D439" s="5"/>
      <c r="E439" s="6"/>
      <c r="F439" s="6"/>
      <c r="G439" s="6"/>
      <c r="H439" s="6"/>
      <c r="I439" s="618"/>
      <c r="J439" s="618"/>
      <c r="K439" s="618"/>
      <c r="L439" s="618"/>
      <c r="M439" s="618"/>
      <c r="N439" s="618"/>
      <c r="O439" s="618"/>
      <c r="P439" s="618"/>
      <c r="Q439" s="618"/>
      <c r="R439" s="618"/>
      <c r="S439" s="618"/>
      <c r="T439" s="618"/>
      <c r="U439" s="618"/>
      <c r="V439" s="618"/>
      <c r="W439" s="618"/>
      <c r="X439" s="618"/>
      <c r="Y439" s="618"/>
      <c r="Z439" s="618"/>
      <c r="AA439" s="618"/>
      <c r="AB439" s="618"/>
      <c r="AC439" s="618"/>
      <c r="AD439" s="618"/>
      <c r="AE439" s="618"/>
      <c r="AF439" s="618"/>
      <c r="AG439" s="618"/>
      <c r="AH439" s="618"/>
      <c r="AI439" s="618"/>
      <c r="AJ439" s="618"/>
      <c r="AK439" s="618"/>
      <c r="AL439" s="4"/>
      <c r="AM439" s="1"/>
      <c r="AN439" s="3"/>
      <c r="AO439" s="3"/>
      <c r="AP439" s="3"/>
      <c r="AQ439" s="3"/>
      <c r="AR439" s="3"/>
      <c r="AS439" s="3"/>
      <c r="AT439" s="3"/>
    </row>
    <row r="440" spans="1:46" ht="14.25" customHeight="1" x14ac:dyDescent="0.45">
      <c r="A440" s="618"/>
      <c r="B440" s="618"/>
      <c r="C440" s="618"/>
      <c r="D440" s="5"/>
      <c r="E440" s="6"/>
      <c r="F440" s="6"/>
      <c r="G440" s="6"/>
      <c r="H440" s="6"/>
      <c r="I440" s="618"/>
      <c r="J440" s="618"/>
      <c r="K440" s="618"/>
      <c r="L440" s="618"/>
      <c r="M440" s="618"/>
      <c r="N440" s="618"/>
      <c r="O440" s="618"/>
      <c r="P440" s="618"/>
      <c r="Q440" s="618"/>
      <c r="R440" s="618"/>
      <c r="S440" s="618"/>
      <c r="T440" s="618"/>
      <c r="U440" s="618"/>
      <c r="V440" s="618"/>
      <c r="W440" s="618"/>
      <c r="X440" s="618"/>
      <c r="Y440" s="618"/>
      <c r="Z440" s="618"/>
      <c r="AA440" s="618"/>
      <c r="AB440" s="618"/>
      <c r="AC440" s="618"/>
      <c r="AD440" s="618"/>
      <c r="AE440" s="618"/>
      <c r="AF440" s="618"/>
      <c r="AG440" s="618"/>
      <c r="AH440" s="618"/>
      <c r="AI440" s="618"/>
      <c r="AJ440" s="618"/>
      <c r="AK440" s="618"/>
      <c r="AL440" s="4"/>
      <c r="AM440" s="1"/>
      <c r="AN440" s="3"/>
      <c r="AO440" s="3"/>
      <c r="AP440" s="3"/>
      <c r="AQ440" s="3"/>
      <c r="AR440" s="3"/>
      <c r="AS440" s="3"/>
      <c r="AT440" s="3"/>
    </row>
    <row r="441" spans="1:46" ht="14.25" customHeight="1" x14ac:dyDescent="0.45">
      <c r="A441" s="618"/>
      <c r="B441" s="618"/>
      <c r="C441" s="618"/>
      <c r="D441" s="5"/>
      <c r="E441" s="6"/>
      <c r="F441" s="6"/>
      <c r="G441" s="6"/>
      <c r="H441" s="6"/>
      <c r="I441" s="618"/>
      <c r="J441" s="618"/>
      <c r="K441" s="618"/>
      <c r="L441" s="618"/>
      <c r="M441" s="618"/>
      <c r="N441" s="618"/>
      <c r="O441" s="618"/>
      <c r="P441" s="618"/>
      <c r="Q441" s="618"/>
      <c r="R441" s="618"/>
      <c r="S441" s="618"/>
      <c r="T441" s="618"/>
      <c r="U441" s="618"/>
      <c r="V441" s="618"/>
      <c r="W441" s="618"/>
      <c r="X441" s="618"/>
      <c r="Y441" s="618"/>
      <c r="Z441" s="618"/>
      <c r="AA441" s="618"/>
      <c r="AB441" s="618"/>
      <c r="AC441" s="618"/>
      <c r="AD441" s="618"/>
      <c r="AE441" s="618"/>
      <c r="AF441" s="618"/>
      <c r="AG441" s="618"/>
      <c r="AH441" s="618"/>
      <c r="AI441" s="618"/>
      <c r="AJ441" s="618"/>
      <c r="AK441" s="618"/>
      <c r="AL441" s="4"/>
      <c r="AM441" s="1"/>
      <c r="AN441" s="3"/>
      <c r="AO441" s="3"/>
      <c r="AP441" s="3"/>
      <c r="AQ441" s="3"/>
      <c r="AR441" s="3"/>
      <c r="AS441" s="3"/>
      <c r="AT441" s="3"/>
    </row>
    <row r="442" spans="1:46" ht="14.25" customHeight="1" x14ac:dyDescent="0.45">
      <c r="A442" s="618"/>
      <c r="B442" s="618"/>
      <c r="C442" s="618"/>
      <c r="D442" s="5"/>
      <c r="E442" s="6"/>
      <c r="F442" s="6"/>
      <c r="G442" s="6"/>
      <c r="H442" s="6"/>
      <c r="I442" s="618"/>
      <c r="J442" s="618"/>
      <c r="K442" s="618"/>
      <c r="L442" s="618"/>
      <c r="M442" s="618"/>
      <c r="N442" s="618"/>
      <c r="O442" s="618"/>
      <c r="P442" s="618"/>
      <c r="Q442" s="618"/>
      <c r="R442" s="618"/>
      <c r="S442" s="618"/>
      <c r="T442" s="618"/>
      <c r="U442" s="618"/>
      <c r="V442" s="618"/>
      <c r="W442" s="618"/>
      <c r="X442" s="618"/>
      <c r="Y442" s="618"/>
      <c r="Z442" s="618"/>
      <c r="AA442" s="618"/>
      <c r="AB442" s="618"/>
      <c r="AC442" s="618"/>
      <c r="AD442" s="618"/>
      <c r="AE442" s="618"/>
      <c r="AF442" s="618"/>
      <c r="AG442" s="618"/>
      <c r="AH442" s="618"/>
      <c r="AI442" s="618"/>
      <c r="AJ442" s="618"/>
      <c r="AK442" s="618"/>
      <c r="AL442" s="4"/>
      <c r="AM442" s="1"/>
      <c r="AN442" s="3"/>
      <c r="AO442" s="3"/>
      <c r="AP442" s="3"/>
      <c r="AQ442" s="3"/>
      <c r="AR442" s="3"/>
      <c r="AS442" s="3"/>
      <c r="AT442" s="3"/>
    </row>
    <row r="443" spans="1:46" ht="14.25" customHeight="1" x14ac:dyDescent="0.45">
      <c r="A443" s="618"/>
      <c r="B443" s="618"/>
      <c r="C443" s="618"/>
      <c r="D443" s="5"/>
      <c r="E443" s="6"/>
      <c r="F443" s="6"/>
      <c r="G443" s="6"/>
      <c r="H443" s="6"/>
      <c r="I443" s="618"/>
      <c r="J443" s="618"/>
      <c r="K443" s="618"/>
      <c r="L443" s="618"/>
      <c r="M443" s="618"/>
      <c r="N443" s="618"/>
      <c r="O443" s="618"/>
      <c r="P443" s="618"/>
      <c r="Q443" s="618"/>
      <c r="R443" s="618"/>
      <c r="S443" s="618"/>
      <c r="T443" s="618"/>
      <c r="U443" s="618"/>
      <c r="V443" s="618"/>
      <c r="W443" s="618"/>
      <c r="X443" s="618"/>
      <c r="Y443" s="618"/>
      <c r="Z443" s="618"/>
      <c r="AA443" s="618"/>
      <c r="AB443" s="618"/>
      <c r="AC443" s="618"/>
      <c r="AD443" s="618"/>
      <c r="AE443" s="618"/>
      <c r="AF443" s="618"/>
      <c r="AG443" s="618"/>
      <c r="AH443" s="618"/>
      <c r="AI443" s="618"/>
      <c r="AJ443" s="618"/>
      <c r="AK443" s="618"/>
      <c r="AL443" s="4"/>
      <c r="AM443" s="1"/>
      <c r="AN443" s="3"/>
      <c r="AO443" s="3"/>
      <c r="AP443" s="3"/>
      <c r="AQ443" s="3"/>
      <c r="AR443" s="3"/>
      <c r="AS443" s="3"/>
      <c r="AT443" s="3"/>
    </row>
    <row r="444" spans="1:46" ht="14.25" customHeight="1" x14ac:dyDescent="0.45">
      <c r="A444" s="618"/>
      <c r="B444" s="618"/>
      <c r="C444" s="618"/>
      <c r="D444" s="5"/>
      <c r="E444" s="6"/>
      <c r="F444" s="6"/>
      <c r="G444" s="6"/>
      <c r="H444" s="6"/>
      <c r="I444" s="618"/>
      <c r="J444" s="618"/>
      <c r="K444" s="618"/>
      <c r="L444" s="618"/>
      <c r="M444" s="618"/>
      <c r="N444" s="618"/>
      <c r="O444" s="618"/>
      <c r="P444" s="618"/>
      <c r="Q444" s="618"/>
      <c r="R444" s="618"/>
      <c r="S444" s="618"/>
      <c r="T444" s="618"/>
      <c r="U444" s="618"/>
      <c r="V444" s="618"/>
      <c r="W444" s="618"/>
      <c r="X444" s="618"/>
      <c r="Y444" s="618"/>
      <c r="Z444" s="618"/>
      <c r="AA444" s="618"/>
      <c r="AB444" s="618"/>
      <c r="AC444" s="618"/>
      <c r="AD444" s="618"/>
      <c r="AE444" s="618"/>
      <c r="AF444" s="618"/>
      <c r="AG444" s="618"/>
      <c r="AH444" s="618"/>
      <c r="AI444" s="618"/>
      <c r="AJ444" s="618"/>
      <c r="AK444" s="618"/>
      <c r="AL444" s="4"/>
      <c r="AM444" s="1"/>
      <c r="AN444" s="3"/>
      <c r="AO444" s="3"/>
      <c r="AP444" s="3"/>
      <c r="AQ444" s="3"/>
      <c r="AR444" s="3"/>
      <c r="AS444" s="3"/>
      <c r="AT444" s="3"/>
    </row>
    <row r="445" spans="1:46" ht="14.25" customHeight="1" x14ac:dyDescent="0.45">
      <c r="A445" s="618"/>
      <c r="B445" s="618"/>
      <c r="C445" s="618"/>
      <c r="D445" s="5"/>
      <c r="E445" s="6"/>
      <c r="F445" s="6"/>
      <c r="G445" s="6"/>
      <c r="H445" s="6"/>
      <c r="I445" s="618"/>
      <c r="J445" s="618"/>
      <c r="K445" s="618"/>
      <c r="L445" s="618"/>
      <c r="M445" s="618"/>
      <c r="N445" s="618"/>
      <c r="O445" s="618"/>
      <c r="P445" s="618"/>
      <c r="Q445" s="618"/>
      <c r="R445" s="618"/>
      <c r="S445" s="618"/>
      <c r="T445" s="618"/>
      <c r="U445" s="618"/>
      <c r="V445" s="618"/>
      <c r="W445" s="618"/>
      <c r="X445" s="618"/>
      <c r="Y445" s="618"/>
      <c r="Z445" s="618"/>
      <c r="AA445" s="618"/>
      <c r="AB445" s="618"/>
      <c r="AC445" s="618"/>
      <c r="AD445" s="618"/>
      <c r="AE445" s="618"/>
      <c r="AF445" s="618"/>
      <c r="AG445" s="618"/>
      <c r="AH445" s="618"/>
      <c r="AI445" s="618"/>
      <c r="AJ445" s="618"/>
      <c r="AK445" s="618"/>
      <c r="AL445" s="4"/>
      <c r="AM445" s="1"/>
      <c r="AN445" s="3"/>
      <c r="AO445" s="3"/>
      <c r="AP445" s="3"/>
      <c r="AQ445" s="3"/>
      <c r="AR445" s="3"/>
      <c r="AS445" s="3"/>
      <c r="AT445" s="3"/>
    </row>
    <row r="446" spans="1:46" ht="14.25" customHeight="1" x14ac:dyDescent="0.45">
      <c r="A446" s="618"/>
      <c r="B446" s="618"/>
      <c r="C446" s="618"/>
      <c r="D446" s="5"/>
      <c r="E446" s="6"/>
      <c r="F446" s="6"/>
      <c r="G446" s="6"/>
      <c r="H446" s="6"/>
      <c r="I446" s="618"/>
      <c r="J446" s="618"/>
      <c r="K446" s="618"/>
      <c r="L446" s="618"/>
      <c r="M446" s="618"/>
      <c r="N446" s="618"/>
      <c r="O446" s="618"/>
      <c r="P446" s="618"/>
      <c r="Q446" s="618"/>
      <c r="R446" s="618"/>
      <c r="S446" s="618"/>
      <c r="T446" s="618"/>
      <c r="U446" s="618"/>
      <c r="V446" s="618"/>
      <c r="W446" s="618"/>
      <c r="X446" s="618"/>
      <c r="Y446" s="618"/>
      <c r="Z446" s="618"/>
      <c r="AA446" s="618"/>
      <c r="AB446" s="618"/>
      <c r="AC446" s="618"/>
      <c r="AD446" s="618"/>
      <c r="AE446" s="618"/>
      <c r="AF446" s="618"/>
      <c r="AG446" s="618"/>
      <c r="AH446" s="618"/>
      <c r="AI446" s="618"/>
      <c r="AJ446" s="618"/>
      <c r="AK446" s="618"/>
      <c r="AL446" s="4"/>
      <c r="AM446" s="1"/>
    </row>
    <row r="447" spans="1:46" ht="14.25" customHeight="1" x14ac:dyDescent="0.45">
      <c r="A447" s="618"/>
      <c r="B447" s="618"/>
      <c r="C447" s="618"/>
      <c r="D447" s="5"/>
      <c r="E447" s="6"/>
      <c r="F447" s="6"/>
      <c r="G447" s="6"/>
      <c r="H447" s="6"/>
      <c r="I447" s="618"/>
      <c r="J447" s="618"/>
      <c r="K447" s="618"/>
      <c r="L447" s="618"/>
      <c r="M447" s="618"/>
      <c r="N447" s="618"/>
      <c r="O447" s="618"/>
      <c r="P447" s="618"/>
      <c r="Q447" s="618"/>
      <c r="R447" s="618"/>
      <c r="S447" s="618"/>
      <c r="T447" s="618"/>
      <c r="U447" s="618"/>
      <c r="V447" s="618"/>
      <c r="W447" s="618"/>
      <c r="X447" s="618"/>
      <c r="Y447" s="618"/>
      <c r="Z447" s="618"/>
      <c r="AA447" s="618"/>
      <c r="AB447" s="618"/>
      <c r="AC447" s="618"/>
      <c r="AD447" s="618"/>
      <c r="AE447" s="618"/>
      <c r="AF447" s="618"/>
      <c r="AG447" s="618"/>
      <c r="AH447" s="618"/>
      <c r="AI447" s="618"/>
      <c r="AJ447" s="618"/>
      <c r="AK447" s="618"/>
      <c r="AL447" s="4"/>
      <c r="AM447" s="1"/>
    </row>
    <row r="448" spans="1:46" ht="14.25" customHeight="1" x14ac:dyDescent="0.45">
      <c r="A448" s="618"/>
      <c r="B448" s="618"/>
      <c r="C448" s="618"/>
      <c r="D448" s="5"/>
      <c r="E448" s="6"/>
      <c r="F448" s="6"/>
      <c r="G448" s="6"/>
      <c r="H448" s="6"/>
      <c r="I448" s="618"/>
      <c r="J448" s="618"/>
      <c r="K448" s="618"/>
      <c r="L448" s="618"/>
      <c r="M448" s="618"/>
      <c r="N448" s="618"/>
      <c r="O448" s="618"/>
      <c r="P448" s="618"/>
      <c r="Q448" s="618"/>
      <c r="R448" s="618"/>
      <c r="S448" s="618"/>
      <c r="T448" s="618"/>
      <c r="U448" s="618"/>
      <c r="V448" s="618"/>
      <c r="W448" s="618"/>
      <c r="X448" s="618"/>
      <c r="Y448" s="618"/>
      <c r="Z448" s="618"/>
      <c r="AA448" s="618"/>
      <c r="AB448" s="618"/>
      <c r="AC448" s="618"/>
      <c r="AD448" s="618"/>
      <c r="AE448" s="618"/>
      <c r="AF448" s="618"/>
      <c r="AG448" s="618"/>
      <c r="AH448" s="618"/>
      <c r="AI448" s="618"/>
      <c r="AJ448" s="618"/>
      <c r="AK448" s="618"/>
      <c r="AL448" s="4"/>
      <c r="AM448" s="1"/>
    </row>
    <row r="449" spans="1:39" ht="14.25" customHeight="1" x14ac:dyDescent="0.45">
      <c r="A449" s="618"/>
      <c r="B449" s="618"/>
      <c r="C449" s="618"/>
      <c r="D449" s="5"/>
      <c r="E449" s="6"/>
      <c r="F449" s="6"/>
      <c r="G449" s="6"/>
      <c r="H449" s="6"/>
      <c r="I449" s="618"/>
      <c r="J449" s="618"/>
      <c r="K449" s="618"/>
      <c r="L449" s="618"/>
      <c r="M449" s="618"/>
      <c r="N449" s="618"/>
      <c r="O449" s="618"/>
      <c r="P449" s="618"/>
      <c r="Q449" s="618"/>
      <c r="R449" s="618"/>
      <c r="S449" s="618"/>
      <c r="T449" s="618"/>
      <c r="U449" s="618"/>
      <c r="V449" s="618"/>
      <c r="W449" s="618"/>
      <c r="X449" s="618"/>
      <c r="Y449" s="618"/>
      <c r="Z449" s="618"/>
      <c r="AA449" s="618"/>
      <c r="AB449" s="618"/>
      <c r="AC449" s="618"/>
      <c r="AD449" s="618"/>
      <c r="AE449" s="618"/>
      <c r="AF449" s="618"/>
      <c r="AG449" s="618"/>
      <c r="AH449" s="618"/>
      <c r="AI449" s="618"/>
      <c r="AJ449" s="618"/>
      <c r="AK449" s="618"/>
      <c r="AL449" s="4"/>
      <c r="AM449" s="1"/>
    </row>
    <row r="450" spans="1:39" ht="14.25" customHeight="1" x14ac:dyDescent="0.45">
      <c r="A450" s="618"/>
      <c r="B450" s="618"/>
      <c r="C450" s="618"/>
      <c r="D450" s="5"/>
      <c r="E450" s="6"/>
      <c r="F450" s="6"/>
      <c r="G450" s="6"/>
      <c r="H450" s="6"/>
      <c r="I450" s="618"/>
      <c r="J450" s="618"/>
      <c r="K450" s="618"/>
      <c r="L450" s="618"/>
      <c r="M450" s="618"/>
      <c r="N450" s="618"/>
      <c r="O450" s="618"/>
      <c r="P450" s="618"/>
      <c r="Q450" s="618"/>
      <c r="R450" s="618"/>
      <c r="S450" s="618"/>
      <c r="T450" s="618"/>
      <c r="U450" s="618"/>
      <c r="V450" s="618"/>
      <c r="W450" s="618"/>
      <c r="X450" s="618"/>
      <c r="Y450" s="618"/>
      <c r="Z450" s="618"/>
      <c r="AA450" s="618"/>
      <c r="AB450" s="618"/>
      <c r="AC450" s="618"/>
      <c r="AD450" s="618"/>
      <c r="AE450" s="618"/>
      <c r="AF450" s="618"/>
      <c r="AG450" s="618"/>
      <c r="AH450" s="618"/>
      <c r="AI450" s="618"/>
      <c r="AJ450" s="618"/>
      <c r="AK450" s="618"/>
      <c r="AL450" s="4"/>
      <c r="AM450" s="1"/>
    </row>
    <row r="451" spans="1:39" ht="14.25" customHeight="1" x14ac:dyDescent="0.45">
      <c r="A451" s="618"/>
      <c r="B451" s="618"/>
      <c r="C451" s="618"/>
      <c r="D451" s="5"/>
      <c r="E451" s="6"/>
      <c r="F451" s="6"/>
      <c r="G451" s="6"/>
      <c r="H451" s="6"/>
      <c r="I451" s="618"/>
      <c r="J451" s="618"/>
      <c r="K451" s="618"/>
      <c r="L451" s="618"/>
      <c r="M451" s="618"/>
      <c r="N451" s="618"/>
      <c r="O451" s="618"/>
      <c r="P451" s="618"/>
      <c r="Q451" s="618"/>
      <c r="R451" s="618"/>
      <c r="S451" s="618"/>
      <c r="T451" s="618"/>
      <c r="U451" s="618"/>
      <c r="V451" s="618"/>
      <c r="W451" s="618"/>
      <c r="X451" s="618"/>
      <c r="Y451" s="618"/>
      <c r="Z451" s="618"/>
      <c r="AA451" s="618"/>
      <c r="AB451" s="618"/>
      <c r="AC451" s="618"/>
      <c r="AD451" s="618"/>
      <c r="AE451" s="618"/>
      <c r="AF451" s="618"/>
      <c r="AG451" s="618"/>
      <c r="AH451" s="618"/>
      <c r="AI451" s="618"/>
      <c r="AJ451" s="618"/>
      <c r="AK451" s="618"/>
      <c r="AL451" s="4"/>
      <c r="AM451" s="1"/>
    </row>
    <row r="452" spans="1:39" ht="14.25" customHeight="1" x14ac:dyDescent="0.45">
      <c r="A452" s="618"/>
      <c r="B452" s="618"/>
      <c r="C452" s="618"/>
      <c r="D452" s="5"/>
      <c r="E452" s="6"/>
      <c r="F452" s="6"/>
      <c r="G452" s="6"/>
      <c r="H452" s="6"/>
      <c r="I452" s="618"/>
      <c r="J452" s="618"/>
      <c r="K452" s="618"/>
      <c r="L452" s="618"/>
      <c r="M452" s="618"/>
      <c r="N452" s="618"/>
      <c r="O452" s="618"/>
      <c r="P452" s="618"/>
      <c r="Q452" s="618"/>
      <c r="R452" s="618"/>
      <c r="S452" s="618"/>
      <c r="T452" s="618"/>
      <c r="U452" s="618"/>
      <c r="V452" s="618"/>
      <c r="W452" s="618"/>
      <c r="X452" s="618"/>
      <c r="Y452" s="618"/>
      <c r="Z452" s="618"/>
      <c r="AA452" s="618"/>
      <c r="AB452" s="618"/>
      <c r="AC452" s="618"/>
      <c r="AD452" s="618"/>
      <c r="AE452" s="618"/>
      <c r="AF452" s="618"/>
      <c r="AG452" s="618"/>
      <c r="AH452" s="618"/>
      <c r="AI452" s="618"/>
      <c r="AJ452" s="618"/>
      <c r="AK452" s="618"/>
      <c r="AL452" s="4"/>
      <c r="AM452" s="1"/>
    </row>
    <row r="453" spans="1:39" ht="14.25" customHeight="1" x14ac:dyDescent="0.45">
      <c r="A453" s="618"/>
      <c r="B453" s="618"/>
      <c r="C453" s="618"/>
      <c r="D453" s="5"/>
      <c r="E453" s="6"/>
      <c r="F453" s="6"/>
      <c r="G453" s="6"/>
      <c r="H453" s="6"/>
      <c r="I453" s="618"/>
      <c r="J453" s="618"/>
      <c r="K453" s="618"/>
      <c r="L453" s="618"/>
      <c r="M453" s="618"/>
      <c r="N453" s="618"/>
      <c r="O453" s="618"/>
      <c r="P453" s="618"/>
      <c r="Q453" s="618"/>
      <c r="R453" s="618"/>
      <c r="S453" s="618"/>
      <c r="T453" s="618"/>
      <c r="U453" s="618"/>
      <c r="V453" s="618"/>
      <c r="W453" s="618"/>
      <c r="X453" s="618"/>
      <c r="Y453" s="618"/>
      <c r="Z453" s="618"/>
      <c r="AA453" s="618"/>
      <c r="AB453" s="618"/>
      <c r="AC453" s="618"/>
      <c r="AD453" s="618"/>
      <c r="AE453" s="618"/>
      <c r="AF453" s="618"/>
      <c r="AG453" s="618"/>
      <c r="AH453" s="618"/>
      <c r="AI453" s="618"/>
      <c r="AJ453" s="618"/>
      <c r="AK453" s="618"/>
      <c r="AL453" s="4"/>
      <c r="AM453" s="1"/>
    </row>
    <row r="454" spans="1:39" ht="14.25" customHeight="1" x14ac:dyDescent="0.45">
      <c r="A454" s="618"/>
      <c r="B454" s="618"/>
      <c r="C454" s="618"/>
      <c r="D454" s="5"/>
      <c r="E454" s="6"/>
      <c r="F454" s="6"/>
      <c r="G454" s="6"/>
      <c r="H454" s="6"/>
      <c r="I454" s="618"/>
      <c r="J454" s="618"/>
      <c r="K454" s="618"/>
      <c r="L454" s="618"/>
      <c r="M454" s="618"/>
      <c r="N454" s="618"/>
      <c r="O454" s="618"/>
      <c r="P454" s="618"/>
      <c r="Q454" s="618"/>
      <c r="R454" s="618"/>
      <c r="S454" s="618"/>
      <c r="T454" s="618"/>
      <c r="U454" s="618"/>
      <c r="V454" s="618"/>
      <c r="W454" s="618"/>
      <c r="X454" s="618"/>
      <c r="Y454" s="618"/>
      <c r="Z454" s="618"/>
      <c r="AA454" s="618"/>
      <c r="AB454" s="618"/>
      <c r="AC454" s="618"/>
      <c r="AD454" s="618"/>
      <c r="AE454" s="618"/>
      <c r="AF454" s="618"/>
      <c r="AG454" s="618"/>
      <c r="AH454" s="618"/>
      <c r="AI454" s="618"/>
      <c r="AJ454" s="618"/>
      <c r="AK454" s="618"/>
      <c r="AL454" s="4"/>
      <c r="AM454" s="1"/>
    </row>
    <row r="455" spans="1:39" ht="14.25" customHeight="1" x14ac:dyDescent="0.45">
      <c r="A455" s="618"/>
      <c r="B455" s="618"/>
      <c r="C455" s="618"/>
      <c r="D455" s="5"/>
      <c r="E455" s="6"/>
      <c r="F455" s="6"/>
      <c r="G455" s="6"/>
      <c r="H455" s="6"/>
      <c r="I455" s="618"/>
      <c r="J455" s="618"/>
      <c r="K455" s="618"/>
      <c r="L455" s="618"/>
      <c r="M455" s="618"/>
      <c r="N455" s="618"/>
      <c r="O455" s="618"/>
      <c r="P455" s="618"/>
      <c r="Q455" s="618"/>
      <c r="R455" s="618"/>
      <c r="S455" s="618"/>
      <c r="T455" s="618"/>
      <c r="U455" s="618"/>
      <c r="V455" s="618"/>
      <c r="W455" s="618"/>
      <c r="X455" s="618"/>
      <c r="Y455" s="618"/>
      <c r="Z455" s="618"/>
      <c r="AA455" s="618"/>
      <c r="AB455" s="618"/>
      <c r="AC455" s="618"/>
      <c r="AD455" s="618"/>
      <c r="AE455" s="618"/>
      <c r="AF455" s="618"/>
      <c r="AG455" s="618"/>
      <c r="AH455" s="618"/>
      <c r="AI455" s="618"/>
      <c r="AJ455" s="618"/>
      <c r="AK455" s="618"/>
      <c r="AL455" s="4"/>
      <c r="AM455" s="1"/>
    </row>
    <row r="456" spans="1:39" ht="14.25" customHeight="1" x14ac:dyDescent="0.45">
      <c r="A456" s="618"/>
      <c r="B456" s="618"/>
      <c r="C456" s="618"/>
      <c r="D456" s="5"/>
      <c r="E456" s="6"/>
      <c r="F456" s="6"/>
      <c r="G456" s="6"/>
      <c r="H456" s="6"/>
      <c r="I456" s="618"/>
      <c r="J456" s="618"/>
      <c r="K456" s="618"/>
      <c r="L456" s="618"/>
      <c r="M456" s="618"/>
      <c r="N456" s="618"/>
      <c r="O456" s="618"/>
      <c r="P456" s="618"/>
      <c r="Q456" s="618"/>
      <c r="R456" s="618"/>
      <c r="S456" s="618"/>
      <c r="T456" s="618"/>
      <c r="U456" s="618"/>
      <c r="V456" s="618"/>
      <c r="W456" s="618"/>
      <c r="X456" s="618"/>
      <c r="Y456" s="618"/>
      <c r="Z456" s="618"/>
      <c r="AA456" s="618"/>
      <c r="AB456" s="618"/>
      <c r="AC456" s="618"/>
      <c r="AD456" s="618"/>
      <c r="AE456" s="618"/>
      <c r="AF456" s="618"/>
      <c r="AG456" s="618"/>
      <c r="AH456" s="618"/>
      <c r="AI456" s="618"/>
      <c r="AJ456" s="618"/>
      <c r="AK456" s="618"/>
      <c r="AL456" s="4"/>
      <c r="AM456" s="1"/>
    </row>
    <row r="457" spans="1:39" ht="14.25" customHeight="1" x14ac:dyDescent="0.45">
      <c r="A457" s="618"/>
      <c r="B457" s="618"/>
      <c r="C457" s="618"/>
      <c r="D457" s="5"/>
      <c r="E457" s="6"/>
      <c r="F457" s="6"/>
      <c r="G457" s="6"/>
      <c r="H457" s="6"/>
      <c r="I457" s="618"/>
      <c r="J457" s="618"/>
      <c r="K457" s="618"/>
      <c r="L457" s="618"/>
      <c r="M457" s="618"/>
      <c r="N457" s="618"/>
      <c r="O457" s="618"/>
      <c r="P457" s="618"/>
      <c r="Q457" s="618"/>
      <c r="R457" s="618"/>
      <c r="S457" s="618"/>
      <c r="T457" s="618"/>
      <c r="U457" s="618"/>
      <c r="V457" s="618"/>
      <c r="W457" s="618"/>
      <c r="X457" s="618"/>
      <c r="Y457" s="618"/>
      <c r="Z457" s="618"/>
      <c r="AA457" s="618"/>
      <c r="AB457" s="618"/>
      <c r="AC457" s="618"/>
      <c r="AD457" s="618"/>
      <c r="AE457" s="618"/>
      <c r="AF457" s="618"/>
      <c r="AG457" s="618"/>
      <c r="AH457" s="618"/>
      <c r="AI457" s="618"/>
      <c r="AJ457" s="618"/>
      <c r="AK457" s="618"/>
      <c r="AL457" s="4"/>
      <c r="AM457" s="1"/>
    </row>
    <row r="458" spans="1:39" ht="14.25" customHeight="1" x14ac:dyDescent="0.45">
      <c r="A458" s="618"/>
      <c r="B458" s="618"/>
      <c r="C458" s="618"/>
      <c r="D458" s="5"/>
      <c r="E458" s="6"/>
      <c r="F458" s="6"/>
      <c r="G458" s="6"/>
      <c r="H458" s="6"/>
      <c r="I458" s="618"/>
      <c r="J458" s="618"/>
      <c r="K458" s="618"/>
      <c r="L458" s="618"/>
      <c r="M458" s="618"/>
      <c r="N458" s="618"/>
      <c r="O458" s="618"/>
      <c r="P458" s="618"/>
      <c r="Q458" s="618"/>
      <c r="R458" s="618"/>
      <c r="S458" s="618"/>
      <c r="T458" s="618"/>
      <c r="U458" s="618"/>
      <c r="V458" s="618"/>
      <c r="W458" s="618"/>
      <c r="X458" s="618"/>
      <c r="Y458" s="618"/>
      <c r="Z458" s="618"/>
      <c r="AA458" s="618"/>
      <c r="AB458" s="618"/>
      <c r="AC458" s="618"/>
      <c r="AD458" s="618"/>
      <c r="AE458" s="618"/>
      <c r="AF458" s="618"/>
      <c r="AG458" s="618"/>
      <c r="AH458" s="618"/>
      <c r="AI458" s="618"/>
      <c r="AJ458" s="618"/>
      <c r="AK458" s="618"/>
      <c r="AL458" s="4"/>
      <c r="AM458" s="1"/>
    </row>
    <row r="459" spans="1:39" ht="14.25" customHeight="1" x14ac:dyDescent="0.45">
      <c r="A459" s="618"/>
      <c r="B459" s="618"/>
      <c r="C459" s="618"/>
      <c r="D459" s="5"/>
      <c r="E459" s="6"/>
      <c r="F459" s="6"/>
      <c r="G459" s="6"/>
      <c r="H459" s="6"/>
      <c r="I459" s="618"/>
      <c r="J459" s="618"/>
      <c r="K459" s="618"/>
      <c r="L459" s="618"/>
      <c r="M459" s="618"/>
      <c r="N459" s="618"/>
      <c r="O459" s="618"/>
      <c r="P459" s="618"/>
      <c r="Q459" s="618"/>
      <c r="R459" s="618"/>
      <c r="S459" s="618"/>
      <c r="T459" s="618"/>
      <c r="U459" s="618"/>
      <c r="V459" s="618"/>
      <c r="W459" s="618"/>
      <c r="X459" s="618"/>
      <c r="Y459" s="618"/>
      <c r="Z459" s="618"/>
      <c r="AA459" s="618"/>
      <c r="AB459" s="618"/>
      <c r="AC459" s="618"/>
      <c r="AD459" s="618"/>
      <c r="AE459" s="618"/>
      <c r="AF459" s="618"/>
      <c r="AG459" s="618"/>
      <c r="AH459" s="618"/>
      <c r="AI459" s="618"/>
      <c r="AJ459" s="618"/>
      <c r="AK459" s="618"/>
      <c r="AL459" s="4"/>
      <c r="AM459" s="1"/>
    </row>
    <row r="460" spans="1:39" ht="14.25" customHeight="1" x14ac:dyDescent="0.45">
      <c r="A460" s="618"/>
      <c r="B460" s="618"/>
      <c r="C460" s="618"/>
      <c r="D460" s="5"/>
      <c r="E460" s="6"/>
      <c r="F460" s="6"/>
      <c r="G460" s="6"/>
      <c r="H460" s="6"/>
      <c r="I460" s="618"/>
      <c r="J460" s="618"/>
      <c r="K460" s="618"/>
      <c r="L460" s="618"/>
      <c r="M460" s="618"/>
      <c r="N460" s="618"/>
      <c r="O460" s="618"/>
      <c r="P460" s="618"/>
      <c r="Q460" s="618"/>
      <c r="R460" s="618"/>
      <c r="S460" s="618"/>
      <c r="T460" s="618"/>
      <c r="U460" s="618"/>
      <c r="V460" s="618"/>
      <c r="W460" s="618"/>
      <c r="X460" s="618"/>
      <c r="Y460" s="618"/>
      <c r="Z460" s="618"/>
      <c r="AA460" s="618"/>
      <c r="AB460" s="618"/>
      <c r="AC460" s="618"/>
      <c r="AD460" s="618"/>
      <c r="AE460" s="618"/>
      <c r="AF460" s="618"/>
      <c r="AG460" s="618"/>
      <c r="AH460" s="618"/>
      <c r="AI460" s="618"/>
      <c r="AJ460" s="618"/>
      <c r="AK460" s="618"/>
      <c r="AL460" s="4"/>
      <c r="AM460" s="1"/>
    </row>
    <row r="461" spans="1:39" ht="14.25" customHeight="1" x14ac:dyDescent="0.45">
      <c r="A461" s="618"/>
      <c r="B461" s="618"/>
      <c r="C461" s="618"/>
      <c r="D461" s="5"/>
      <c r="E461" s="6"/>
      <c r="F461" s="6"/>
      <c r="G461" s="6"/>
      <c r="H461" s="6"/>
      <c r="I461" s="618"/>
      <c r="J461" s="618"/>
      <c r="K461" s="618"/>
      <c r="L461" s="618"/>
      <c r="M461" s="618"/>
      <c r="N461" s="618"/>
      <c r="O461" s="618"/>
      <c r="P461" s="618"/>
      <c r="Q461" s="618"/>
      <c r="R461" s="618"/>
      <c r="S461" s="618"/>
      <c r="T461" s="618"/>
      <c r="U461" s="618"/>
      <c r="V461" s="618"/>
      <c r="W461" s="618"/>
      <c r="X461" s="618"/>
      <c r="Y461" s="618"/>
      <c r="Z461" s="618"/>
      <c r="AA461" s="618"/>
      <c r="AB461" s="618"/>
      <c r="AC461" s="618"/>
      <c r="AD461" s="618"/>
      <c r="AE461" s="618"/>
      <c r="AF461" s="618"/>
      <c r="AG461" s="618"/>
      <c r="AH461" s="618"/>
      <c r="AI461" s="618"/>
      <c r="AJ461" s="618"/>
      <c r="AK461" s="618"/>
      <c r="AL461" s="4"/>
      <c r="AM461" s="1"/>
    </row>
    <row r="462" spans="1:39" ht="14.25" customHeight="1" x14ac:dyDescent="0.45">
      <c r="A462" s="618"/>
      <c r="B462" s="618"/>
      <c r="C462" s="618"/>
      <c r="D462" s="5"/>
      <c r="E462" s="6"/>
      <c r="F462" s="6"/>
      <c r="G462" s="6"/>
      <c r="H462" s="6"/>
      <c r="I462" s="618"/>
      <c r="J462" s="618"/>
      <c r="K462" s="618"/>
      <c r="L462" s="618"/>
      <c r="M462" s="618"/>
      <c r="N462" s="618"/>
      <c r="O462" s="618"/>
      <c r="P462" s="618"/>
      <c r="Q462" s="618"/>
      <c r="R462" s="618"/>
      <c r="S462" s="618"/>
      <c r="T462" s="618"/>
      <c r="U462" s="618"/>
      <c r="V462" s="618"/>
      <c r="W462" s="618"/>
      <c r="X462" s="618"/>
      <c r="Y462" s="618"/>
      <c r="Z462" s="618"/>
      <c r="AA462" s="618"/>
      <c r="AB462" s="618"/>
      <c r="AC462" s="618"/>
      <c r="AD462" s="618"/>
      <c r="AE462" s="618"/>
      <c r="AF462" s="618"/>
      <c r="AG462" s="618"/>
      <c r="AH462" s="618"/>
      <c r="AI462" s="618"/>
      <c r="AJ462" s="618"/>
      <c r="AK462" s="618"/>
      <c r="AL462" s="4"/>
      <c r="AM462" s="1"/>
    </row>
    <row r="463" spans="1:39" ht="14.25" customHeight="1" x14ac:dyDescent="0.45">
      <c r="A463" s="618"/>
      <c r="B463" s="618"/>
      <c r="C463" s="618"/>
      <c r="D463" s="5"/>
      <c r="E463" s="6"/>
      <c r="F463" s="6"/>
      <c r="G463" s="6"/>
      <c r="H463" s="6"/>
      <c r="I463" s="618"/>
      <c r="J463" s="618"/>
      <c r="K463" s="618"/>
      <c r="L463" s="618"/>
      <c r="M463" s="618"/>
      <c r="N463" s="618"/>
      <c r="O463" s="618"/>
      <c r="P463" s="618"/>
      <c r="Q463" s="618"/>
      <c r="R463" s="618"/>
      <c r="S463" s="618"/>
      <c r="T463" s="618"/>
      <c r="U463" s="618"/>
      <c r="V463" s="618"/>
      <c r="W463" s="618"/>
      <c r="X463" s="618"/>
      <c r="Y463" s="618"/>
      <c r="Z463" s="618"/>
      <c r="AA463" s="618"/>
      <c r="AB463" s="618"/>
      <c r="AC463" s="618"/>
      <c r="AD463" s="618"/>
      <c r="AE463" s="618"/>
      <c r="AF463" s="618"/>
      <c r="AG463" s="618"/>
      <c r="AH463" s="618"/>
      <c r="AI463" s="618"/>
      <c r="AJ463" s="618"/>
      <c r="AK463" s="618"/>
      <c r="AL463" s="4"/>
      <c r="AM463" s="1"/>
    </row>
    <row r="464" spans="1:39" ht="14.25" customHeight="1" x14ac:dyDescent="0.45">
      <c r="A464" s="618"/>
      <c r="B464" s="618"/>
      <c r="C464" s="618"/>
      <c r="D464" s="5"/>
      <c r="E464" s="6"/>
      <c r="F464" s="6"/>
      <c r="G464" s="6"/>
      <c r="H464" s="6"/>
      <c r="I464" s="618"/>
      <c r="J464" s="618"/>
      <c r="K464" s="618"/>
      <c r="L464" s="618"/>
      <c r="M464" s="618"/>
      <c r="N464" s="618"/>
      <c r="O464" s="618"/>
      <c r="P464" s="618"/>
      <c r="Q464" s="618"/>
      <c r="R464" s="618"/>
      <c r="S464" s="618"/>
      <c r="T464" s="618"/>
      <c r="U464" s="618"/>
      <c r="V464" s="618"/>
      <c r="W464" s="618"/>
      <c r="X464" s="618"/>
      <c r="Y464" s="618"/>
      <c r="Z464" s="618"/>
      <c r="AA464" s="618"/>
      <c r="AB464" s="618"/>
      <c r="AC464" s="618"/>
      <c r="AD464" s="618"/>
      <c r="AE464" s="618"/>
      <c r="AF464" s="618"/>
      <c r="AG464" s="618"/>
      <c r="AH464" s="618"/>
      <c r="AI464" s="618"/>
      <c r="AJ464" s="618"/>
      <c r="AK464" s="618"/>
      <c r="AL464" s="4"/>
      <c r="AM464" s="1"/>
    </row>
    <row r="465" spans="1:39" ht="15.75" customHeight="1" x14ac:dyDescent="0.45">
      <c r="A465" s="1"/>
      <c r="B465" s="1"/>
      <c r="C465" s="1"/>
      <c r="D465" s="1"/>
      <c r="E465" s="23"/>
      <c r="F465" s="23"/>
      <c r="G465" s="23"/>
      <c r="H465" s="23"/>
      <c r="I465" s="1"/>
      <c r="J465" s="1"/>
      <c r="K465" s="618"/>
      <c r="L465" s="618"/>
      <c r="M465" s="618"/>
      <c r="N465" s="618"/>
      <c r="O465" s="1"/>
      <c r="P465" s="1"/>
      <c r="Q465" s="1"/>
      <c r="R465" s="1"/>
      <c r="S465" s="1"/>
      <c r="T465" s="1"/>
      <c r="U465" s="1"/>
      <c r="V465" s="1"/>
      <c r="W465" s="1"/>
      <c r="X465" s="1"/>
      <c r="Y465" s="1"/>
      <c r="Z465" s="1"/>
      <c r="AA465" s="1"/>
      <c r="AB465" s="1"/>
      <c r="AC465" s="1"/>
      <c r="AD465" s="1"/>
      <c r="AE465" s="1"/>
      <c r="AF465" s="1"/>
      <c r="AG465" s="1"/>
      <c r="AH465" s="1"/>
      <c r="AI465" s="1"/>
      <c r="AJ465" s="1"/>
      <c r="AK465" s="1"/>
      <c r="AL465" s="4"/>
      <c r="AM465" s="1"/>
    </row>
    <row r="466" spans="1:39" ht="15.75" customHeight="1" x14ac:dyDescent="0.45">
      <c r="A466" s="1"/>
      <c r="B466" s="1"/>
      <c r="C466" s="1"/>
      <c r="D466" s="1"/>
      <c r="E466" s="23"/>
      <c r="F466" s="23"/>
      <c r="G466" s="23"/>
      <c r="H466" s="23"/>
      <c r="I466" s="1"/>
      <c r="J466" s="1"/>
      <c r="K466" s="618"/>
      <c r="L466" s="618"/>
      <c r="M466" s="618"/>
      <c r="N466" s="618"/>
      <c r="O466" s="1"/>
      <c r="P466" s="1"/>
      <c r="Q466" s="1"/>
      <c r="R466" s="1"/>
      <c r="S466" s="1"/>
      <c r="T466" s="1"/>
      <c r="U466" s="1"/>
      <c r="V466" s="1"/>
      <c r="W466" s="1"/>
      <c r="X466" s="1"/>
      <c r="Y466" s="1"/>
      <c r="Z466" s="1"/>
      <c r="AA466" s="1"/>
      <c r="AB466" s="1"/>
      <c r="AC466" s="1"/>
      <c r="AD466" s="1"/>
      <c r="AE466" s="1"/>
      <c r="AF466" s="1"/>
      <c r="AG466" s="1"/>
      <c r="AH466" s="1"/>
      <c r="AI466" s="1"/>
      <c r="AJ466" s="1"/>
      <c r="AK466" s="1"/>
      <c r="AL466" s="4"/>
      <c r="AM466" s="1"/>
    </row>
    <row r="467" spans="1:39" ht="15.75" customHeight="1" x14ac:dyDescent="0.45">
      <c r="A467" s="1"/>
      <c r="B467" s="1"/>
      <c r="C467" s="1"/>
      <c r="D467" s="1"/>
      <c r="E467" s="23"/>
      <c r="F467" s="23"/>
      <c r="G467" s="23"/>
      <c r="H467" s="23"/>
      <c r="I467" s="1"/>
      <c r="J467" s="1"/>
      <c r="K467" s="618"/>
      <c r="L467" s="618"/>
      <c r="M467" s="618"/>
      <c r="N467" s="618"/>
      <c r="O467" s="1"/>
      <c r="P467" s="1"/>
      <c r="Q467" s="1"/>
      <c r="R467" s="1"/>
      <c r="S467" s="1"/>
      <c r="T467" s="1"/>
      <c r="U467" s="1"/>
      <c r="V467" s="1"/>
      <c r="W467" s="1"/>
      <c r="X467" s="1"/>
      <c r="Y467" s="1"/>
      <c r="Z467" s="1"/>
      <c r="AA467" s="1"/>
      <c r="AB467" s="1"/>
      <c r="AC467" s="1"/>
      <c r="AD467" s="1"/>
      <c r="AE467" s="1"/>
      <c r="AF467" s="1"/>
      <c r="AG467" s="1"/>
      <c r="AH467" s="1"/>
      <c r="AI467" s="1"/>
      <c r="AJ467" s="1"/>
      <c r="AK467" s="1"/>
      <c r="AL467" s="4"/>
      <c r="AM467" s="1"/>
    </row>
    <row r="468" spans="1:39" ht="15.75" customHeight="1" x14ac:dyDescent="0.45">
      <c r="A468" s="1"/>
      <c r="B468" s="1"/>
      <c r="C468" s="1"/>
      <c r="D468" s="1"/>
      <c r="E468" s="23"/>
      <c r="F468" s="23"/>
      <c r="G468" s="23"/>
      <c r="H468" s="23"/>
      <c r="I468" s="1"/>
      <c r="J468" s="1"/>
      <c r="K468" s="618"/>
      <c r="L468" s="618"/>
      <c r="M468" s="618"/>
      <c r="N468" s="618"/>
      <c r="O468" s="1"/>
      <c r="P468" s="1"/>
      <c r="Q468" s="1"/>
      <c r="R468" s="1"/>
      <c r="S468" s="1"/>
      <c r="T468" s="1"/>
      <c r="U468" s="1"/>
      <c r="V468" s="1"/>
      <c r="W468" s="1"/>
      <c r="X468" s="1"/>
      <c r="Y468" s="1"/>
      <c r="Z468" s="1"/>
      <c r="AA468" s="1"/>
      <c r="AB468" s="1"/>
      <c r="AC468" s="1"/>
      <c r="AD468" s="1"/>
      <c r="AE468" s="1"/>
      <c r="AF468" s="1"/>
      <c r="AG468" s="1"/>
      <c r="AH468" s="1"/>
      <c r="AI468" s="1"/>
      <c r="AJ468" s="1"/>
      <c r="AK468" s="1"/>
      <c r="AL468" s="4"/>
      <c r="AM468" s="1"/>
    </row>
    <row r="469" spans="1:39" ht="15.75" customHeight="1" x14ac:dyDescent="0.45">
      <c r="A469" s="1"/>
      <c r="B469" s="1"/>
      <c r="C469" s="1"/>
      <c r="D469" s="1"/>
      <c r="E469" s="23"/>
      <c r="F469" s="23"/>
      <c r="G469" s="23"/>
      <c r="H469" s="23"/>
      <c r="I469" s="1"/>
      <c r="J469" s="1"/>
      <c r="K469" s="618"/>
      <c r="L469" s="618"/>
      <c r="M469" s="618"/>
      <c r="N469" s="618"/>
      <c r="O469" s="1"/>
      <c r="P469" s="1"/>
      <c r="Q469" s="1"/>
      <c r="R469" s="1"/>
      <c r="S469" s="1"/>
      <c r="T469" s="1"/>
      <c r="U469" s="1"/>
      <c r="V469" s="1"/>
      <c r="W469" s="1"/>
      <c r="X469" s="1"/>
      <c r="Y469" s="1"/>
      <c r="Z469" s="1"/>
      <c r="AA469" s="1"/>
      <c r="AB469" s="1"/>
      <c r="AC469" s="1"/>
      <c r="AD469" s="1"/>
      <c r="AE469" s="1"/>
      <c r="AF469" s="1"/>
      <c r="AG469" s="1"/>
      <c r="AH469" s="1"/>
      <c r="AI469" s="1"/>
      <c r="AJ469" s="1"/>
      <c r="AK469" s="1"/>
      <c r="AL469" s="4"/>
      <c r="AM469" s="1"/>
    </row>
    <row r="470" spans="1:39" ht="15.75" customHeight="1" x14ac:dyDescent="0.45">
      <c r="A470" s="1"/>
      <c r="B470" s="1"/>
      <c r="C470" s="1"/>
      <c r="D470" s="1"/>
      <c r="E470" s="23"/>
      <c r="F470" s="23"/>
      <c r="G470" s="23"/>
      <c r="H470" s="23"/>
      <c r="I470" s="1"/>
      <c r="J470" s="1"/>
      <c r="K470" s="618"/>
      <c r="L470" s="618"/>
      <c r="M470" s="618"/>
      <c r="N470" s="618"/>
      <c r="O470" s="1"/>
      <c r="P470" s="1"/>
      <c r="Q470" s="1"/>
      <c r="R470" s="1"/>
      <c r="S470" s="1"/>
      <c r="T470" s="1"/>
      <c r="U470" s="1"/>
      <c r="V470" s="1"/>
      <c r="W470" s="1"/>
      <c r="X470" s="1"/>
      <c r="Y470" s="1"/>
      <c r="Z470" s="1"/>
      <c r="AA470" s="1"/>
      <c r="AB470" s="1"/>
      <c r="AC470" s="1"/>
      <c r="AD470" s="1"/>
      <c r="AE470" s="1"/>
      <c r="AF470" s="1"/>
      <c r="AG470" s="1"/>
      <c r="AH470" s="1"/>
      <c r="AI470" s="1"/>
      <c r="AJ470" s="1"/>
      <c r="AK470" s="1"/>
      <c r="AL470" s="4"/>
      <c r="AM470" s="1"/>
    </row>
    <row r="471" spans="1:39" ht="15.75" customHeight="1" x14ac:dyDescent="0.45">
      <c r="A471" s="1"/>
      <c r="B471" s="1"/>
      <c r="C471" s="1"/>
      <c r="D471" s="1"/>
      <c r="E471" s="23"/>
      <c r="F471" s="23"/>
      <c r="G471" s="23"/>
      <c r="H471" s="23"/>
      <c r="I471" s="1"/>
      <c r="J471" s="1"/>
      <c r="K471" s="618"/>
      <c r="L471" s="618"/>
      <c r="M471" s="618"/>
      <c r="N471" s="618"/>
      <c r="O471" s="1"/>
      <c r="P471" s="1"/>
      <c r="Q471" s="1"/>
      <c r="R471" s="1"/>
      <c r="S471" s="1"/>
      <c r="T471" s="1"/>
      <c r="U471" s="1"/>
      <c r="V471" s="1"/>
      <c r="W471" s="1"/>
      <c r="X471" s="1"/>
      <c r="Y471" s="1"/>
      <c r="Z471" s="1"/>
      <c r="AA471" s="1"/>
      <c r="AB471" s="1"/>
      <c r="AC471" s="1"/>
      <c r="AD471" s="1"/>
      <c r="AE471" s="1"/>
      <c r="AF471" s="1"/>
      <c r="AG471" s="1"/>
      <c r="AH471" s="1"/>
      <c r="AI471" s="1"/>
      <c r="AJ471" s="1"/>
      <c r="AK471" s="1"/>
      <c r="AL471" s="4"/>
      <c r="AM471" s="1"/>
    </row>
    <row r="472" spans="1:39" ht="15.75" customHeight="1" x14ac:dyDescent="0.45">
      <c r="A472" s="1"/>
      <c r="B472" s="1"/>
      <c r="C472" s="1"/>
      <c r="D472" s="1"/>
      <c r="E472" s="23"/>
      <c r="F472" s="23"/>
      <c r="G472" s="23"/>
      <c r="H472" s="23"/>
      <c r="I472" s="1"/>
      <c r="J472" s="1"/>
      <c r="K472" s="618"/>
      <c r="L472" s="618"/>
      <c r="M472" s="618"/>
      <c r="N472" s="618"/>
      <c r="O472" s="1"/>
      <c r="P472" s="1"/>
      <c r="Q472" s="1"/>
      <c r="R472" s="1"/>
      <c r="S472" s="1"/>
      <c r="T472" s="1"/>
      <c r="U472" s="1"/>
      <c r="V472" s="1"/>
      <c r="W472" s="1"/>
      <c r="X472" s="1"/>
      <c r="Y472" s="1"/>
      <c r="Z472" s="1"/>
      <c r="AA472" s="1"/>
      <c r="AB472" s="1"/>
      <c r="AC472" s="1"/>
      <c r="AD472" s="1"/>
      <c r="AE472" s="1"/>
      <c r="AF472" s="1"/>
      <c r="AG472" s="1"/>
      <c r="AH472" s="1"/>
      <c r="AI472" s="1"/>
      <c r="AJ472" s="1"/>
      <c r="AK472" s="1"/>
      <c r="AL472" s="4"/>
      <c r="AM472" s="1"/>
    </row>
    <row r="473" spans="1:39" ht="15.75" customHeight="1" x14ac:dyDescent="0.45">
      <c r="A473" s="1"/>
      <c r="B473" s="1"/>
      <c r="C473" s="1"/>
      <c r="D473" s="1"/>
      <c r="E473" s="23"/>
      <c r="F473" s="23"/>
      <c r="G473" s="23"/>
      <c r="H473" s="23"/>
      <c r="I473" s="1"/>
      <c r="J473" s="1"/>
      <c r="K473" s="618"/>
      <c r="L473" s="618"/>
      <c r="M473" s="618"/>
      <c r="N473" s="618"/>
      <c r="O473" s="1"/>
      <c r="P473" s="1"/>
      <c r="Q473" s="1"/>
      <c r="R473" s="1"/>
      <c r="S473" s="1"/>
      <c r="T473" s="1"/>
      <c r="U473" s="1"/>
      <c r="V473" s="1"/>
      <c r="W473" s="1"/>
      <c r="X473" s="1"/>
      <c r="Y473" s="1"/>
      <c r="Z473" s="1"/>
      <c r="AA473" s="1"/>
      <c r="AB473" s="1"/>
      <c r="AC473" s="1"/>
      <c r="AD473" s="1"/>
      <c r="AE473" s="1"/>
      <c r="AF473" s="1"/>
      <c r="AG473" s="1"/>
      <c r="AH473" s="1"/>
      <c r="AI473" s="1"/>
      <c r="AJ473" s="1"/>
      <c r="AK473" s="1"/>
      <c r="AL473" s="4"/>
      <c r="AM473" s="1"/>
    </row>
    <row r="474" spans="1:39" ht="15.75" customHeight="1" x14ac:dyDescent="0.45">
      <c r="A474" s="1"/>
      <c r="B474" s="1"/>
      <c r="C474" s="1"/>
      <c r="D474" s="1"/>
      <c r="E474" s="23"/>
      <c r="F474" s="23"/>
      <c r="G474" s="23"/>
      <c r="H474" s="23"/>
      <c r="I474" s="1"/>
      <c r="J474" s="1"/>
      <c r="K474" s="618"/>
      <c r="L474" s="618"/>
      <c r="M474" s="618"/>
      <c r="N474" s="618"/>
      <c r="O474" s="1"/>
      <c r="P474" s="1"/>
      <c r="Q474" s="1"/>
      <c r="R474" s="1"/>
      <c r="S474" s="1"/>
      <c r="T474" s="1"/>
      <c r="U474" s="1"/>
      <c r="V474" s="1"/>
      <c r="W474" s="1"/>
      <c r="X474" s="1"/>
      <c r="Y474" s="1"/>
      <c r="Z474" s="1"/>
      <c r="AA474" s="1"/>
      <c r="AB474" s="1"/>
      <c r="AC474" s="1"/>
      <c r="AD474" s="1"/>
      <c r="AE474" s="1"/>
      <c r="AF474" s="1"/>
      <c r="AG474" s="1"/>
      <c r="AH474" s="1"/>
      <c r="AI474" s="1"/>
      <c r="AJ474" s="1"/>
      <c r="AK474" s="1"/>
      <c r="AL474" s="4"/>
      <c r="AM474" s="1"/>
    </row>
    <row r="475" spans="1:39" ht="15.75" customHeight="1" x14ac:dyDescent="0.45">
      <c r="A475" s="1"/>
      <c r="B475" s="1"/>
      <c r="C475" s="1"/>
      <c r="D475" s="1"/>
      <c r="E475" s="23"/>
      <c r="F475" s="23"/>
      <c r="G475" s="23"/>
      <c r="H475" s="23"/>
      <c r="I475" s="1"/>
      <c r="J475" s="1"/>
      <c r="K475" s="618"/>
      <c r="L475" s="618"/>
      <c r="M475" s="618"/>
      <c r="N475" s="618"/>
      <c r="O475" s="1"/>
      <c r="P475" s="1"/>
      <c r="Q475" s="1"/>
      <c r="R475" s="1"/>
      <c r="S475" s="1"/>
      <c r="T475" s="1"/>
      <c r="U475" s="1"/>
      <c r="V475" s="1"/>
      <c r="W475" s="1"/>
      <c r="X475" s="1"/>
      <c r="Y475" s="1"/>
      <c r="Z475" s="1"/>
      <c r="AA475" s="1"/>
      <c r="AB475" s="1"/>
      <c r="AC475" s="1"/>
      <c r="AD475" s="1"/>
      <c r="AE475" s="1"/>
      <c r="AF475" s="1"/>
      <c r="AG475" s="1"/>
      <c r="AH475" s="1"/>
      <c r="AI475" s="1"/>
      <c r="AJ475" s="1"/>
      <c r="AK475" s="1"/>
      <c r="AL475" s="4"/>
      <c r="AM475" s="1"/>
    </row>
    <row r="476" spans="1:39" ht="15.75" customHeight="1" x14ac:dyDescent="0.45">
      <c r="A476" s="1"/>
      <c r="B476" s="1"/>
      <c r="C476" s="1"/>
      <c r="D476" s="1"/>
      <c r="E476" s="23"/>
      <c r="F476" s="23"/>
      <c r="G476" s="23"/>
      <c r="H476" s="23"/>
      <c r="I476" s="1"/>
      <c r="J476" s="1"/>
      <c r="K476" s="618"/>
      <c r="L476" s="618"/>
      <c r="M476" s="618"/>
      <c r="N476" s="618"/>
      <c r="O476" s="1"/>
      <c r="P476" s="1"/>
      <c r="Q476" s="1"/>
      <c r="R476" s="1"/>
      <c r="S476" s="1"/>
      <c r="T476" s="1"/>
      <c r="U476" s="1"/>
      <c r="V476" s="1"/>
      <c r="W476" s="1"/>
      <c r="X476" s="1"/>
      <c r="Y476" s="1"/>
      <c r="Z476" s="1"/>
      <c r="AA476" s="1"/>
      <c r="AB476" s="1"/>
      <c r="AC476" s="1"/>
      <c r="AD476" s="1"/>
      <c r="AE476" s="1"/>
      <c r="AF476" s="1"/>
      <c r="AG476" s="1"/>
      <c r="AH476" s="1"/>
      <c r="AI476" s="1"/>
      <c r="AJ476" s="1"/>
      <c r="AK476" s="1"/>
      <c r="AL476" s="4"/>
      <c r="AM476" s="1"/>
    </row>
    <row r="477" spans="1:39" ht="15.75" customHeight="1" x14ac:dyDescent="0.45">
      <c r="A477" s="1"/>
      <c r="B477" s="1"/>
      <c r="C477" s="1"/>
      <c r="D477" s="1"/>
      <c r="E477" s="23"/>
      <c r="F477" s="23"/>
      <c r="G477" s="23"/>
      <c r="H477" s="23"/>
      <c r="I477" s="1"/>
      <c r="J477" s="1"/>
      <c r="K477" s="618"/>
      <c r="L477" s="618"/>
      <c r="M477" s="618"/>
      <c r="N477" s="618"/>
      <c r="O477" s="1"/>
      <c r="P477" s="1"/>
      <c r="Q477" s="1"/>
      <c r="R477" s="1"/>
      <c r="S477" s="1"/>
      <c r="T477" s="1"/>
      <c r="U477" s="1"/>
      <c r="V477" s="1"/>
      <c r="W477" s="1"/>
      <c r="X477" s="1"/>
      <c r="Y477" s="1"/>
      <c r="Z477" s="1"/>
      <c r="AA477" s="1"/>
      <c r="AB477" s="1"/>
      <c r="AC477" s="1"/>
      <c r="AD477" s="1"/>
      <c r="AE477" s="1"/>
      <c r="AF477" s="1"/>
      <c r="AG477" s="1"/>
      <c r="AH477" s="1"/>
      <c r="AI477" s="1"/>
      <c r="AJ477" s="1"/>
      <c r="AK477" s="1"/>
      <c r="AL477" s="4"/>
      <c r="AM477" s="1"/>
    </row>
    <row r="478" spans="1:39" ht="15.75" customHeight="1" x14ac:dyDescent="0.45">
      <c r="A478" s="1"/>
      <c r="B478" s="1"/>
      <c r="C478" s="1"/>
      <c r="D478" s="1"/>
      <c r="E478" s="23"/>
      <c r="F478" s="23"/>
      <c r="G478" s="23"/>
      <c r="H478" s="23"/>
      <c r="I478" s="1"/>
      <c r="J478" s="1"/>
      <c r="K478" s="618"/>
      <c r="L478" s="618"/>
      <c r="M478" s="618"/>
      <c r="N478" s="618"/>
      <c r="O478" s="1"/>
      <c r="P478" s="1"/>
      <c r="Q478" s="1"/>
      <c r="R478" s="1"/>
      <c r="S478" s="1"/>
      <c r="T478" s="1"/>
      <c r="U478" s="1"/>
      <c r="V478" s="1"/>
      <c r="W478" s="1"/>
      <c r="X478" s="1"/>
      <c r="Y478" s="1"/>
      <c r="Z478" s="1"/>
      <c r="AA478" s="1"/>
      <c r="AB478" s="1"/>
      <c r="AC478" s="1"/>
      <c r="AD478" s="1"/>
      <c r="AE478" s="1"/>
      <c r="AF478" s="1"/>
      <c r="AG478" s="1"/>
      <c r="AH478" s="1"/>
      <c r="AI478" s="1"/>
      <c r="AJ478" s="1"/>
      <c r="AK478" s="1"/>
      <c r="AL478" s="4"/>
      <c r="AM478" s="1"/>
    </row>
    <row r="479" spans="1:39" ht="15.75" customHeight="1" x14ac:dyDescent="0.45">
      <c r="A479" s="1"/>
      <c r="B479" s="1"/>
      <c r="C479" s="1"/>
      <c r="D479" s="1"/>
      <c r="E479" s="23"/>
      <c r="F479" s="23"/>
      <c r="G479" s="23"/>
      <c r="H479" s="23"/>
      <c r="I479" s="1"/>
      <c r="J479" s="1"/>
      <c r="K479" s="618"/>
      <c r="L479" s="618"/>
      <c r="M479" s="618"/>
      <c r="N479" s="618"/>
      <c r="O479" s="1"/>
      <c r="P479" s="1"/>
      <c r="Q479" s="1"/>
      <c r="R479" s="1"/>
      <c r="S479" s="1"/>
      <c r="T479" s="1"/>
      <c r="U479" s="1"/>
      <c r="V479" s="1"/>
      <c r="W479" s="1"/>
      <c r="X479" s="1"/>
      <c r="Y479" s="1"/>
      <c r="Z479" s="1"/>
      <c r="AA479" s="1"/>
      <c r="AB479" s="1"/>
      <c r="AC479" s="1"/>
      <c r="AD479" s="1"/>
      <c r="AE479" s="1"/>
      <c r="AF479" s="1"/>
      <c r="AG479" s="1"/>
      <c r="AH479" s="1"/>
      <c r="AI479" s="1"/>
      <c r="AJ479" s="1"/>
      <c r="AK479" s="1"/>
      <c r="AL479" s="4"/>
      <c r="AM479" s="1"/>
    </row>
    <row r="480" spans="1:39" ht="15.75" customHeight="1" x14ac:dyDescent="0.45">
      <c r="A480" s="1"/>
      <c r="B480" s="1"/>
      <c r="C480" s="1"/>
      <c r="D480" s="1"/>
      <c r="E480" s="23"/>
      <c r="F480" s="23"/>
      <c r="G480" s="23"/>
      <c r="H480" s="23"/>
      <c r="I480" s="1"/>
      <c r="J480" s="1"/>
      <c r="K480" s="618"/>
      <c r="L480" s="618"/>
      <c r="M480" s="618"/>
      <c r="N480" s="618"/>
      <c r="O480" s="1"/>
      <c r="P480" s="1"/>
      <c r="Q480" s="1"/>
      <c r="R480" s="1"/>
      <c r="S480" s="1"/>
      <c r="T480" s="1"/>
      <c r="U480" s="1"/>
      <c r="V480" s="1"/>
      <c r="W480" s="1"/>
      <c r="X480" s="1"/>
      <c r="Y480" s="1"/>
      <c r="Z480" s="1"/>
      <c r="AA480" s="1"/>
      <c r="AB480" s="1"/>
      <c r="AC480" s="1"/>
      <c r="AD480" s="1"/>
      <c r="AE480" s="1"/>
      <c r="AF480" s="1"/>
      <c r="AG480" s="1"/>
      <c r="AH480" s="1"/>
      <c r="AI480" s="1"/>
      <c r="AJ480" s="1"/>
      <c r="AK480" s="1"/>
      <c r="AL480" s="4"/>
      <c r="AM480" s="1"/>
    </row>
    <row r="481" spans="1:39" ht="15.75" customHeight="1" x14ac:dyDescent="0.45">
      <c r="A481" s="1"/>
      <c r="B481" s="1"/>
      <c r="C481" s="1"/>
      <c r="D481" s="1"/>
      <c r="E481" s="23"/>
      <c r="F481" s="23"/>
      <c r="G481" s="23"/>
      <c r="H481" s="23"/>
      <c r="I481" s="1"/>
      <c r="J481" s="1"/>
      <c r="K481" s="618"/>
      <c r="L481" s="618"/>
      <c r="M481" s="618"/>
      <c r="N481" s="618"/>
      <c r="O481" s="1"/>
      <c r="P481" s="1"/>
      <c r="Q481" s="1"/>
      <c r="R481" s="1"/>
      <c r="S481" s="1"/>
      <c r="T481" s="1"/>
      <c r="U481" s="1"/>
      <c r="V481" s="1"/>
      <c r="W481" s="1"/>
      <c r="X481" s="1"/>
      <c r="Y481" s="1"/>
      <c r="Z481" s="1"/>
      <c r="AA481" s="1"/>
      <c r="AB481" s="1"/>
      <c r="AC481" s="1"/>
      <c r="AD481" s="1"/>
      <c r="AE481" s="1"/>
      <c r="AF481" s="1"/>
      <c r="AG481" s="1"/>
      <c r="AH481" s="1"/>
      <c r="AI481" s="1"/>
      <c r="AJ481" s="1"/>
      <c r="AK481" s="1"/>
      <c r="AL481" s="4"/>
      <c r="AM481" s="1"/>
    </row>
    <row r="482" spans="1:39" ht="15.75" customHeight="1" x14ac:dyDescent="0.45">
      <c r="A482" s="1"/>
      <c r="B482" s="1"/>
      <c r="C482" s="1"/>
      <c r="D482" s="1"/>
      <c r="E482" s="23"/>
      <c r="F482" s="23"/>
      <c r="G482" s="23"/>
      <c r="H482" s="23"/>
      <c r="I482" s="1"/>
      <c r="J482" s="1"/>
      <c r="K482" s="618"/>
      <c r="L482" s="618"/>
      <c r="M482" s="618"/>
      <c r="N482" s="618"/>
      <c r="O482" s="1"/>
      <c r="P482" s="1"/>
      <c r="Q482" s="1"/>
      <c r="R482" s="1"/>
      <c r="S482" s="1"/>
      <c r="T482" s="1"/>
      <c r="U482" s="1"/>
      <c r="V482" s="1"/>
      <c r="W482" s="1"/>
      <c r="X482" s="1"/>
      <c r="Y482" s="1"/>
      <c r="Z482" s="1"/>
      <c r="AA482" s="1"/>
      <c r="AB482" s="1"/>
      <c r="AC482" s="1"/>
      <c r="AD482" s="1"/>
      <c r="AE482" s="1"/>
      <c r="AF482" s="1"/>
      <c r="AG482" s="1"/>
      <c r="AH482" s="1"/>
      <c r="AI482" s="1"/>
      <c r="AJ482" s="1"/>
      <c r="AK482" s="1"/>
      <c r="AL482" s="4"/>
      <c r="AM482" s="1"/>
    </row>
    <row r="483" spans="1:39" ht="15.75" customHeight="1" x14ac:dyDescent="0.45">
      <c r="A483" s="1"/>
      <c r="B483" s="1"/>
      <c r="C483" s="1"/>
      <c r="D483" s="1"/>
      <c r="E483" s="23"/>
      <c r="F483" s="23"/>
      <c r="G483" s="23"/>
      <c r="H483" s="23"/>
      <c r="I483" s="1"/>
      <c r="J483" s="1"/>
      <c r="K483" s="618"/>
      <c r="L483" s="618"/>
      <c r="M483" s="618"/>
      <c r="N483" s="618"/>
      <c r="O483" s="1"/>
      <c r="P483" s="1"/>
      <c r="Q483" s="1"/>
      <c r="R483" s="1"/>
      <c r="S483" s="1"/>
      <c r="T483" s="1"/>
      <c r="U483" s="1"/>
      <c r="V483" s="1"/>
      <c r="W483" s="1"/>
      <c r="X483" s="1"/>
      <c r="Y483" s="1"/>
      <c r="Z483" s="1"/>
      <c r="AA483" s="1"/>
      <c r="AB483" s="1"/>
      <c r="AC483" s="1"/>
      <c r="AD483" s="1"/>
      <c r="AE483" s="1"/>
      <c r="AF483" s="1"/>
      <c r="AG483" s="1"/>
      <c r="AH483" s="1"/>
      <c r="AI483" s="1"/>
      <c r="AJ483" s="1"/>
      <c r="AK483" s="1"/>
      <c r="AL483" s="4"/>
      <c r="AM483" s="1"/>
    </row>
    <row r="484" spans="1:39" ht="15.75" customHeight="1" x14ac:dyDescent="0.45">
      <c r="A484" s="1"/>
      <c r="B484" s="1"/>
      <c r="C484" s="1"/>
      <c r="D484" s="1"/>
      <c r="E484" s="23"/>
      <c r="F484" s="23"/>
      <c r="G484" s="23"/>
      <c r="H484" s="23"/>
      <c r="I484" s="1"/>
      <c r="J484" s="1"/>
      <c r="K484" s="618"/>
      <c r="L484" s="618"/>
      <c r="M484" s="618"/>
      <c r="N484" s="618"/>
      <c r="O484" s="1"/>
      <c r="P484" s="1"/>
      <c r="Q484" s="1"/>
      <c r="R484" s="1"/>
      <c r="S484" s="1"/>
      <c r="T484" s="1"/>
      <c r="U484" s="1"/>
      <c r="V484" s="1"/>
      <c r="W484" s="1"/>
      <c r="X484" s="1"/>
      <c r="Y484" s="1"/>
      <c r="Z484" s="1"/>
      <c r="AA484" s="1"/>
      <c r="AB484" s="1"/>
      <c r="AC484" s="1"/>
      <c r="AD484" s="1"/>
      <c r="AE484" s="1"/>
      <c r="AF484" s="1"/>
      <c r="AG484" s="1"/>
      <c r="AH484" s="1"/>
      <c r="AI484" s="1"/>
      <c r="AJ484" s="1"/>
      <c r="AK484" s="1"/>
      <c r="AL484" s="4"/>
      <c r="AM484" s="1"/>
    </row>
    <row r="485" spans="1:39" ht="15.75" customHeight="1" x14ac:dyDescent="0.45">
      <c r="A485" s="1"/>
      <c r="B485" s="1"/>
      <c r="C485" s="1"/>
      <c r="D485" s="1"/>
      <c r="E485" s="23"/>
      <c r="F485" s="23"/>
      <c r="G485" s="23"/>
      <c r="H485" s="23"/>
      <c r="I485" s="1"/>
      <c r="J485" s="1"/>
      <c r="K485" s="618"/>
      <c r="L485" s="618"/>
      <c r="M485" s="618"/>
      <c r="N485" s="618"/>
      <c r="O485" s="1"/>
      <c r="P485" s="1"/>
      <c r="Q485" s="1"/>
      <c r="R485" s="1"/>
      <c r="S485" s="1"/>
      <c r="T485" s="1"/>
      <c r="U485" s="1"/>
      <c r="V485" s="1"/>
      <c r="W485" s="1"/>
      <c r="X485" s="1"/>
      <c r="Y485" s="1"/>
      <c r="Z485" s="1"/>
      <c r="AA485" s="1"/>
      <c r="AB485" s="1"/>
      <c r="AC485" s="1"/>
      <c r="AD485" s="1"/>
      <c r="AE485" s="1"/>
      <c r="AF485" s="1"/>
      <c r="AG485" s="1"/>
      <c r="AH485" s="1"/>
      <c r="AI485" s="1"/>
      <c r="AJ485" s="1"/>
      <c r="AK485" s="1"/>
      <c r="AL485" s="4"/>
      <c r="AM485" s="1"/>
    </row>
    <row r="486" spans="1:39" ht="15.75" customHeight="1" x14ac:dyDescent="0.45">
      <c r="A486" s="1"/>
      <c r="B486" s="1"/>
      <c r="C486" s="1"/>
      <c r="D486" s="1"/>
      <c r="E486" s="23"/>
      <c r="F486" s="23"/>
      <c r="G486" s="23"/>
      <c r="H486" s="23"/>
      <c r="I486" s="1"/>
      <c r="J486" s="1"/>
      <c r="K486" s="618"/>
      <c r="L486" s="618"/>
      <c r="M486" s="618"/>
      <c r="N486" s="618"/>
      <c r="O486" s="1"/>
      <c r="P486" s="1"/>
      <c r="Q486" s="1"/>
      <c r="R486" s="1"/>
      <c r="S486" s="1"/>
      <c r="T486" s="1"/>
      <c r="U486" s="1"/>
      <c r="V486" s="1"/>
      <c r="W486" s="1"/>
      <c r="X486" s="1"/>
      <c r="Y486" s="1"/>
      <c r="Z486" s="1"/>
      <c r="AA486" s="1"/>
      <c r="AB486" s="1"/>
      <c r="AC486" s="1"/>
      <c r="AD486" s="1"/>
      <c r="AE486" s="1"/>
      <c r="AF486" s="1"/>
      <c r="AG486" s="1"/>
      <c r="AH486" s="1"/>
      <c r="AI486" s="1"/>
      <c r="AJ486" s="1"/>
      <c r="AK486" s="1"/>
      <c r="AL486" s="4"/>
      <c r="AM486" s="1"/>
    </row>
    <row r="487" spans="1:39" ht="15.75" customHeight="1" x14ac:dyDescent="0.45">
      <c r="A487" s="1"/>
      <c r="B487" s="1"/>
      <c r="C487" s="1"/>
      <c r="D487" s="1"/>
      <c r="E487" s="23"/>
      <c r="F487" s="23"/>
      <c r="G487" s="23"/>
      <c r="H487" s="23"/>
      <c r="I487" s="1"/>
      <c r="J487" s="1"/>
      <c r="K487" s="618"/>
      <c r="L487" s="618"/>
      <c r="M487" s="618"/>
      <c r="N487" s="618"/>
      <c r="O487" s="1"/>
      <c r="P487" s="1"/>
      <c r="Q487" s="1"/>
      <c r="R487" s="1"/>
      <c r="S487" s="1"/>
      <c r="T487" s="1"/>
      <c r="U487" s="1"/>
      <c r="V487" s="1"/>
      <c r="W487" s="1"/>
      <c r="X487" s="1"/>
      <c r="Y487" s="1"/>
      <c r="Z487" s="1"/>
      <c r="AA487" s="1"/>
      <c r="AB487" s="1"/>
      <c r="AC487" s="1"/>
      <c r="AD487" s="1"/>
      <c r="AE487" s="1"/>
      <c r="AF487" s="1"/>
      <c r="AG487" s="1"/>
      <c r="AH487" s="1"/>
      <c r="AI487" s="1"/>
      <c r="AJ487" s="1"/>
      <c r="AK487" s="1"/>
      <c r="AL487" s="4"/>
      <c r="AM487" s="1"/>
    </row>
    <row r="488" spans="1:39" ht="15.75" customHeight="1" x14ac:dyDescent="0.45">
      <c r="A488" s="1"/>
      <c r="B488" s="1"/>
      <c r="C488" s="1"/>
      <c r="D488" s="1"/>
      <c r="E488" s="23"/>
      <c r="F488" s="23"/>
      <c r="G488" s="23"/>
      <c r="H488" s="23"/>
      <c r="I488" s="1"/>
      <c r="J488" s="1"/>
      <c r="K488" s="618"/>
      <c r="L488" s="618"/>
      <c r="M488" s="618"/>
      <c r="N488" s="618"/>
      <c r="O488" s="1"/>
      <c r="P488" s="1"/>
      <c r="Q488" s="1"/>
      <c r="R488" s="1"/>
      <c r="S488" s="1"/>
      <c r="T488" s="1"/>
      <c r="U488" s="1"/>
      <c r="V488" s="1"/>
      <c r="W488" s="1"/>
      <c r="X488" s="1"/>
      <c r="Y488" s="1"/>
      <c r="Z488" s="1"/>
      <c r="AA488" s="1"/>
      <c r="AB488" s="1"/>
      <c r="AC488" s="1"/>
      <c r="AD488" s="1"/>
      <c r="AE488" s="1"/>
      <c r="AF488" s="1"/>
      <c r="AG488" s="1"/>
      <c r="AH488" s="1"/>
      <c r="AI488" s="1"/>
      <c r="AJ488" s="1"/>
      <c r="AK488" s="1"/>
      <c r="AL488" s="4"/>
      <c r="AM488" s="1"/>
    </row>
    <row r="489" spans="1:39" ht="15.75" customHeight="1" x14ac:dyDescent="0.45">
      <c r="A489" s="1"/>
      <c r="B489" s="1"/>
      <c r="C489" s="1"/>
      <c r="D489" s="1"/>
      <c r="E489" s="23"/>
      <c r="F489" s="23"/>
      <c r="G489" s="23"/>
      <c r="H489" s="23"/>
      <c r="I489" s="1"/>
      <c r="J489" s="1"/>
      <c r="K489" s="618"/>
      <c r="L489" s="618"/>
      <c r="M489" s="618"/>
      <c r="N489" s="618"/>
      <c r="O489" s="1"/>
      <c r="P489" s="1"/>
      <c r="Q489" s="1"/>
      <c r="R489" s="1"/>
      <c r="S489" s="1"/>
      <c r="T489" s="1"/>
      <c r="U489" s="1"/>
      <c r="V489" s="1"/>
      <c r="W489" s="1"/>
      <c r="X489" s="1"/>
      <c r="Y489" s="1"/>
      <c r="Z489" s="1"/>
      <c r="AA489" s="1"/>
      <c r="AB489" s="1"/>
      <c r="AC489" s="1"/>
      <c r="AD489" s="1"/>
      <c r="AE489" s="1"/>
      <c r="AF489" s="1"/>
      <c r="AG489" s="1"/>
      <c r="AH489" s="1"/>
      <c r="AI489" s="1"/>
      <c r="AJ489" s="1"/>
      <c r="AK489" s="1"/>
      <c r="AL489" s="4"/>
      <c r="AM489" s="1"/>
    </row>
    <row r="490" spans="1:39" ht="15.75" customHeight="1" x14ac:dyDescent="0.45">
      <c r="A490" s="1"/>
      <c r="B490" s="1"/>
      <c r="C490" s="1"/>
      <c r="D490" s="1"/>
      <c r="E490" s="23"/>
      <c r="F490" s="23"/>
      <c r="G490" s="23"/>
      <c r="H490" s="23"/>
      <c r="I490" s="1"/>
      <c r="J490" s="1"/>
      <c r="K490" s="618"/>
      <c r="L490" s="618"/>
      <c r="M490" s="618"/>
      <c r="N490" s="618"/>
      <c r="O490" s="1"/>
      <c r="P490" s="1"/>
      <c r="Q490" s="1"/>
      <c r="R490" s="1"/>
      <c r="S490" s="1"/>
      <c r="T490" s="1"/>
      <c r="U490" s="1"/>
      <c r="V490" s="1"/>
      <c r="W490" s="1"/>
      <c r="X490" s="1"/>
      <c r="Y490" s="1"/>
      <c r="Z490" s="1"/>
      <c r="AA490" s="1"/>
      <c r="AB490" s="1"/>
      <c r="AC490" s="1"/>
      <c r="AD490" s="1"/>
      <c r="AE490" s="1"/>
      <c r="AF490" s="1"/>
      <c r="AG490" s="1"/>
      <c r="AH490" s="1"/>
      <c r="AI490" s="1"/>
      <c r="AJ490" s="1"/>
      <c r="AK490" s="1"/>
      <c r="AL490" s="4"/>
      <c r="AM490" s="1"/>
    </row>
    <row r="491" spans="1:39" ht="15.75" customHeight="1" x14ac:dyDescent="0.45">
      <c r="A491" s="1"/>
      <c r="B491" s="1"/>
      <c r="C491" s="1"/>
      <c r="D491" s="1"/>
      <c r="E491" s="23"/>
      <c r="F491" s="23"/>
      <c r="G491" s="23"/>
      <c r="H491" s="23"/>
      <c r="I491" s="1"/>
      <c r="J491" s="1"/>
      <c r="K491" s="618"/>
      <c r="L491" s="618"/>
      <c r="M491" s="618"/>
      <c r="N491" s="618"/>
      <c r="O491" s="1"/>
      <c r="P491" s="1"/>
      <c r="Q491" s="1"/>
      <c r="R491" s="1"/>
      <c r="S491" s="1"/>
      <c r="T491" s="1"/>
      <c r="U491" s="1"/>
      <c r="V491" s="1"/>
      <c r="W491" s="1"/>
      <c r="X491" s="1"/>
      <c r="Y491" s="1"/>
      <c r="Z491" s="1"/>
      <c r="AA491" s="1"/>
      <c r="AB491" s="1"/>
      <c r="AC491" s="1"/>
      <c r="AD491" s="1"/>
      <c r="AE491" s="1"/>
      <c r="AF491" s="1"/>
      <c r="AG491" s="1"/>
      <c r="AH491" s="1"/>
      <c r="AI491" s="1"/>
      <c r="AJ491" s="1"/>
      <c r="AK491" s="1"/>
      <c r="AL491" s="4"/>
      <c r="AM491" s="1"/>
    </row>
    <row r="492" spans="1:39" ht="15.75" customHeight="1" x14ac:dyDescent="0.45">
      <c r="A492" s="1"/>
      <c r="B492" s="1"/>
      <c r="C492" s="1"/>
      <c r="D492" s="1"/>
      <c r="E492" s="23"/>
      <c r="F492" s="23"/>
      <c r="G492" s="23"/>
      <c r="H492" s="23"/>
      <c r="I492" s="1"/>
      <c r="J492" s="1"/>
      <c r="K492" s="618"/>
      <c r="L492" s="618"/>
      <c r="M492" s="618"/>
      <c r="N492" s="618"/>
      <c r="O492" s="1"/>
      <c r="P492" s="1"/>
      <c r="Q492" s="1"/>
      <c r="R492" s="1"/>
      <c r="S492" s="1"/>
      <c r="T492" s="1"/>
      <c r="U492" s="1"/>
      <c r="V492" s="1"/>
      <c r="W492" s="1"/>
      <c r="X492" s="1"/>
      <c r="Y492" s="1"/>
      <c r="Z492" s="1"/>
      <c r="AA492" s="1"/>
      <c r="AB492" s="1"/>
      <c r="AC492" s="1"/>
      <c r="AD492" s="1"/>
      <c r="AE492" s="1"/>
      <c r="AF492" s="1"/>
      <c r="AG492" s="1"/>
      <c r="AH492" s="1"/>
      <c r="AI492" s="1"/>
      <c r="AJ492" s="1"/>
      <c r="AK492" s="1"/>
      <c r="AL492" s="4"/>
      <c r="AM492" s="1"/>
    </row>
    <row r="493" spans="1:39" ht="15.75" customHeight="1" x14ac:dyDescent="0.45">
      <c r="A493" s="1"/>
      <c r="B493" s="1"/>
      <c r="C493" s="1"/>
      <c r="D493" s="1"/>
      <c r="E493" s="23"/>
      <c r="F493" s="23"/>
      <c r="G493" s="23"/>
      <c r="H493" s="23"/>
      <c r="I493" s="1"/>
      <c r="J493" s="1"/>
      <c r="K493" s="618"/>
      <c r="L493" s="618"/>
      <c r="M493" s="618"/>
      <c r="N493" s="618"/>
      <c r="O493" s="1"/>
      <c r="P493" s="1"/>
      <c r="Q493" s="1"/>
      <c r="R493" s="1"/>
      <c r="S493" s="1"/>
      <c r="T493" s="1"/>
      <c r="U493" s="1"/>
      <c r="V493" s="1"/>
      <c r="W493" s="1"/>
      <c r="X493" s="1"/>
      <c r="Y493" s="1"/>
      <c r="Z493" s="1"/>
      <c r="AA493" s="1"/>
      <c r="AB493" s="1"/>
      <c r="AC493" s="1"/>
      <c r="AD493" s="1"/>
      <c r="AE493" s="1"/>
      <c r="AF493" s="1"/>
      <c r="AG493" s="1"/>
      <c r="AH493" s="1"/>
      <c r="AI493" s="1"/>
      <c r="AJ493" s="1"/>
      <c r="AK493" s="1"/>
      <c r="AL493" s="4"/>
      <c r="AM493" s="1"/>
    </row>
    <row r="494" spans="1:39" ht="15.75" customHeight="1" x14ac:dyDescent="0.45">
      <c r="A494" s="1"/>
      <c r="B494" s="1"/>
      <c r="C494" s="1"/>
      <c r="D494" s="1"/>
      <c r="E494" s="23"/>
      <c r="F494" s="23"/>
      <c r="G494" s="23"/>
      <c r="H494" s="23"/>
      <c r="I494" s="1"/>
      <c r="J494" s="1"/>
      <c r="K494" s="618"/>
      <c r="L494" s="618"/>
      <c r="M494" s="618"/>
      <c r="N494" s="618"/>
      <c r="O494" s="1"/>
      <c r="P494" s="1"/>
      <c r="Q494" s="1"/>
      <c r="R494" s="1"/>
      <c r="S494" s="1"/>
      <c r="T494" s="1"/>
      <c r="U494" s="1"/>
      <c r="V494" s="1"/>
      <c r="W494" s="1"/>
      <c r="X494" s="1"/>
      <c r="Y494" s="1"/>
      <c r="Z494" s="1"/>
      <c r="AA494" s="1"/>
      <c r="AB494" s="1"/>
      <c r="AC494" s="1"/>
      <c r="AD494" s="1"/>
      <c r="AE494" s="1"/>
      <c r="AF494" s="1"/>
      <c r="AG494" s="1"/>
      <c r="AH494" s="1"/>
      <c r="AI494" s="1"/>
      <c r="AJ494" s="1"/>
      <c r="AK494" s="1"/>
      <c r="AL494" s="4"/>
      <c r="AM494" s="1"/>
    </row>
    <row r="495" spans="1:39" ht="15.75" customHeight="1" x14ac:dyDescent="0.45">
      <c r="A495" s="1"/>
      <c r="B495" s="1"/>
      <c r="C495" s="1"/>
      <c r="D495" s="1"/>
      <c r="E495" s="23"/>
      <c r="F495" s="23"/>
      <c r="G495" s="23"/>
      <c r="H495" s="23"/>
      <c r="I495" s="1"/>
      <c r="J495" s="1"/>
      <c r="K495" s="618"/>
      <c r="L495" s="618"/>
      <c r="M495" s="618"/>
      <c r="N495" s="618"/>
      <c r="O495" s="1"/>
      <c r="P495" s="1"/>
      <c r="Q495" s="1"/>
      <c r="R495" s="1"/>
      <c r="S495" s="1"/>
      <c r="T495" s="1"/>
      <c r="U495" s="1"/>
      <c r="V495" s="1"/>
      <c r="W495" s="1"/>
      <c r="X495" s="1"/>
      <c r="Y495" s="1"/>
      <c r="Z495" s="1"/>
      <c r="AA495" s="1"/>
      <c r="AB495" s="1"/>
      <c r="AC495" s="1"/>
      <c r="AD495" s="1"/>
      <c r="AE495" s="1"/>
      <c r="AF495" s="1"/>
      <c r="AG495" s="1"/>
      <c r="AH495" s="1"/>
      <c r="AI495" s="1"/>
      <c r="AJ495" s="1"/>
      <c r="AK495" s="1"/>
      <c r="AL495" s="4"/>
      <c r="AM495" s="1"/>
    </row>
    <row r="496" spans="1:39" ht="15.75" customHeight="1" x14ac:dyDescent="0.45">
      <c r="A496" s="1"/>
      <c r="B496" s="1"/>
      <c r="C496" s="1"/>
      <c r="D496" s="1"/>
      <c r="E496" s="23"/>
      <c r="F496" s="23"/>
      <c r="G496" s="23"/>
      <c r="H496" s="23"/>
      <c r="I496" s="1"/>
      <c r="J496" s="1"/>
      <c r="K496" s="618"/>
      <c r="L496" s="618"/>
      <c r="M496" s="618"/>
      <c r="N496" s="618"/>
      <c r="O496" s="1"/>
      <c r="P496" s="1"/>
      <c r="Q496" s="1"/>
      <c r="R496" s="1"/>
      <c r="S496" s="1"/>
      <c r="T496" s="1"/>
      <c r="U496" s="1"/>
      <c r="V496" s="1"/>
      <c r="W496" s="1"/>
      <c r="X496" s="1"/>
      <c r="Y496" s="1"/>
      <c r="Z496" s="1"/>
      <c r="AA496" s="1"/>
      <c r="AB496" s="1"/>
      <c r="AC496" s="1"/>
      <c r="AD496" s="1"/>
      <c r="AE496" s="1"/>
      <c r="AF496" s="1"/>
      <c r="AG496" s="1"/>
      <c r="AH496" s="1"/>
      <c r="AI496" s="1"/>
      <c r="AJ496" s="1"/>
      <c r="AK496" s="1"/>
      <c r="AL496" s="4"/>
      <c r="AM496" s="1"/>
    </row>
    <row r="497" spans="1:39" ht="15.75" customHeight="1" x14ac:dyDescent="0.45">
      <c r="A497" s="1"/>
      <c r="B497" s="1"/>
      <c r="C497" s="1"/>
      <c r="D497" s="1"/>
      <c r="E497" s="23"/>
      <c r="F497" s="23"/>
      <c r="G497" s="23"/>
      <c r="H497" s="23"/>
      <c r="I497" s="1"/>
      <c r="J497" s="1"/>
      <c r="K497" s="618"/>
      <c r="L497" s="618"/>
      <c r="M497" s="618"/>
      <c r="N497" s="618"/>
      <c r="O497" s="1"/>
      <c r="P497" s="1"/>
      <c r="Q497" s="1"/>
      <c r="R497" s="1"/>
      <c r="S497" s="1"/>
      <c r="T497" s="1"/>
      <c r="U497" s="1"/>
      <c r="V497" s="1"/>
      <c r="W497" s="1"/>
      <c r="X497" s="1"/>
      <c r="Y497" s="1"/>
      <c r="Z497" s="1"/>
      <c r="AA497" s="1"/>
      <c r="AB497" s="1"/>
      <c r="AC497" s="1"/>
      <c r="AD497" s="1"/>
      <c r="AE497" s="1"/>
      <c r="AF497" s="1"/>
      <c r="AG497" s="1"/>
      <c r="AH497" s="1"/>
      <c r="AI497" s="1"/>
      <c r="AJ497" s="1"/>
      <c r="AK497" s="1"/>
      <c r="AL497" s="4"/>
      <c r="AM497" s="1"/>
    </row>
    <row r="498" spans="1:39" ht="15.75" customHeight="1" x14ac:dyDescent="0.45">
      <c r="A498" s="1"/>
      <c r="B498" s="1"/>
      <c r="C498" s="1"/>
      <c r="D498" s="1"/>
      <c r="E498" s="23"/>
      <c r="F498" s="23"/>
      <c r="G498" s="23"/>
      <c r="H498" s="23"/>
      <c r="I498" s="1"/>
      <c r="J498" s="1"/>
      <c r="K498" s="618"/>
      <c r="L498" s="618"/>
      <c r="M498" s="618"/>
      <c r="N498" s="618"/>
      <c r="O498" s="1"/>
      <c r="P498" s="1"/>
      <c r="Q498" s="1"/>
      <c r="R498" s="1"/>
      <c r="S498" s="1"/>
      <c r="T498" s="1"/>
      <c r="U498" s="1"/>
      <c r="V498" s="1"/>
      <c r="W498" s="1"/>
      <c r="X498" s="1"/>
      <c r="Y498" s="1"/>
      <c r="Z498" s="1"/>
      <c r="AA498" s="1"/>
      <c r="AB498" s="1"/>
      <c r="AC498" s="1"/>
      <c r="AD498" s="1"/>
      <c r="AE498" s="1"/>
      <c r="AF498" s="1"/>
      <c r="AG498" s="1"/>
      <c r="AH498" s="1"/>
      <c r="AI498" s="1"/>
      <c r="AJ498" s="1"/>
      <c r="AK498" s="1"/>
      <c r="AL498" s="4"/>
      <c r="AM498" s="1"/>
    </row>
    <row r="499" spans="1:39" ht="15.75" customHeight="1" x14ac:dyDescent="0.45">
      <c r="A499" s="1"/>
      <c r="B499" s="1"/>
      <c r="C499" s="1"/>
      <c r="D499" s="1"/>
      <c r="E499" s="23"/>
      <c r="F499" s="23"/>
      <c r="G499" s="23"/>
      <c r="H499" s="23"/>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4"/>
      <c r="AM499" s="1"/>
    </row>
    <row r="500" spans="1:39" ht="15.75" customHeight="1" x14ac:dyDescent="0.45">
      <c r="A500" s="1"/>
      <c r="B500" s="1"/>
      <c r="C500" s="1"/>
      <c r="D500" s="1"/>
      <c r="E500" s="23"/>
      <c r="F500" s="23"/>
      <c r="G500" s="23"/>
      <c r="H500" s="23"/>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4"/>
      <c r="AM500" s="1"/>
    </row>
    <row r="501" spans="1:39" ht="15.75" customHeight="1" x14ac:dyDescent="0.45">
      <c r="A501" s="1"/>
      <c r="B501" s="1"/>
      <c r="C501" s="1"/>
      <c r="D501" s="1"/>
      <c r="E501" s="23"/>
      <c r="F501" s="23"/>
      <c r="G501" s="23"/>
      <c r="H501" s="23"/>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4"/>
      <c r="AM501" s="1"/>
    </row>
    <row r="502" spans="1:39" ht="15.75" customHeight="1" x14ac:dyDescent="0.45">
      <c r="A502" s="1"/>
      <c r="B502" s="1"/>
      <c r="C502" s="1"/>
      <c r="D502" s="1"/>
      <c r="E502" s="23"/>
      <c r="F502" s="23"/>
      <c r="G502" s="23"/>
      <c r="H502" s="23"/>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4"/>
      <c r="AM502" s="1"/>
    </row>
    <row r="503" spans="1:39" ht="15.75" customHeight="1" x14ac:dyDescent="0.45">
      <c r="A503" s="1"/>
      <c r="B503" s="1"/>
      <c r="C503" s="1"/>
      <c r="D503" s="1"/>
      <c r="E503" s="23"/>
      <c r="F503" s="23"/>
      <c r="G503" s="23"/>
      <c r="H503" s="23"/>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4"/>
      <c r="AM503" s="1"/>
    </row>
    <row r="504" spans="1:39" ht="15.75" customHeight="1" x14ac:dyDescent="0.45">
      <c r="A504" s="1"/>
      <c r="B504" s="1"/>
      <c r="C504" s="1"/>
      <c r="D504" s="1"/>
      <c r="E504" s="23"/>
      <c r="F504" s="23"/>
      <c r="G504" s="23"/>
      <c r="H504" s="23"/>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4"/>
      <c r="AM504" s="1"/>
    </row>
    <row r="505" spans="1:39" ht="15.75" customHeight="1" x14ac:dyDescent="0.45">
      <c r="A505" s="1"/>
      <c r="B505" s="1"/>
      <c r="C505" s="1"/>
      <c r="D505" s="1"/>
      <c r="E505" s="23"/>
      <c r="F505" s="23"/>
      <c r="G505" s="23"/>
      <c r="H505" s="23"/>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4"/>
      <c r="AM505" s="1"/>
    </row>
    <row r="506" spans="1:39" ht="15.75" customHeight="1" x14ac:dyDescent="0.45">
      <c r="A506" s="1"/>
      <c r="B506" s="1"/>
      <c r="C506" s="1"/>
      <c r="D506" s="1"/>
      <c r="E506" s="23"/>
      <c r="F506" s="23"/>
      <c r="G506" s="23"/>
      <c r="H506" s="23"/>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4"/>
      <c r="AM506" s="1"/>
    </row>
    <row r="507" spans="1:39" ht="15.75" customHeight="1" x14ac:dyDescent="0.45">
      <c r="A507" s="1"/>
      <c r="B507" s="1"/>
      <c r="C507" s="1"/>
      <c r="D507" s="1"/>
      <c r="E507" s="23"/>
      <c r="F507" s="23"/>
      <c r="G507" s="23"/>
      <c r="H507" s="23"/>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4"/>
      <c r="AM507" s="1"/>
    </row>
    <row r="508" spans="1:39" ht="15.75" customHeight="1" x14ac:dyDescent="0.45">
      <c r="A508" s="1"/>
      <c r="B508" s="1"/>
      <c r="C508" s="1"/>
      <c r="D508" s="1"/>
      <c r="E508" s="23"/>
      <c r="F508" s="23"/>
      <c r="G508" s="23"/>
      <c r="H508" s="23"/>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4"/>
      <c r="AM508" s="1"/>
    </row>
    <row r="509" spans="1:39" ht="15.75" customHeight="1" x14ac:dyDescent="0.45">
      <c r="A509" s="1"/>
      <c r="B509" s="1"/>
      <c r="C509" s="1"/>
      <c r="D509" s="1"/>
      <c r="E509" s="23"/>
      <c r="F509" s="23"/>
      <c r="G509" s="23"/>
      <c r="H509" s="23"/>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4"/>
      <c r="AM509" s="1"/>
    </row>
    <row r="510" spans="1:39" ht="15.75" customHeight="1" x14ac:dyDescent="0.45">
      <c r="A510" s="1"/>
      <c r="B510" s="1"/>
      <c r="C510" s="1"/>
      <c r="D510" s="1"/>
      <c r="E510" s="23"/>
      <c r="F510" s="23"/>
      <c r="G510" s="23"/>
      <c r="H510" s="23"/>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4"/>
      <c r="AM510" s="1"/>
    </row>
    <row r="511" spans="1:39" ht="15.75" customHeight="1" x14ac:dyDescent="0.45">
      <c r="A511" s="1"/>
      <c r="B511" s="1"/>
      <c r="C511" s="1"/>
      <c r="D511" s="1"/>
      <c r="E511" s="23"/>
      <c r="F511" s="23"/>
      <c r="G511" s="23"/>
      <c r="H511" s="23"/>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4"/>
      <c r="AM511" s="1"/>
    </row>
    <row r="512" spans="1:39" ht="15.75" customHeight="1" x14ac:dyDescent="0.45">
      <c r="A512" s="1"/>
      <c r="B512" s="1"/>
      <c r="C512" s="1"/>
      <c r="D512" s="1"/>
      <c r="E512" s="23"/>
      <c r="F512" s="23"/>
      <c r="G512" s="23"/>
      <c r="H512" s="23"/>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4"/>
      <c r="AM512" s="1"/>
    </row>
    <row r="513" spans="1:39" ht="15.75" customHeight="1" x14ac:dyDescent="0.45">
      <c r="A513" s="1"/>
      <c r="B513" s="1"/>
      <c r="C513" s="1"/>
      <c r="D513" s="1"/>
      <c r="E513" s="23"/>
      <c r="F513" s="23"/>
      <c r="G513" s="23"/>
      <c r="H513" s="23"/>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4"/>
      <c r="AM513" s="1"/>
    </row>
    <row r="514" spans="1:39" ht="15.75" customHeight="1" x14ac:dyDescent="0.45">
      <c r="A514" s="1"/>
      <c r="B514" s="1"/>
      <c r="C514" s="1"/>
      <c r="D514" s="1"/>
      <c r="E514" s="23"/>
      <c r="F514" s="23"/>
      <c r="G514" s="23"/>
      <c r="H514" s="23"/>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4"/>
      <c r="AM514" s="1"/>
    </row>
    <row r="515" spans="1:39" ht="15.75" customHeight="1" x14ac:dyDescent="0.45">
      <c r="A515" s="1"/>
      <c r="B515" s="1"/>
      <c r="C515" s="1"/>
      <c r="D515" s="1"/>
      <c r="E515" s="23"/>
      <c r="F515" s="23"/>
      <c r="G515" s="23"/>
      <c r="H515" s="23"/>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4"/>
      <c r="AM515" s="1"/>
    </row>
    <row r="516" spans="1:39" ht="15.75" customHeight="1" x14ac:dyDescent="0.45">
      <c r="A516" s="1"/>
      <c r="B516" s="1"/>
      <c r="C516" s="1"/>
      <c r="D516" s="1"/>
      <c r="E516" s="23"/>
      <c r="F516" s="23"/>
      <c r="G516" s="23"/>
      <c r="H516" s="23"/>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4"/>
      <c r="AM516" s="1"/>
    </row>
    <row r="517" spans="1:39" ht="15.75" customHeight="1" x14ac:dyDescent="0.45">
      <c r="A517" s="1"/>
      <c r="B517" s="1"/>
      <c r="C517" s="1"/>
      <c r="D517" s="1"/>
      <c r="E517" s="23"/>
      <c r="F517" s="23"/>
      <c r="G517" s="23"/>
      <c r="H517" s="23"/>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4"/>
      <c r="AM517" s="1"/>
    </row>
    <row r="518" spans="1:39" ht="15.75" customHeight="1" x14ac:dyDescent="0.45">
      <c r="A518" s="1"/>
      <c r="B518" s="1"/>
      <c r="C518" s="1"/>
      <c r="D518" s="1"/>
      <c r="E518" s="23"/>
      <c r="F518" s="23"/>
      <c r="G518" s="23"/>
      <c r="H518" s="23"/>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4"/>
      <c r="AM518" s="1"/>
    </row>
    <row r="519" spans="1:39" ht="15.75" customHeight="1" x14ac:dyDescent="0.45">
      <c r="A519" s="1"/>
      <c r="B519" s="1"/>
      <c r="C519" s="1"/>
      <c r="D519" s="1"/>
      <c r="E519" s="23"/>
      <c r="F519" s="23"/>
      <c r="G519" s="23"/>
      <c r="H519" s="23"/>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4"/>
      <c r="AM519" s="1"/>
    </row>
    <row r="520" spans="1:39" ht="15.75" customHeight="1" x14ac:dyDescent="0.45">
      <c r="A520" s="1"/>
      <c r="B520" s="1"/>
      <c r="C520" s="1"/>
      <c r="D520" s="1"/>
      <c r="E520" s="23"/>
      <c r="F520" s="23"/>
      <c r="G520" s="23"/>
      <c r="H520" s="23"/>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4"/>
      <c r="AM520" s="1"/>
    </row>
    <row r="521" spans="1:39" ht="15.75" customHeight="1" x14ac:dyDescent="0.45">
      <c r="A521" s="1"/>
      <c r="B521" s="1"/>
      <c r="C521" s="1"/>
      <c r="D521" s="1"/>
      <c r="E521" s="23"/>
      <c r="F521" s="23"/>
      <c r="G521" s="23"/>
      <c r="H521" s="23"/>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4"/>
      <c r="AM521" s="1"/>
    </row>
    <row r="522" spans="1:39" ht="15.75" customHeight="1" x14ac:dyDescent="0.45">
      <c r="A522" s="1"/>
      <c r="B522" s="1"/>
      <c r="C522" s="1"/>
      <c r="D522" s="1"/>
      <c r="E522" s="23"/>
      <c r="F522" s="23"/>
      <c r="G522" s="23"/>
      <c r="H522" s="23"/>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4"/>
      <c r="AM522" s="1"/>
    </row>
    <row r="523" spans="1:39" ht="15.75" customHeight="1" x14ac:dyDescent="0.45">
      <c r="A523" s="1"/>
      <c r="B523" s="1"/>
      <c r="C523" s="1"/>
      <c r="D523" s="1"/>
      <c r="E523" s="23"/>
      <c r="F523" s="23"/>
      <c r="G523" s="23"/>
      <c r="H523" s="23"/>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4"/>
      <c r="AM523" s="1"/>
    </row>
    <row r="524" spans="1:39" ht="15.75" customHeight="1" x14ac:dyDescent="0.45">
      <c r="A524" s="1"/>
      <c r="B524" s="1"/>
      <c r="C524" s="1"/>
      <c r="D524" s="1"/>
      <c r="E524" s="23"/>
      <c r="F524" s="23"/>
      <c r="G524" s="23"/>
      <c r="H524" s="23"/>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4"/>
      <c r="AM524" s="1"/>
    </row>
    <row r="525" spans="1:39" ht="15.75" customHeight="1" x14ac:dyDescent="0.45">
      <c r="A525" s="1"/>
      <c r="B525" s="1"/>
      <c r="C525" s="1"/>
      <c r="D525" s="1"/>
      <c r="E525" s="23"/>
      <c r="F525" s="23"/>
      <c r="G525" s="23"/>
      <c r="H525" s="23"/>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4"/>
      <c r="AM525" s="1"/>
    </row>
    <row r="526" spans="1:39" ht="15.75" customHeight="1" x14ac:dyDescent="0.45">
      <c r="A526" s="1"/>
      <c r="B526" s="1"/>
      <c r="C526" s="1"/>
      <c r="D526" s="1"/>
      <c r="E526" s="23"/>
      <c r="F526" s="23"/>
      <c r="G526" s="23"/>
      <c r="H526" s="23"/>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4"/>
      <c r="AM526" s="1"/>
    </row>
    <row r="527" spans="1:39" ht="15.75" customHeight="1" x14ac:dyDescent="0.45">
      <c r="A527" s="1"/>
      <c r="B527" s="1"/>
      <c r="C527" s="1"/>
      <c r="D527" s="1"/>
      <c r="E527" s="23"/>
      <c r="F527" s="23"/>
      <c r="G527" s="23"/>
      <c r="H527" s="23"/>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4"/>
      <c r="AM527" s="1"/>
    </row>
    <row r="528" spans="1:39" ht="15.75" customHeight="1" x14ac:dyDescent="0.45">
      <c r="A528" s="1"/>
      <c r="B528" s="1"/>
      <c r="C528" s="1"/>
      <c r="D528" s="1"/>
      <c r="E528" s="23"/>
      <c r="F528" s="23"/>
      <c r="G528" s="23"/>
      <c r="H528" s="23"/>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4"/>
      <c r="AM528" s="1"/>
    </row>
    <row r="529" spans="1:39" ht="15.75" customHeight="1" x14ac:dyDescent="0.45">
      <c r="A529" s="1"/>
      <c r="B529" s="1"/>
      <c r="C529" s="1"/>
      <c r="D529" s="1"/>
      <c r="E529" s="23"/>
      <c r="F529" s="23"/>
      <c r="G529" s="23"/>
      <c r="H529" s="23"/>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4"/>
      <c r="AM529" s="1"/>
    </row>
    <row r="530" spans="1:39" ht="15.75" customHeight="1" x14ac:dyDescent="0.45">
      <c r="A530" s="1"/>
      <c r="B530" s="1"/>
      <c r="C530" s="1"/>
      <c r="D530" s="1"/>
      <c r="E530" s="23"/>
      <c r="F530" s="23"/>
      <c r="G530" s="23"/>
      <c r="H530" s="23"/>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4"/>
      <c r="AM530" s="1"/>
    </row>
    <row r="531" spans="1:39" ht="15.75" customHeight="1" x14ac:dyDescent="0.45">
      <c r="A531" s="1"/>
      <c r="B531" s="1"/>
      <c r="C531" s="1"/>
      <c r="D531" s="1"/>
      <c r="E531" s="23"/>
      <c r="F531" s="23"/>
      <c r="G531" s="23"/>
      <c r="H531" s="23"/>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4"/>
      <c r="AM531" s="1"/>
    </row>
    <row r="532" spans="1:39" ht="15.75" customHeight="1" x14ac:dyDescent="0.45">
      <c r="A532" s="1"/>
      <c r="B532" s="1"/>
      <c r="C532" s="1"/>
      <c r="D532" s="1"/>
      <c r="E532" s="23"/>
      <c r="F532" s="23"/>
      <c r="G532" s="23"/>
      <c r="H532" s="23"/>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4"/>
      <c r="AM532" s="1"/>
    </row>
    <row r="533" spans="1:39" ht="15.75" customHeight="1" x14ac:dyDescent="0.45">
      <c r="A533" s="1"/>
      <c r="B533" s="1"/>
      <c r="C533" s="1"/>
      <c r="D533" s="1"/>
      <c r="E533" s="23"/>
      <c r="F533" s="23"/>
      <c r="G533" s="23"/>
      <c r="H533" s="23"/>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4"/>
      <c r="AM533" s="1"/>
    </row>
    <row r="534" spans="1:39" ht="15.75" customHeight="1" x14ac:dyDescent="0.45">
      <c r="A534" s="1"/>
      <c r="B534" s="1"/>
      <c r="C534" s="1"/>
      <c r="D534" s="1"/>
      <c r="E534" s="23"/>
      <c r="F534" s="23"/>
      <c r="G534" s="23"/>
      <c r="H534" s="23"/>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4"/>
      <c r="AM534" s="1"/>
    </row>
    <row r="535" spans="1:39" ht="15.75" customHeight="1" x14ac:dyDescent="0.45">
      <c r="A535" s="1"/>
      <c r="B535" s="1"/>
      <c r="C535" s="1"/>
      <c r="D535" s="1"/>
      <c r="E535" s="23"/>
      <c r="F535" s="23"/>
      <c r="G535" s="23"/>
      <c r="H535" s="23"/>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4"/>
      <c r="AM535" s="1"/>
    </row>
    <row r="536" spans="1:39" ht="15.75" customHeight="1" x14ac:dyDescent="0.45">
      <c r="A536" s="1"/>
      <c r="B536" s="1"/>
      <c r="C536" s="1"/>
      <c r="D536" s="1"/>
      <c r="E536" s="23"/>
      <c r="F536" s="23"/>
      <c r="G536" s="23"/>
      <c r="H536" s="23"/>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4"/>
      <c r="AM536" s="1"/>
    </row>
    <row r="537" spans="1:39" ht="15.75" customHeight="1" x14ac:dyDescent="0.45">
      <c r="A537" s="1"/>
      <c r="B537" s="1"/>
      <c r="C537" s="1"/>
      <c r="D537" s="1"/>
      <c r="E537" s="23"/>
      <c r="F537" s="23"/>
      <c r="G537" s="23"/>
      <c r="H537" s="23"/>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4"/>
      <c r="AM537" s="1"/>
    </row>
    <row r="538" spans="1:39" ht="15.75" customHeight="1" x14ac:dyDescent="0.45">
      <c r="A538" s="1"/>
      <c r="B538" s="1"/>
      <c r="C538" s="1"/>
      <c r="D538" s="1"/>
      <c r="E538" s="23"/>
      <c r="F538" s="23"/>
      <c r="G538" s="23"/>
      <c r="H538" s="23"/>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4"/>
      <c r="AM538" s="1"/>
    </row>
    <row r="539" spans="1:39" ht="15.75" customHeight="1" x14ac:dyDescent="0.45">
      <c r="A539" s="1"/>
      <c r="B539" s="1"/>
      <c r="C539" s="1"/>
      <c r="D539" s="1"/>
      <c r="E539" s="23"/>
      <c r="F539" s="23"/>
      <c r="G539" s="23"/>
      <c r="H539" s="23"/>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4"/>
      <c r="AM539" s="1"/>
    </row>
    <row r="540" spans="1:39" ht="15.75" customHeight="1" x14ac:dyDescent="0.45">
      <c r="A540" s="1"/>
      <c r="B540" s="1"/>
      <c r="C540" s="1"/>
      <c r="D540" s="1"/>
      <c r="E540" s="23"/>
      <c r="F540" s="23"/>
      <c r="G540" s="23"/>
      <c r="H540" s="23"/>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4"/>
      <c r="AM540" s="1"/>
    </row>
    <row r="541" spans="1:39" ht="15.75" customHeight="1" x14ac:dyDescent="0.45">
      <c r="A541" s="1"/>
      <c r="B541" s="1"/>
      <c r="C541" s="1"/>
      <c r="D541" s="1"/>
      <c r="E541" s="23"/>
      <c r="F541" s="23"/>
      <c r="G541" s="23"/>
      <c r="H541" s="23"/>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4"/>
      <c r="AM541" s="1"/>
    </row>
    <row r="542" spans="1:39" ht="15.75" customHeight="1" x14ac:dyDescent="0.45">
      <c r="A542" s="1"/>
      <c r="B542" s="1"/>
      <c r="C542" s="1"/>
      <c r="D542" s="1"/>
      <c r="E542" s="23"/>
      <c r="F542" s="23"/>
      <c r="G542" s="23"/>
      <c r="H542" s="23"/>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4"/>
      <c r="AM542" s="1"/>
    </row>
    <row r="543" spans="1:39" ht="15.75" customHeight="1" x14ac:dyDescent="0.45">
      <c r="A543" s="1"/>
      <c r="B543" s="1"/>
      <c r="C543" s="1"/>
      <c r="D543" s="1"/>
      <c r="E543" s="23"/>
      <c r="F543" s="23"/>
      <c r="G543" s="23"/>
      <c r="H543" s="23"/>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4"/>
      <c r="AM543" s="1"/>
    </row>
    <row r="544" spans="1:39" ht="15.75" customHeight="1" x14ac:dyDescent="0.45">
      <c r="A544" s="1"/>
      <c r="B544" s="1"/>
      <c r="C544" s="1"/>
      <c r="D544" s="1"/>
      <c r="E544" s="23"/>
      <c r="F544" s="23"/>
      <c r="G544" s="23"/>
      <c r="H544" s="23"/>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4"/>
      <c r="AM544" s="1"/>
    </row>
    <row r="545" spans="1:39" ht="15.75" customHeight="1" x14ac:dyDescent="0.45">
      <c r="A545" s="1"/>
      <c r="B545" s="1"/>
      <c r="C545" s="1"/>
      <c r="D545" s="1"/>
      <c r="E545" s="23"/>
      <c r="F545" s="23"/>
      <c r="G545" s="23"/>
      <c r="H545" s="23"/>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4"/>
      <c r="AM545" s="1"/>
    </row>
    <row r="546" spans="1:39" ht="15.75" customHeight="1" x14ac:dyDescent="0.45">
      <c r="A546" s="1"/>
      <c r="B546" s="1"/>
      <c r="C546" s="1"/>
      <c r="D546" s="1"/>
      <c r="E546" s="23"/>
      <c r="F546" s="23"/>
      <c r="G546" s="23"/>
      <c r="H546" s="23"/>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4"/>
      <c r="AM546" s="1"/>
    </row>
    <row r="547" spans="1:39" ht="15.75" customHeight="1" x14ac:dyDescent="0.45">
      <c r="A547" s="1"/>
      <c r="B547" s="1"/>
      <c r="C547" s="1"/>
      <c r="D547" s="1"/>
      <c r="E547" s="23"/>
      <c r="F547" s="23"/>
      <c r="G547" s="23"/>
      <c r="H547" s="23"/>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4"/>
      <c r="AM547" s="1"/>
    </row>
    <row r="548" spans="1:39" ht="15.75" customHeight="1" x14ac:dyDescent="0.45">
      <c r="A548" s="1"/>
      <c r="B548" s="1"/>
      <c r="C548" s="1"/>
      <c r="D548" s="1"/>
      <c r="E548" s="23"/>
      <c r="F548" s="23"/>
      <c r="G548" s="23"/>
      <c r="H548" s="23"/>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4"/>
      <c r="AM548" s="1"/>
    </row>
    <row r="549" spans="1:39" ht="15.75" customHeight="1" x14ac:dyDescent="0.45">
      <c r="A549" s="1"/>
      <c r="B549" s="1"/>
      <c r="C549" s="1"/>
      <c r="D549" s="1"/>
      <c r="E549" s="23"/>
      <c r="F549" s="23"/>
      <c r="G549" s="23"/>
      <c r="H549" s="23"/>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4"/>
      <c r="AM549" s="1"/>
    </row>
    <row r="550" spans="1:39" ht="15.75" customHeight="1" x14ac:dyDescent="0.45">
      <c r="A550" s="1"/>
      <c r="B550" s="1"/>
      <c r="C550" s="1"/>
      <c r="D550" s="1"/>
      <c r="E550" s="23"/>
      <c r="F550" s="23"/>
      <c r="G550" s="23"/>
      <c r="H550" s="23"/>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4"/>
      <c r="AM550" s="1"/>
    </row>
    <row r="551" spans="1:39" ht="15.75" customHeight="1" x14ac:dyDescent="0.45">
      <c r="A551" s="1"/>
      <c r="B551" s="1"/>
      <c r="C551" s="1"/>
      <c r="D551" s="1"/>
      <c r="E551" s="23"/>
      <c r="F551" s="23"/>
      <c r="G551" s="23"/>
      <c r="H551" s="23"/>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4"/>
      <c r="AM551" s="1"/>
    </row>
    <row r="552" spans="1:39" ht="15.75" customHeight="1" x14ac:dyDescent="0.45">
      <c r="A552" s="1"/>
      <c r="B552" s="1"/>
      <c r="C552" s="1"/>
      <c r="D552" s="1"/>
      <c r="E552" s="23"/>
      <c r="F552" s="23"/>
      <c r="G552" s="23"/>
      <c r="H552" s="23"/>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4"/>
      <c r="AM552" s="1"/>
    </row>
    <row r="553" spans="1:39" ht="15.75" customHeight="1" x14ac:dyDescent="0.45">
      <c r="A553" s="1"/>
      <c r="B553" s="1"/>
      <c r="C553" s="1"/>
      <c r="D553" s="1"/>
      <c r="E553" s="23"/>
      <c r="F553" s="23"/>
      <c r="G553" s="23"/>
      <c r="H553" s="23"/>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4"/>
      <c r="AM553" s="1"/>
    </row>
    <row r="554" spans="1:39" ht="15.75" customHeight="1" x14ac:dyDescent="0.45">
      <c r="A554" s="1"/>
      <c r="B554" s="1"/>
      <c r="C554" s="1"/>
      <c r="D554" s="1"/>
      <c r="E554" s="23"/>
      <c r="F554" s="23"/>
      <c r="G554" s="23"/>
      <c r="H554" s="23"/>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4"/>
      <c r="AM554" s="1"/>
    </row>
    <row r="555" spans="1:39" ht="15.75" customHeight="1" x14ac:dyDescent="0.45">
      <c r="A555" s="1"/>
      <c r="B555" s="1"/>
      <c r="C555" s="1"/>
      <c r="D555" s="1"/>
      <c r="E555" s="23"/>
      <c r="F555" s="23"/>
      <c r="G555" s="23"/>
      <c r="H555" s="23"/>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4"/>
      <c r="AM555" s="1"/>
    </row>
    <row r="556" spans="1:39" ht="15.75" customHeight="1" x14ac:dyDescent="0.45">
      <c r="A556" s="1"/>
      <c r="B556" s="1"/>
      <c r="C556" s="1"/>
      <c r="D556" s="1"/>
      <c r="E556" s="23"/>
      <c r="F556" s="23"/>
      <c r="G556" s="23"/>
      <c r="H556" s="23"/>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4"/>
      <c r="AM556" s="1"/>
    </row>
    <row r="557" spans="1:39" ht="15.75" customHeight="1" x14ac:dyDescent="0.45">
      <c r="A557" s="1"/>
      <c r="B557" s="1"/>
      <c r="C557" s="1"/>
      <c r="D557" s="1"/>
      <c r="E557" s="23"/>
      <c r="F557" s="23"/>
      <c r="G557" s="23"/>
      <c r="H557" s="23"/>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4"/>
      <c r="AM557" s="1"/>
    </row>
    <row r="558" spans="1:39" ht="15.75" customHeight="1" x14ac:dyDescent="0.45">
      <c r="A558" s="1"/>
      <c r="B558" s="1"/>
      <c r="C558" s="1"/>
      <c r="D558" s="1"/>
      <c r="E558" s="23"/>
      <c r="F558" s="23"/>
      <c r="G558" s="23"/>
      <c r="H558" s="23"/>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4"/>
      <c r="AM558" s="1"/>
    </row>
    <row r="559" spans="1:39" ht="15.75" customHeight="1" x14ac:dyDescent="0.45">
      <c r="A559" s="1"/>
      <c r="B559" s="1"/>
      <c r="C559" s="1"/>
      <c r="D559" s="1"/>
      <c r="E559" s="23"/>
      <c r="F559" s="23"/>
      <c r="G559" s="23"/>
      <c r="H559" s="23"/>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4"/>
      <c r="AM559" s="1"/>
    </row>
    <row r="560" spans="1:39" ht="15.75" customHeight="1" x14ac:dyDescent="0.45">
      <c r="A560" s="1"/>
      <c r="B560" s="1"/>
      <c r="C560" s="1"/>
      <c r="D560" s="1"/>
      <c r="E560" s="23"/>
      <c r="F560" s="23"/>
      <c r="G560" s="23"/>
      <c r="H560" s="23"/>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4"/>
      <c r="AM560" s="1"/>
    </row>
    <row r="561" spans="1:39" ht="15.75" customHeight="1" x14ac:dyDescent="0.45">
      <c r="A561" s="1"/>
      <c r="B561" s="1"/>
      <c r="C561" s="1"/>
      <c r="D561" s="1"/>
      <c r="E561" s="23"/>
      <c r="F561" s="23"/>
      <c r="G561" s="23"/>
      <c r="H561" s="23"/>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4"/>
      <c r="AM561" s="1"/>
    </row>
    <row r="562" spans="1:39" ht="15.75" customHeight="1" x14ac:dyDescent="0.45">
      <c r="A562" s="1"/>
      <c r="B562" s="1"/>
      <c r="C562" s="1"/>
      <c r="D562" s="1"/>
      <c r="E562" s="23"/>
      <c r="F562" s="23"/>
      <c r="G562" s="23"/>
      <c r="H562" s="23"/>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4"/>
      <c r="AM562" s="1"/>
    </row>
    <row r="563" spans="1:39" ht="15.75" customHeight="1" x14ac:dyDescent="0.45">
      <c r="A563" s="1"/>
      <c r="B563" s="1"/>
      <c r="C563" s="1"/>
      <c r="D563" s="1"/>
      <c r="E563" s="23"/>
      <c r="F563" s="23"/>
      <c r="G563" s="23"/>
      <c r="H563" s="23"/>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4"/>
      <c r="AM563" s="1"/>
    </row>
    <row r="564" spans="1:39" ht="15.75" customHeight="1" x14ac:dyDescent="0.45">
      <c r="A564" s="1"/>
      <c r="B564" s="1"/>
      <c r="C564" s="1"/>
      <c r="D564" s="1"/>
      <c r="E564" s="23"/>
      <c r="F564" s="23"/>
      <c r="G564" s="23"/>
      <c r="H564" s="23"/>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4"/>
      <c r="AM564" s="1"/>
    </row>
    <row r="565" spans="1:39" ht="15.75" customHeight="1" x14ac:dyDescent="0.45">
      <c r="A565" s="1"/>
      <c r="B565" s="1"/>
      <c r="C565" s="1"/>
      <c r="D565" s="1"/>
      <c r="E565" s="23"/>
      <c r="F565" s="23"/>
      <c r="G565" s="23"/>
      <c r="H565" s="23"/>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4"/>
      <c r="AM565" s="1"/>
    </row>
    <row r="566" spans="1:39" ht="15.75" customHeight="1" x14ac:dyDescent="0.45">
      <c r="A566" s="1"/>
      <c r="B566" s="1"/>
      <c r="C566" s="1"/>
      <c r="D566" s="1"/>
      <c r="E566" s="23"/>
      <c r="F566" s="23"/>
      <c r="G566" s="23"/>
      <c r="H566" s="23"/>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4"/>
      <c r="AM566" s="1"/>
    </row>
    <row r="567" spans="1:39" ht="15.75" customHeight="1" x14ac:dyDescent="0.45">
      <c r="A567" s="1"/>
      <c r="B567" s="1"/>
      <c r="C567" s="1"/>
      <c r="D567" s="1"/>
      <c r="E567" s="23"/>
      <c r="F567" s="23"/>
      <c r="G567" s="23"/>
      <c r="H567" s="23"/>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4"/>
      <c r="AM567" s="1"/>
    </row>
    <row r="568" spans="1:39" ht="15.75" customHeight="1" x14ac:dyDescent="0.45">
      <c r="A568" s="1"/>
      <c r="B568" s="1"/>
      <c r="C568" s="1"/>
      <c r="D568" s="1"/>
      <c r="E568" s="23"/>
      <c r="F568" s="23"/>
      <c r="G568" s="23"/>
      <c r="H568" s="23"/>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4"/>
      <c r="AM568" s="1"/>
    </row>
    <row r="569" spans="1:39" ht="15.75" customHeight="1" x14ac:dyDescent="0.45">
      <c r="A569" s="1"/>
      <c r="B569" s="1"/>
      <c r="C569" s="1"/>
      <c r="D569" s="1"/>
      <c r="E569" s="23"/>
      <c r="F569" s="23"/>
      <c r="G569" s="23"/>
      <c r="H569" s="23"/>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4"/>
      <c r="AM569" s="1"/>
    </row>
    <row r="570" spans="1:39" ht="15.75" customHeight="1" x14ac:dyDescent="0.45">
      <c r="A570" s="1"/>
      <c r="B570" s="1"/>
      <c r="C570" s="1"/>
      <c r="D570" s="1"/>
      <c r="E570" s="23"/>
      <c r="F570" s="23"/>
      <c r="G570" s="23"/>
      <c r="H570" s="23"/>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4"/>
      <c r="AM570" s="1"/>
    </row>
    <row r="571" spans="1:39" ht="15.75" customHeight="1" x14ac:dyDescent="0.45">
      <c r="A571" s="1"/>
      <c r="B571" s="1"/>
      <c r="C571" s="1"/>
      <c r="D571" s="1"/>
      <c r="E571" s="23"/>
      <c r="F571" s="23"/>
      <c r="G571" s="23"/>
      <c r="H571" s="23"/>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4"/>
      <c r="AM571" s="1"/>
    </row>
    <row r="572" spans="1:39" ht="15.75" customHeight="1" x14ac:dyDescent="0.45">
      <c r="A572" s="1"/>
      <c r="B572" s="1"/>
      <c r="C572" s="1"/>
      <c r="D572" s="1"/>
      <c r="E572" s="23"/>
      <c r="F572" s="23"/>
      <c r="G572" s="23"/>
      <c r="H572" s="23"/>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4"/>
      <c r="AM572" s="1"/>
    </row>
    <row r="573" spans="1:39" ht="15.75" customHeight="1" x14ac:dyDescent="0.45">
      <c r="A573" s="1"/>
      <c r="B573" s="1"/>
      <c r="C573" s="1"/>
      <c r="D573" s="1"/>
      <c r="E573" s="23"/>
      <c r="F573" s="23"/>
      <c r="G573" s="23"/>
      <c r="H573" s="23"/>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4"/>
      <c r="AM573" s="1"/>
    </row>
    <row r="574" spans="1:39" ht="15.75" customHeight="1" x14ac:dyDescent="0.45">
      <c r="A574" s="1"/>
      <c r="B574" s="1"/>
      <c r="C574" s="1"/>
      <c r="D574" s="1"/>
      <c r="E574" s="23"/>
      <c r="F574" s="23"/>
      <c r="G574" s="23"/>
      <c r="H574" s="23"/>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4"/>
      <c r="AM574" s="1"/>
    </row>
    <row r="575" spans="1:39" ht="15.75" customHeight="1" x14ac:dyDescent="0.45">
      <c r="A575" s="1"/>
      <c r="B575" s="1"/>
      <c r="C575" s="1"/>
      <c r="D575" s="1"/>
      <c r="E575" s="23"/>
      <c r="F575" s="23"/>
      <c r="G575" s="23"/>
      <c r="H575" s="23"/>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4"/>
      <c r="AM575" s="1"/>
    </row>
    <row r="576" spans="1:39" ht="15.75" customHeight="1" x14ac:dyDescent="0.45">
      <c r="A576" s="1"/>
      <c r="B576" s="1"/>
      <c r="C576" s="1"/>
      <c r="D576" s="1"/>
      <c r="E576" s="23"/>
      <c r="F576" s="23"/>
      <c r="G576" s="23"/>
      <c r="H576" s="23"/>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4"/>
      <c r="AM576" s="1"/>
    </row>
    <row r="577" spans="1:39" ht="15.75" customHeight="1" x14ac:dyDescent="0.45">
      <c r="A577" s="1"/>
      <c r="B577" s="1"/>
      <c r="C577" s="1"/>
      <c r="D577" s="1"/>
      <c r="E577" s="23"/>
      <c r="F577" s="23"/>
      <c r="G577" s="23"/>
      <c r="H577" s="23"/>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4"/>
      <c r="AM577" s="1"/>
    </row>
    <row r="578" spans="1:39" ht="15.75" customHeight="1" x14ac:dyDescent="0.45">
      <c r="A578" s="1"/>
      <c r="B578" s="1"/>
      <c r="C578" s="1"/>
      <c r="D578" s="1"/>
      <c r="E578" s="23"/>
      <c r="F578" s="23"/>
      <c r="G578" s="23"/>
      <c r="H578" s="23"/>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4"/>
      <c r="AM578" s="1"/>
    </row>
    <row r="579" spans="1:39" ht="15.75" customHeight="1" x14ac:dyDescent="0.45">
      <c r="A579" s="1"/>
      <c r="B579" s="1"/>
      <c r="C579" s="1"/>
      <c r="D579" s="1"/>
      <c r="E579" s="23"/>
      <c r="F579" s="23"/>
      <c r="G579" s="23"/>
      <c r="H579" s="23"/>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4"/>
      <c r="AM579" s="1"/>
    </row>
    <row r="580" spans="1:39" ht="15.75" customHeight="1" x14ac:dyDescent="0.45">
      <c r="A580" s="1"/>
      <c r="B580" s="1"/>
      <c r="C580" s="1"/>
      <c r="D580" s="1"/>
      <c r="E580" s="23"/>
      <c r="F580" s="23"/>
      <c r="G580" s="23"/>
      <c r="H580" s="23"/>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4"/>
      <c r="AM580" s="1"/>
    </row>
    <row r="581" spans="1:39" ht="15.75" customHeight="1" x14ac:dyDescent="0.45">
      <c r="A581" s="1"/>
      <c r="B581" s="1"/>
      <c r="C581" s="1"/>
      <c r="D581" s="1"/>
      <c r="E581" s="23"/>
      <c r="F581" s="23"/>
      <c r="G581" s="23"/>
      <c r="H581" s="23"/>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4"/>
      <c r="AM581" s="1"/>
    </row>
    <row r="582" spans="1:39" ht="15.75" customHeight="1" x14ac:dyDescent="0.45">
      <c r="A582" s="1"/>
      <c r="B582" s="1"/>
      <c r="C582" s="1"/>
      <c r="D582" s="1"/>
      <c r="E582" s="23"/>
      <c r="F582" s="23"/>
      <c r="G582" s="23"/>
      <c r="H582" s="23"/>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4"/>
      <c r="AM582" s="1"/>
    </row>
    <row r="583" spans="1:39" ht="15.75" customHeight="1" x14ac:dyDescent="0.45">
      <c r="A583" s="1"/>
      <c r="B583" s="1"/>
      <c r="C583" s="1"/>
      <c r="D583" s="1"/>
      <c r="E583" s="23"/>
      <c r="F583" s="23"/>
      <c r="G583" s="23"/>
      <c r="H583" s="23"/>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4"/>
      <c r="AM583" s="1"/>
    </row>
    <row r="584" spans="1:39" ht="15.75" customHeight="1" x14ac:dyDescent="0.45">
      <c r="A584" s="1"/>
      <c r="B584" s="1"/>
      <c r="C584" s="1"/>
      <c r="D584" s="1"/>
      <c r="E584" s="23"/>
      <c r="F584" s="23"/>
      <c r="G584" s="23"/>
      <c r="H584" s="23"/>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4"/>
      <c r="AM584" s="1"/>
    </row>
    <row r="585" spans="1:39" ht="15.75" customHeight="1" x14ac:dyDescent="0.45">
      <c r="A585" s="1"/>
      <c r="B585" s="1"/>
      <c r="C585" s="1"/>
      <c r="D585" s="1"/>
      <c r="E585" s="23"/>
      <c r="F585" s="23"/>
      <c r="G585" s="23"/>
      <c r="H585" s="23"/>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4"/>
      <c r="AM585" s="1"/>
    </row>
    <row r="586" spans="1:39" ht="15.75" customHeight="1" x14ac:dyDescent="0.45">
      <c r="A586" s="1"/>
      <c r="B586" s="1"/>
      <c r="C586" s="1"/>
      <c r="D586" s="1"/>
      <c r="E586" s="23"/>
      <c r="F586" s="23"/>
      <c r="G586" s="23"/>
      <c r="H586" s="23"/>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4"/>
      <c r="AM586" s="1"/>
    </row>
    <row r="587" spans="1:39" ht="15.75" customHeight="1" x14ac:dyDescent="0.45">
      <c r="A587" s="1"/>
      <c r="B587" s="1"/>
      <c r="C587" s="1"/>
      <c r="D587" s="1"/>
      <c r="E587" s="23"/>
      <c r="F587" s="23"/>
      <c r="G587" s="23"/>
      <c r="H587" s="23"/>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4"/>
      <c r="AM587" s="1"/>
    </row>
    <row r="588" spans="1:39" ht="15.75" customHeight="1" x14ac:dyDescent="0.45">
      <c r="A588" s="1"/>
      <c r="B588" s="1"/>
      <c r="C588" s="1"/>
      <c r="D588" s="1"/>
      <c r="E588" s="23"/>
      <c r="F588" s="23"/>
      <c r="G588" s="23"/>
      <c r="H588" s="23"/>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4"/>
      <c r="AM588" s="1"/>
    </row>
    <row r="589" spans="1:39" ht="15.75" customHeight="1" x14ac:dyDescent="0.45">
      <c r="A589" s="1"/>
      <c r="B589" s="1"/>
      <c r="C589" s="1"/>
      <c r="D589" s="1"/>
      <c r="E589" s="23"/>
      <c r="F589" s="23"/>
      <c r="G589" s="23"/>
      <c r="H589" s="23"/>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4"/>
      <c r="AM589" s="1"/>
    </row>
    <row r="590" spans="1:39" ht="15.75" customHeight="1" x14ac:dyDescent="0.45">
      <c r="A590" s="1"/>
      <c r="B590" s="1"/>
      <c r="C590" s="1"/>
      <c r="D590" s="1"/>
      <c r="E590" s="23"/>
      <c r="F590" s="23"/>
      <c r="G590" s="23"/>
      <c r="H590" s="23"/>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4"/>
      <c r="AM590" s="1"/>
    </row>
    <row r="591" spans="1:39" ht="15.75" customHeight="1" x14ac:dyDescent="0.45">
      <c r="A591" s="1"/>
      <c r="B591" s="1"/>
      <c r="C591" s="1"/>
      <c r="D591" s="1"/>
      <c r="E591" s="23"/>
      <c r="F591" s="23"/>
      <c r="G591" s="23"/>
      <c r="H591" s="23"/>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4"/>
      <c r="AM591" s="1"/>
    </row>
    <row r="592" spans="1:39" ht="15.75" customHeight="1" x14ac:dyDescent="0.45">
      <c r="A592" s="1"/>
      <c r="B592" s="1"/>
      <c r="C592" s="1"/>
      <c r="D592" s="1"/>
      <c r="E592" s="23"/>
      <c r="F592" s="23"/>
      <c r="G592" s="23"/>
      <c r="H592" s="23"/>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4"/>
      <c r="AM592" s="1"/>
    </row>
  </sheetData>
  <mergeCells count="1">
    <mergeCell ref="C1:I1"/>
  </mergeCells>
  <hyperlinks>
    <hyperlink ref="D29" location="Google_Sheet_Link_633389037" display="**Pérdidas por extracción anual" xr:uid="{00000000-0004-0000-0100-000000000000}"/>
    <hyperlink ref="O299" r:id="rId1" display="https://biblioteca.olade.org/opac-tmpl/Documentos/old0380.pdf" xr:uid="{00000000-0004-0000-0100-000002000000}"/>
    <hyperlink ref="O302" r:id="rId2" display="https://biblioteca.olade.org/opac-tmpl/Documentos/old0380.pdf" xr:uid="{00000000-0004-0000-0100-000003000000}"/>
    <hyperlink ref="M303" r:id="rId3" display="https://biblioteca.olade.org/opac-tmpl/Documentos/old0380.pdf" xr:uid="{00000000-0004-0000-0100-000004000000}"/>
    <hyperlink ref="M305" r:id="rId4" display="https://biblioteca.olade.org/opac-tmpl/Documentos/old0380.pdf" xr:uid="{00000000-0004-0000-0100-000005000000}"/>
    <hyperlink ref="K306" r:id="rId5" display="https://biblioteca.olade.org/opac-tmpl/Documentos/old0380.pdf" xr:uid="{00000000-0004-0000-0100-000006000000}"/>
  </hyperlinks>
  <pageMargins left="0.7" right="0.7" top="0.75" bottom="0.75" header="0" footer="0"/>
  <pageSetup orientation="landscape" r:id="rId6"/>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E699"/>
  </sheetPr>
  <dimension ref="A1:BP825"/>
  <sheetViews>
    <sheetView topLeftCell="A307" zoomScale="55" zoomScaleNormal="55" workbookViewId="0">
      <selection activeCell="F511" sqref="F511"/>
    </sheetView>
  </sheetViews>
  <sheetFormatPr defaultColWidth="12.69140625" defaultRowHeight="15" customHeight="1" x14ac:dyDescent="0.45"/>
  <cols>
    <col min="1" max="1" width="3" customWidth="1"/>
    <col min="2" max="2" width="2.3828125" customWidth="1"/>
    <col min="3" max="3" width="20.23046875" customWidth="1"/>
    <col min="4" max="4" width="67.3828125" customWidth="1"/>
    <col min="5" max="5" width="19.23046875" customWidth="1"/>
    <col min="6" max="6" width="28.3828125" customWidth="1"/>
    <col min="7" max="7" width="20.3828125" customWidth="1"/>
    <col min="8" max="8" width="13.765625" customWidth="1"/>
    <col min="9" max="9" width="25.23046875" customWidth="1"/>
    <col min="10" max="10" width="13.765625" customWidth="1"/>
    <col min="11" max="11" width="51.765625" customWidth="1"/>
    <col min="12" max="37" width="13.765625" customWidth="1"/>
    <col min="38" max="38" width="13.07421875" customWidth="1"/>
    <col min="39" max="39" width="12.3828125" customWidth="1"/>
  </cols>
  <sheetData>
    <row r="1" spans="1:28" ht="14.25" customHeight="1" x14ac:dyDescent="0.45">
      <c r="A1" s="618"/>
      <c r="B1" s="626" t="s">
        <v>19</v>
      </c>
      <c r="C1" s="627"/>
      <c r="D1" s="627"/>
      <c r="E1" s="627"/>
      <c r="F1" s="627"/>
      <c r="G1" s="627"/>
      <c r="H1" s="628"/>
      <c r="I1" s="618"/>
      <c r="J1" s="618"/>
      <c r="K1" s="618"/>
      <c r="L1" s="618"/>
      <c r="M1" s="618"/>
      <c r="N1" s="618"/>
      <c r="O1" s="618"/>
      <c r="P1" s="618"/>
      <c r="Q1" s="618"/>
      <c r="R1" s="618"/>
      <c r="S1" s="618"/>
      <c r="T1" s="618"/>
      <c r="U1" s="618"/>
      <c r="V1" s="618"/>
      <c r="W1" s="618"/>
      <c r="X1" s="618"/>
      <c r="Y1" s="618"/>
      <c r="Z1" s="618"/>
      <c r="AA1" s="618"/>
      <c r="AB1" s="618"/>
    </row>
    <row r="2" spans="1:28" ht="14.25" customHeight="1" x14ac:dyDescent="0.45">
      <c r="A2" s="618"/>
      <c r="B2" s="618"/>
      <c r="C2" s="618"/>
      <c r="D2" s="5"/>
      <c r="E2" s="24"/>
      <c r="F2" s="24"/>
      <c r="G2" s="24"/>
      <c r="H2" s="25"/>
      <c r="I2" s="618"/>
      <c r="J2" s="618"/>
      <c r="K2" s="618"/>
      <c r="L2" s="618"/>
      <c r="M2" s="618"/>
      <c r="N2" s="618"/>
      <c r="O2" s="618"/>
      <c r="P2" s="618"/>
      <c r="Q2" s="618"/>
      <c r="R2" s="618"/>
      <c r="S2" s="618"/>
      <c r="T2" s="618"/>
      <c r="U2" s="618"/>
      <c r="V2" s="618"/>
      <c r="W2" s="618"/>
      <c r="X2" s="618"/>
      <c r="Y2" s="618"/>
      <c r="Z2" s="618"/>
      <c r="AA2" s="618"/>
      <c r="AB2" s="618"/>
    </row>
    <row r="3" spans="1:28" ht="14.25" customHeight="1" x14ac:dyDescent="0.45">
      <c r="A3" s="618"/>
      <c r="B3" s="26"/>
      <c r="C3" s="211"/>
      <c r="D3" s="212"/>
      <c r="E3" s="213"/>
      <c r="F3" s="213"/>
      <c r="G3" s="213"/>
      <c r="H3" s="214"/>
      <c r="I3" s="618"/>
      <c r="J3" s="618"/>
      <c r="K3" s="618"/>
      <c r="L3" s="618"/>
      <c r="M3" s="618"/>
      <c r="N3" s="618"/>
      <c r="O3" s="618"/>
      <c r="P3" s="618"/>
      <c r="Q3" s="618"/>
      <c r="R3" s="618"/>
      <c r="S3" s="618"/>
      <c r="T3" s="618"/>
      <c r="U3" s="618"/>
      <c r="V3" s="618"/>
      <c r="W3" s="618"/>
      <c r="X3" s="618"/>
      <c r="Y3" s="618"/>
      <c r="Z3" s="618"/>
      <c r="AA3" s="618"/>
      <c r="AB3" s="618"/>
    </row>
    <row r="4" spans="1:28" ht="14.25" customHeight="1" x14ac:dyDescent="0.45">
      <c r="A4" s="27"/>
      <c r="B4" s="215"/>
      <c r="C4" s="216"/>
      <c r="D4" s="217" t="s">
        <v>164</v>
      </c>
      <c r="E4" s="218"/>
      <c r="F4" s="218"/>
      <c r="G4" s="218"/>
      <c r="H4" s="219"/>
      <c r="I4" s="618"/>
      <c r="J4" s="618"/>
      <c r="K4" s="618"/>
      <c r="L4" s="618"/>
      <c r="M4" s="618"/>
      <c r="N4" s="618"/>
      <c r="O4" s="618"/>
      <c r="P4" s="618"/>
      <c r="Q4" s="618"/>
      <c r="R4" s="618"/>
      <c r="S4" s="618"/>
      <c r="T4" s="618"/>
      <c r="U4" s="618"/>
      <c r="V4" s="618"/>
      <c r="W4" s="618"/>
      <c r="X4" s="618"/>
      <c r="Y4" s="618"/>
      <c r="Z4" s="618"/>
      <c r="AA4" s="618"/>
      <c r="AB4" s="618"/>
    </row>
    <row r="5" spans="1:28" ht="14.25" customHeight="1" x14ac:dyDescent="0.45">
      <c r="A5" s="618"/>
      <c r="B5" s="215"/>
      <c r="C5" s="220"/>
      <c r="D5" s="221" t="s">
        <v>165</v>
      </c>
      <c r="E5" s="222">
        <v>2018</v>
      </c>
      <c r="F5" s="222">
        <v>2019</v>
      </c>
      <c r="G5" s="222">
        <v>2020</v>
      </c>
      <c r="H5" s="223">
        <v>2021</v>
      </c>
      <c r="I5" s="618"/>
      <c r="J5" s="618"/>
      <c r="K5" s="618"/>
      <c r="L5" s="618"/>
      <c r="M5" s="618"/>
      <c r="N5" s="618"/>
      <c r="O5" s="618"/>
      <c r="P5" s="618"/>
      <c r="Q5" s="618"/>
      <c r="R5" s="618"/>
      <c r="S5" s="618"/>
      <c r="T5" s="618"/>
      <c r="U5" s="618"/>
      <c r="V5" s="618"/>
      <c r="W5" s="618"/>
      <c r="X5" s="618"/>
      <c r="Y5" s="618"/>
      <c r="Z5" s="618"/>
      <c r="AA5" s="618"/>
      <c r="AB5" s="618"/>
    </row>
    <row r="6" spans="1:28" ht="14.25" customHeight="1" x14ac:dyDescent="0.45">
      <c r="A6" s="618"/>
      <c r="B6" s="215"/>
      <c r="C6" s="220"/>
      <c r="D6" s="224" t="s">
        <v>166</v>
      </c>
      <c r="E6" s="225">
        <f>'Copia de Electricidad'!D7/1000</f>
        <v>0.14430000000000001</v>
      </c>
      <c r="F6" s="226">
        <f>'Copia de Electricidad'!E7/1000</f>
        <v>0.14430000000000001</v>
      </c>
      <c r="G6" s="226">
        <f>'Copia de Electricidad'!F7/1000</f>
        <v>0.14430000000000001</v>
      </c>
      <c r="H6" s="227">
        <f>'Copia de Electricidad'!G7/1000</f>
        <v>0.14430000000000001</v>
      </c>
      <c r="I6" s="618"/>
      <c r="J6" s="618"/>
      <c r="K6" s="618"/>
      <c r="L6" s="618"/>
      <c r="M6" s="618"/>
      <c r="N6" s="618"/>
      <c r="O6" s="618"/>
      <c r="P6" s="618"/>
      <c r="Q6" s="618"/>
      <c r="R6" s="618"/>
      <c r="S6" s="618"/>
      <c r="T6" s="618"/>
      <c r="U6" s="618"/>
      <c r="V6" s="618"/>
      <c r="W6" s="618"/>
      <c r="X6" s="618"/>
      <c r="Y6" s="618"/>
      <c r="Z6" s="618"/>
      <c r="AA6" s="618"/>
      <c r="AB6" s="618"/>
    </row>
    <row r="7" spans="1:28" ht="14.25" customHeight="1" x14ac:dyDescent="0.45">
      <c r="A7" s="618"/>
      <c r="B7" s="215"/>
      <c r="C7" s="220"/>
      <c r="D7" s="228" t="s">
        <v>167</v>
      </c>
      <c r="E7" s="229"/>
      <c r="F7" s="230"/>
      <c r="G7" s="230"/>
      <c r="H7" s="231"/>
      <c r="I7" s="618"/>
      <c r="J7" s="618"/>
      <c r="K7" s="618"/>
      <c r="L7" s="618"/>
      <c r="M7" s="618"/>
      <c r="N7" s="618"/>
      <c r="O7" s="618"/>
      <c r="P7" s="618"/>
      <c r="Q7" s="618"/>
      <c r="R7" s="618"/>
      <c r="S7" s="618"/>
      <c r="T7" s="618"/>
      <c r="U7" s="618"/>
      <c r="V7" s="618"/>
      <c r="W7" s="618"/>
      <c r="X7" s="618"/>
      <c r="Y7" s="618"/>
      <c r="Z7" s="618"/>
      <c r="AA7" s="618"/>
      <c r="AB7" s="618"/>
    </row>
    <row r="8" spans="1:28" ht="14.25" customHeight="1" x14ac:dyDescent="0.45">
      <c r="A8" s="618"/>
      <c r="B8" s="215"/>
      <c r="C8" s="220" t="s">
        <v>168</v>
      </c>
      <c r="D8" s="221" t="s">
        <v>169</v>
      </c>
      <c r="E8" s="232">
        <f>'Copia de Electricidad'!D9/1000</f>
        <v>0.14430000000000001</v>
      </c>
      <c r="F8" s="218">
        <f>'Copia de Electricidad'!E9/1000</f>
        <v>0.14430000000000001</v>
      </c>
      <c r="G8" s="218">
        <f>'Copia de Electricidad'!F9/1000</f>
        <v>0.14430000000000001</v>
      </c>
      <c r="H8" s="233">
        <f>'Copia de Electricidad'!G9/1000</f>
        <v>0.14430000000000001</v>
      </c>
      <c r="I8" s="618"/>
      <c r="J8" s="618"/>
      <c r="K8" s="618"/>
      <c r="L8" s="618"/>
      <c r="M8" s="618"/>
      <c r="N8" s="618"/>
      <c r="O8" s="618"/>
      <c r="P8" s="618"/>
      <c r="Q8" s="618"/>
      <c r="R8" s="618"/>
      <c r="S8" s="618"/>
      <c r="T8" s="618"/>
      <c r="U8" s="618"/>
      <c r="V8" s="618"/>
      <c r="W8" s="618"/>
      <c r="X8" s="618"/>
      <c r="Y8" s="618"/>
      <c r="Z8" s="618"/>
      <c r="AA8" s="618"/>
      <c r="AB8" s="618"/>
    </row>
    <row r="9" spans="1:28" ht="14.25" customHeight="1" x14ac:dyDescent="0.45">
      <c r="A9" s="618"/>
      <c r="B9" s="215"/>
      <c r="C9" s="220" t="s">
        <v>170</v>
      </c>
      <c r="D9" s="224" t="s">
        <v>171</v>
      </c>
      <c r="E9" s="225">
        <f>'Copia de Electricidad'!D10/1000</f>
        <v>1.6500000000000001E-2</v>
      </c>
      <c r="F9" s="226">
        <f>'Copia de Electricidad'!E10/1000</f>
        <v>1.6500000000000001E-2</v>
      </c>
      <c r="G9" s="226">
        <f>'Copia de Electricidad'!F10/1000</f>
        <v>1.6500000000000001E-2</v>
      </c>
      <c r="H9" s="227">
        <f>'Copia de Electricidad'!G10/1000</f>
        <v>1.6500000000000001E-2</v>
      </c>
      <c r="I9" s="618"/>
      <c r="J9" s="618"/>
      <c r="K9" s="618"/>
      <c r="L9" s="618"/>
      <c r="M9" s="618"/>
      <c r="N9" s="618"/>
      <c r="O9" s="618"/>
      <c r="P9" s="618"/>
      <c r="Q9" s="618"/>
      <c r="R9" s="618"/>
      <c r="S9" s="618"/>
      <c r="T9" s="618"/>
      <c r="U9" s="618"/>
      <c r="V9" s="618"/>
      <c r="W9" s="618"/>
      <c r="X9" s="618"/>
      <c r="Y9" s="618"/>
      <c r="Z9" s="618"/>
      <c r="AA9" s="618"/>
      <c r="AB9" s="618"/>
    </row>
    <row r="10" spans="1:28" ht="14.25" customHeight="1" x14ac:dyDescent="0.45">
      <c r="A10" s="618"/>
      <c r="B10" s="215"/>
      <c r="C10" s="220"/>
      <c r="D10" s="224" t="s">
        <v>172</v>
      </c>
      <c r="E10" s="225">
        <f>'Copia de Electricidad'!D11/1000</f>
        <v>5.0603439900000007</v>
      </c>
      <c r="F10" s="226">
        <f>'Copia de Electricidad'!E11/1000</f>
        <v>5.0703439900000005</v>
      </c>
      <c r="G10" s="226">
        <f>'Copia de Electricidad'!F11/1000</f>
        <v>5.0926859899999997</v>
      </c>
      <c r="H10" s="227">
        <f>'Copia de Electricidad'!G11/1000</f>
        <v>5.1007859899999994</v>
      </c>
      <c r="I10" s="618"/>
      <c r="J10" s="618"/>
      <c r="K10" s="618"/>
      <c r="L10" s="618"/>
      <c r="M10" s="618"/>
      <c r="N10" s="618"/>
      <c r="O10" s="618"/>
      <c r="P10" s="618"/>
      <c r="Q10" s="618"/>
      <c r="R10" s="618"/>
      <c r="S10" s="618"/>
      <c r="T10" s="618"/>
      <c r="U10" s="618"/>
      <c r="V10" s="618"/>
      <c r="W10" s="618"/>
      <c r="X10" s="618"/>
      <c r="Y10" s="618"/>
      <c r="Z10" s="618"/>
      <c r="AA10" s="618"/>
      <c r="AB10" s="618"/>
    </row>
    <row r="11" spans="1:28" ht="14.25" customHeight="1" x14ac:dyDescent="0.45">
      <c r="A11" s="618"/>
      <c r="B11" s="215"/>
      <c r="C11" s="220"/>
      <c r="D11" s="228" t="s">
        <v>173</v>
      </c>
      <c r="E11" s="229">
        <f>'Copia de Electricidad'!D12/1000</f>
        <v>1.7332000000000001</v>
      </c>
      <c r="F11" s="230">
        <f>'Copia de Electricidad'!E12/1000</f>
        <v>1.7332000000000001</v>
      </c>
      <c r="G11" s="230">
        <f>'Copia de Electricidad'!F12/1000</f>
        <v>1.7332000000000001</v>
      </c>
      <c r="H11" s="231">
        <f>'Copia de Electricidad'!G12/1000</f>
        <v>1.7332000000000001</v>
      </c>
      <c r="I11" s="618"/>
      <c r="J11" s="618"/>
      <c r="K11" s="618"/>
      <c r="L11" s="618"/>
      <c r="M11" s="618"/>
      <c r="N11" s="618"/>
      <c r="O11" s="618"/>
      <c r="P11" s="618"/>
      <c r="Q11" s="618"/>
      <c r="R11" s="618"/>
      <c r="S11" s="618"/>
      <c r="T11" s="618"/>
      <c r="U11" s="618"/>
      <c r="V11" s="618"/>
      <c r="W11" s="618"/>
      <c r="X11" s="618"/>
      <c r="Y11" s="618"/>
      <c r="Z11" s="618"/>
      <c r="AA11" s="618"/>
      <c r="AB11" s="618"/>
    </row>
    <row r="12" spans="1:28" ht="14.25" customHeight="1" x14ac:dyDescent="0.45">
      <c r="A12" s="618"/>
      <c r="B12" s="215"/>
      <c r="C12" s="220"/>
      <c r="D12" s="221" t="s">
        <v>174</v>
      </c>
      <c r="E12" s="232">
        <f>'Copia de Electricidad'!D13/1000</f>
        <v>1.478</v>
      </c>
      <c r="F12" s="218">
        <f>'Copia de Electricidad'!E13/1000</f>
        <v>1.478</v>
      </c>
      <c r="G12" s="218">
        <f>'Copia de Electricidad'!F13/1000</f>
        <v>1.478</v>
      </c>
      <c r="H12" s="233">
        <f>'Copia de Electricidad'!G13/1000</f>
        <v>1.478</v>
      </c>
      <c r="I12" s="618"/>
      <c r="J12" s="618"/>
      <c r="K12" s="618"/>
      <c r="L12" s="618"/>
      <c r="M12" s="618"/>
      <c r="N12" s="618"/>
      <c r="O12" s="618"/>
      <c r="P12" s="618"/>
      <c r="Q12" s="618"/>
      <c r="R12" s="618"/>
      <c r="S12" s="618"/>
      <c r="T12" s="618"/>
      <c r="U12" s="618"/>
      <c r="V12" s="618"/>
      <c r="W12" s="618"/>
      <c r="X12" s="618"/>
      <c r="Y12" s="618"/>
      <c r="Z12" s="618"/>
      <c r="AA12" s="618"/>
      <c r="AB12" s="618"/>
    </row>
    <row r="13" spans="1:28" ht="14.25" customHeight="1" x14ac:dyDescent="0.45">
      <c r="A13" s="618"/>
      <c r="B13" s="215"/>
      <c r="C13" s="220"/>
      <c r="D13" s="221" t="s">
        <v>175</v>
      </c>
      <c r="E13" s="232">
        <f>'Copia de Electricidad'!D14/1000</f>
        <v>0.25519999999999998</v>
      </c>
      <c r="F13" s="218">
        <f>'Copia de Electricidad'!E14/1000</f>
        <v>0.25519999999999998</v>
      </c>
      <c r="G13" s="218">
        <f>'Copia de Electricidad'!F14/1000</f>
        <v>0.25519999999999998</v>
      </c>
      <c r="H13" s="233">
        <f>'Copia de Electricidad'!G14/1000</f>
        <v>0.25519999999999998</v>
      </c>
      <c r="I13" s="618"/>
      <c r="J13" s="618"/>
      <c r="K13" s="618"/>
      <c r="L13" s="618"/>
      <c r="M13" s="618"/>
      <c r="N13" s="618"/>
      <c r="O13" s="618"/>
      <c r="P13" s="618"/>
      <c r="Q13" s="618"/>
      <c r="R13" s="618"/>
      <c r="S13" s="618"/>
      <c r="T13" s="618"/>
      <c r="U13" s="618"/>
      <c r="V13" s="618"/>
      <c r="W13" s="618"/>
      <c r="X13" s="618"/>
      <c r="Y13" s="618"/>
      <c r="Z13" s="618"/>
      <c r="AA13" s="618"/>
      <c r="AB13" s="618"/>
    </row>
    <row r="14" spans="1:28" ht="14.25" customHeight="1" x14ac:dyDescent="0.45">
      <c r="A14" s="618"/>
      <c r="B14" s="215"/>
      <c r="C14" s="220"/>
      <c r="D14" s="228" t="s">
        <v>176</v>
      </c>
      <c r="E14" s="229">
        <f>'Copia de Electricidad'!D15/1000</f>
        <v>3.3271439900000002</v>
      </c>
      <c r="F14" s="230">
        <f>'Copia de Electricidad'!E15/1000</f>
        <v>3.3371439899999999</v>
      </c>
      <c r="G14" s="230">
        <f>'Copia de Electricidad'!F15/1000</f>
        <v>3.35948599</v>
      </c>
      <c r="H14" s="231">
        <f>'Copia de Electricidad'!G15/1000</f>
        <v>3.3675859900000003</v>
      </c>
      <c r="I14" s="618"/>
      <c r="J14" s="618"/>
      <c r="K14" s="618"/>
      <c r="L14" s="618"/>
      <c r="M14" s="618"/>
      <c r="N14" s="618"/>
      <c r="O14" s="618"/>
      <c r="P14" s="618"/>
      <c r="Q14" s="618"/>
      <c r="R14" s="618"/>
      <c r="S14" s="618"/>
      <c r="T14" s="618"/>
      <c r="U14" s="618"/>
      <c r="V14" s="618"/>
      <c r="W14" s="618"/>
      <c r="X14" s="618"/>
      <c r="Y14" s="618"/>
      <c r="Z14" s="618"/>
      <c r="AA14" s="618"/>
      <c r="AB14" s="618"/>
    </row>
    <row r="15" spans="1:28" ht="14.25" customHeight="1" x14ac:dyDescent="0.45">
      <c r="A15" s="618"/>
      <c r="B15" s="215"/>
      <c r="C15" s="220"/>
      <c r="D15" s="221" t="s">
        <v>174</v>
      </c>
      <c r="E15" s="232">
        <f>'Copia de Electricidad'!D16/1000</f>
        <v>2.93938999</v>
      </c>
      <c r="F15" s="218">
        <f>'Copia de Electricidad'!E16/1000</f>
        <v>2.9493899900000002</v>
      </c>
      <c r="G15" s="218">
        <f>'Copia de Electricidad'!F16/1000</f>
        <v>2.9615859900000001</v>
      </c>
      <c r="H15" s="233">
        <f>'Copia de Electricidad'!G16/1000</f>
        <v>2.9696859899999999</v>
      </c>
      <c r="I15" s="618"/>
      <c r="J15" s="618"/>
      <c r="K15" s="618"/>
      <c r="L15" s="618"/>
      <c r="M15" s="618"/>
      <c r="N15" s="618"/>
      <c r="O15" s="618"/>
      <c r="P15" s="618"/>
      <c r="Q15" s="618"/>
      <c r="R15" s="618"/>
      <c r="S15" s="618"/>
      <c r="T15" s="618"/>
      <c r="U15" s="618"/>
      <c r="V15" s="618"/>
      <c r="W15" s="618"/>
      <c r="X15" s="618"/>
      <c r="Y15" s="618"/>
      <c r="Z15" s="618"/>
      <c r="AA15" s="618"/>
      <c r="AB15" s="618"/>
    </row>
    <row r="16" spans="1:28" ht="14.25" customHeight="1" x14ac:dyDescent="0.45">
      <c r="A16" s="618"/>
      <c r="B16" s="215"/>
      <c r="C16" s="220"/>
      <c r="D16" s="221" t="s">
        <v>175</v>
      </c>
      <c r="E16" s="28">
        <f>'Copia de Electricidad'!D17/1000</f>
        <v>0.38775399999999999</v>
      </c>
      <c r="F16" s="29">
        <f>'Copia de Electricidad'!E17/1000</f>
        <v>0.38775399999999999</v>
      </c>
      <c r="G16" s="29">
        <f>'Copia de Electricidad'!F17/1000</f>
        <v>0.39789999999999998</v>
      </c>
      <c r="H16" s="30">
        <f>'Copia de Electricidad'!G17/1000</f>
        <v>0.39789999999999998</v>
      </c>
      <c r="I16" s="618"/>
      <c r="J16" s="618"/>
      <c r="K16" s="618"/>
      <c r="L16" s="618"/>
      <c r="M16" s="618"/>
      <c r="N16" s="618"/>
      <c r="O16" s="618"/>
      <c r="P16" s="618"/>
      <c r="Q16" s="618"/>
      <c r="R16" s="618"/>
      <c r="S16" s="618"/>
      <c r="T16" s="618"/>
      <c r="U16" s="618"/>
      <c r="V16" s="618"/>
      <c r="W16" s="618"/>
      <c r="X16" s="618"/>
      <c r="Y16" s="618"/>
      <c r="Z16" s="618"/>
      <c r="AA16" s="618"/>
      <c r="AB16" s="618"/>
    </row>
    <row r="17" spans="1:28" ht="14.25" customHeight="1" x14ac:dyDescent="0.45">
      <c r="A17" s="618"/>
      <c r="B17" s="215"/>
      <c r="C17" s="220" t="s">
        <v>177</v>
      </c>
      <c r="D17" s="224" t="s">
        <v>178</v>
      </c>
      <c r="E17" s="225">
        <f>'Copia de Electricidad'!D18/1000</f>
        <v>2.4460819999999991E-2</v>
      </c>
      <c r="F17" s="226">
        <f>'Copia de Electricidad'!E18/1000</f>
        <v>2.4460819999999991E-2</v>
      </c>
      <c r="G17" s="226">
        <f>'Copia de Electricidad'!F18/1000</f>
        <v>2.4460819999999991E-2</v>
      </c>
      <c r="H17" s="227">
        <f>'Copia de Electricidad'!G18/1000</f>
        <v>2.4460819999999991E-2</v>
      </c>
      <c r="I17" s="618"/>
      <c r="J17" s="618"/>
      <c r="K17" s="618"/>
      <c r="L17" s="618"/>
      <c r="M17" s="618"/>
      <c r="N17" s="618"/>
      <c r="O17" s="618"/>
      <c r="P17" s="618"/>
      <c r="Q17" s="618"/>
      <c r="R17" s="618"/>
      <c r="S17" s="618"/>
      <c r="T17" s="618"/>
      <c r="U17" s="618"/>
      <c r="V17" s="618"/>
      <c r="W17" s="618"/>
      <c r="X17" s="618"/>
      <c r="Y17" s="618"/>
      <c r="Z17" s="618"/>
      <c r="AA17" s="618"/>
      <c r="AB17" s="618"/>
    </row>
    <row r="18" spans="1:28" ht="14.25" customHeight="1" x14ac:dyDescent="0.45">
      <c r="A18" s="618"/>
      <c r="B18" s="215"/>
      <c r="C18" s="220"/>
      <c r="D18" s="224" t="s">
        <v>179</v>
      </c>
      <c r="E18" s="225">
        <f>'Copia de Electricidad'!D19/1000</f>
        <v>2.1026506</v>
      </c>
      <c r="F18" s="226">
        <f>'Copia de Electricidad'!E19/1000</f>
        <v>2.0550505999999999</v>
      </c>
      <c r="G18" s="226">
        <f>'Copia de Electricidad'!F19/1000</f>
        <v>2.0550505999999999</v>
      </c>
      <c r="H18" s="227">
        <f>'Copia de Electricidad'!G19/1000</f>
        <v>2.0634705999999996</v>
      </c>
      <c r="I18" s="618"/>
      <c r="J18" s="618"/>
      <c r="K18" s="618"/>
      <c r="L18" s="618"/>
      <c r="M18" s="618"/>
      <c r="N18" s="618"/>
      <c r="O18" s="618"/>
      <c r="P18" s="618"/>
      <c r="Q18" s="618"/>
      <c r="R18" s="618"/>
      <c r="S18" s="618"/>
      <c r="T18" s="618"/>
      <c r="U18" s="618"/>
      <c r="V18" s="618"/>
      <c r="W18" s="618"/>
      <c r="X18" s="618"/>
      <c r="Y18" s="618"/>
      <c r="Z18" s="618"/>
      <c r="AA18" s="618"/>
      <c r="AB18" s="618"/>
    </row>
    <row r="19" spans="1:28" ht="14.25" customHeight="1" x14ac:dyDescent="0.45">
      <c r="A19" s="618"/>
      <c r="B19" s="215"/>
      <c r="C19" s="220"/>
      <c r="D19" s="228" t="s">
        <v>180</v>
      </c>
      <c r="E19" s="229">
        <f>'Copia de Electricidad'!D20/1000</f>
        <v>0.83605560000000001</v>
      </c>
      <c r="F19" s="230">
        <f>'Copia de Electricidad'!E20/1000</f>
        <v>0.78845560000000003</v>
      </c>
      <c r="G19" s="230">
        <f>'Copia de Electricidad'!F20/1000</f>
        <v>0.78845560000000003</v>
      </c>
      <c r="H19" s="231">
        <f>'Copia de Electricidad'!G20/1000</f>
        <v>0.79767559999999993</v>
      </c>
      <c r="I19" s="618"/>
      <c r="J19" s="618"/>
      <c r="K19" s="618"/>
      <c r="L19" s="618"/>
      <c r="M19" s="618"/>
      <c r="N19" s="618"/>
      <c r="O19" s="618"/>
      <c r="P19" s="618"/>
      <c r="Q19" s="618"/>
      <c r="R19" s="618"/>
      <c r="S19" s="618"/>
      <c r="T19" s="618"/>
      <c r="U19" s="618"/>
      <c r="V19" s="618"/>
      <c r="W19" s="618"/>
      <c r="X19" s="618"/>
      <c r="Y19" s="618"/>
      <c r="Z19" s="618"/>
      <c r="AA19" s="618"/>
      <c r="AB19" s="618"/>
    </row>
    <row r="20" spans="1:28" ht="14.25" customHeight="1" x14ac:dyDescent="0.45">
      <c r="A20" s="618"/>
      <c r="B20" s="215"/>
      <c r="C20" s="220" t="s">
        <v>181</v>
      </c>
      <c r="D20" s="221" t="s">
        <v>182</v>
      </c>
      <c r="E20" s="232">
        <f>'Copia de Electricidad'!D21/1000</f>
        <v>0.30998559999999997</v>
      </c>
      <c r="F20" s="218">
        <f>'Copia de Electricidad'!E21/1000</f>
        <v>0.2623856</v>
      </c>
      <c r="G20" s="218">
        <f>'Copia de Electricidad'!F21/1000</f>
        <v>0.2623856</v>
      </c>
      <c r="H20" s="233">
        <f>'Copia de Electricidad'!G21/1000</f>
        <v>0.2623856</v>
      </c>
      <c r="I20" s="618"/>
      <c r="J20" s="618"/>
      <c r="K20" s="618"/>
      <c r="L20" s="618"/>
      <c r="M20" s="618"/>
      <c r="N20" s="618"/>
      <c r="O20" s="618"/>
      <c r="P20" s="618"/>
      <c r="Q20" s="618"/>
      <c r="R20" s="618"/>
      <c r="S20" s="618"/>
      <c r="T20" s="618"/>
      <c r="U20" s="618"/>
      <c r="V20" s="618"/>
      <c r="W20" s="618"/>
      <c r="X20" s="618"/>
      <c r="Y20" s="618"/>
      <c r="Z20" s="618"/>
      <c r="AA20" s="618"/>
      <c r="AB20" s="618"/>
    </row>
    <row r="21" spans="1:28" ht="14.25" customHeight="1" x14ac:dyDescent="0.45">
      <c r="A21" s="618"/>
      <c r="B21" s="215"/>
      <c r="C21" s="220" t="s">
        <v>183</v>
      </c>
      <c r="D21" s="221" t="s">
        <v>184</v>
      </c>
      <c r="E21" s="232">
        <f>'Copia de Electricidad'!D22/1000</f>
        <v>0.43722</v>
      </c>
      <c r="F21" s="218">
        <f>'Copia de Electricidad'!E22/1000</f>
        <v>0.43722</v>
      </c>
      <c r="G21" s="218">
        <f>'Copia de Electricidad'!F22/1000</f>
        <v>0.43722</v>
      </c>
      <c r="H21" s="233">
        <f>'Copia de Electricidad'!G22/1000</f>
        <v>0.44643999999999995</v>
      </c>
      <c r="I21" s="618"/>
      <c r="J21" s="618"/>
      <c r="K21" s="618"/>
      <c r="L21" s="618"/>
      <c r="M21" s="618"/>
      <c r="N21" s="618"/>
      <c r="O21" s="618"/>
      <c r="P21" s="618"/>
      <c r="Q21" s="618"/>
      <c r="R21" s="618"/>
      <c r="S21" s="618"/>
      <c r="T21" s="618"/>
      <c r="U21" s="618"/>
      <c r="V21" s="618"/>
      <c r="W21" s="618"/>
      <c r="X21" s="618"/>
      <c r="Y21" s="618"/>
      <c r="Z21" s="618"/>
      <c r="AA21" s="618"/>
      <c r="AB21" s="618"/>
    </row>
    <row r="22" spans="1:28" ht="14.25" customHeight="1" x14ac:dyDescent="0.45">
      <c r="A22" s="618"/>
      <c r="B22" s="215"/>
      <c r="C22" s="220"/>
      <c r="D22" s="221" t="s">
        <v>185</v>
      </c>
      <c r="E22" s="218">
        <f>'Copia de Electricidad'!D23/1000</f>
        <v>2.2499999999999998E-3</v>
      </c>
      <c r="F22" s="218">
        <f>'Copia de Electricidad'!E23/1000</f>
        <v>2.2499999999999998E-3</v>
      </c>
      <c r="G22" s="218">
        <f>'Copia de Electricidad'!F23/1000</f>
        <v>2.2499999999999998E-3</v>
      </c>
      <c r="H22" s="233">
        <f>'Copia de Electricidad'!G23/1000</f>
        <v>2.2499999999999998E-3</v>
      </c>
      <c r="I22" s="618"/>
      <c r="J22" s="618"/>
      <c r="K22" s="618"/>
      <c r="L22" s="618"/>
      <c r="M22" s="618"/>
      <c r="N22" s="618"/>
      <c r="O22" s="618"/>
      <c r="P22" s="618"/>
      <c r="Q22" s="618"/>
      <c r="R22" s="618"/>
      <c r="S22" s="618"/>
      <c r="T22" s="618"/>
      <c r="U22" s="618"/>
      <c r="V22" s="618"/>
      <c r="W22" s="618"/>
      <c r="X22" s="618"/>
      <c r="Y22" s="618"/>
      <c r="Z22" s="618"/>
      <c r="AA22" s="618"/>
      <c r="AB22" s="618"/>
    </row>
    <row r="23" spans="1:28" ht="14.25" customHeight="1" x14ac:dyDescent="0.45">
      <c r="A23" s="618"/>
      <c r="B23" s="215"/>
      <c r="C23" s="220" t="s">
        <v>186</v>
      </c>
      <c r="D23" s="221" t="s">
        <v>187</v>
      </c>
      <c r="E23" s="232">
        <f>'Copia de Electricidad'!D24/1000</f>
        <v>8.6599999999999996E-2</v>
      </c>
      <c r="F23" s="218">
        <f>'Copia de Electricidad'!E24/1000</f>
        <v>8.6599999999999996E-2</v>
      </c>
      <c r="G23" s="218">
        <f>'Copia de Electricidad'!F24/1000</f>
        <v>8.6599999999999996E-2</v>
      </c>
      <c r="H23" s="233">
        <f>'Copia de Electricidad'!G24/1000</f>
        <v>8.6599999999999996E-2</v>
      </c>
      <c r="I23" s="618"/>
      <c r="J23" s="618"/>
      <c r="K23" s="618"/>
      <c r="L23" s="618"/>
      <c r="M23" s="618"/>
      <c r="N23" s="618"/>
      <c r="O23" s="618"/>
      <c r="P23" s="618"/>
      <c r="Q23" s="618"/>
      <c r="R23" s="618"/>
      <c r="S23" s="618"/>
      <c r="T23" s="618"/>
      <c r="U23" s="618"/>
      <c r="V23" s="618"/>
      <c r="W23" s="618"/>
      <c r="X23" s="618"/>
      <c r="Y23" s="618"/>
      <c r="Z23" s="618"/>
      <c r="AA23" s="618"/>
      <c r="AB23" s="618"/>
    </row>
    <row r="24" spans="1:28" ht="14.25" customHeight="1" x14ac:dyDescent="0.45">
      <c r="A24" s="618"/>
      <c r="B24" s="215"/>
      <c r="C24" s="220"/>
      <c r="D24" s="228" t="s">
        <v>188</v>
      </c>
      <c r="E24" s="229">
        <f>'Copia de Electricidad'!D25/1000</f>
        <v>0.82059499999999996</v>
      </c>
      <c r="F24" s="230">
        <f>'Copia de Electricidad'!E25/1000</f>
        <v>0.82059499999999996</v>
      </c>
      <c r="G24" s="230">
        <f>'Copia de Electricidad'!F25/1000</f>
        <v>0.82059499999999996</v>
      </c>
      <c r="H24" s="231">
        <f>'Copia de Electricidad'!G25/1000</f>
        <v>0.81979499999999994</v>
      </c>
      <c r="I24" s="618"/>
      <c r="J24" s="618"/>
      <c r="K24" s="618"/>
      <c r="L24" s="618"/>
      <c r="M24" s="618"/>
      <c r="N24" s="618"/>
      <c r="O24" s="618"/>
      <c r="P24" s="618"/>
      <c r="Q24" s="618"/>
      <c r="R24" s="618"/>
      <c r="S24" s="618"/>
      <c r="T24" s="618"/>
      <c r="U24" s="618"/>
      <c r="V24" s="618"/>
      <c r="W24" s="618"/>
      <c r="X24" s="618"/>
      <c r="Y24" s="618"/>
      <c r="Z24" s="618"/>
      <c r="AA24" s="618"/>
      <c r="AB24" s="618"/>
    </row>
    <row r="25" spans="1:28" ht="14.25" customHeight="1" x14ac:dyDescent="0.45">
      <c r="A25" s="618"/>
      <c r="B25" s="215"/>
      <c r="C25" s="220" t="s">
        <v>189</v>
      </c>
      <c r="D25" s="221" t="s">
        <v>190</v>
      </c>
      <c r="E25" s="28">
        <f>'Copia de Electricidad'!D26/1000</f>
        <v>0.54523499999999991</v>
      </c>
      <c r="F25" s="29">
        <f>'Copia de Electricidad'!E26/1000</f>
        <v>0.54523499999999991</v>
      </c>
      <c r="G25" s="29">
        <f>'Copia de Electricidad'!F26/1000</f>
        <v>0.54523499999999991</v>
      </c>
      <c r="H25" s="30">
        <f>'Copia de Electricidad'!G26/1000</f>
        <v>0.54443499999999989</v>
      </c>
      <c r="I25" s="618"/>
      <c r="J25" s="618"/>
      <c r="K25" s="618"/>
      <c r="L25" s="618"/>
      <c r="M25" s="618"/>
      <c r="N25" s="618"/>
      <c r="O25" s="618"/>
      <c r="P25" s="618"/>
      <c r="Q25" s="618"/>
      <c r="R25" s="618"/>
      <c r="S25" s="618"/>
      <c r="T25" s="618"/>
      <c r="U25" s="618"/>
      <c r="V25" s="618"/>
      <c r="W25" s="618"/>
      <c r="X25" s="618"/>
      <c r="Y25" s="618"/>
      <c r="Z25" s="618"/>
      <c r="AA25" s="618"/>
      <c r="AB25" s="618"/>
    </row>
    <row r="26" spans="1:28" ht="14.25" customHeight="1" x14ac:dyDescent="0.45">
      <c r="A26" s="618"/>
      <c r="B26" s="215"/>
      <c r="C26" s="220" t="s">
        <v>191</v>
      </c>
      <c r="D26" s="221" t="s">
        <v>192</v>
      </c>
      <c r="E26" s="28">
        <f>'Copia de Electricidad'!D27/1000</f>
        <v>0.27535999999999999</v>
      </c>
      <c r="F26" s="29">
        <f>'Copia de Electricidad'!E27/1000</f>
        <v>0.27535999999999999</v>
      </c>
      <c r="G26" s="29">
        <f>'Copia de Electricidad'!F27/1000</f>
        <v>0.27535999999999999</v>
      </c>
      <c r="H26" s="30">
        <f>'Copia de Electricidad'!G27/1000</f>
        <v>0.27535999999999999</v>
      </c>
      <c r="I26" s="618"/>
      <c r="J26" s="618"/>
      <c r="K26" s="618"/>
      <c r="L26" s="618"/>
      <c r="M26" s="618"/>
      <c r="N26" s="618"/>
      <c r="O26" s="618"/>
      <c r="P26" s="618"/>
      <c r="Q26" s="618"/>
      <c r="R26" s="618"/>
      <c r="S26" s="618"/>
      <c r="T26" s="618"/>
      <c r="U26" s="618"/>
      <c r="V26" s="618"/>
      <c r="W26" s="618"/>
      <c r="X26" s="618"/>
      <c r="Y26" s="618"/>
      <c r="Z26" s="618"/>
      <c r="AA26" s="618"/>
      <c r="AB26" s="618"/>
    </row>
    <row r="27" spans="1:28" ht="14.25" customHeight="1" x14ac:dyDescent="0.45">
      <c r="A27" s="618"/>
      <c r="B27" s="215"/>
      <c r="C27" s="220"/>
      <c r="D27" s="228" t="s">
        <v>193</v>
      </c>
      <c r="E27" s="229">
        <f>'Copia de Electricidad'!D28/1000</f>
        <v>0.44600000000000001</v>
      </c>
      <c r="F27" s="230">
        <f>'Copia de Electricidad'!E28/1000</f>
        <v>0.44600000000000001</v>
      </c>
      <c r="G27" s="230">
        <f>'Copia de Electricidad'!F28/1000</f>
        <v>0.44600000000000001</v>
      </c>
      <c r="H27" s="231">
        <f>'Copia de Electricidad'!G28/1000</f>
        <v>0.44600000000000001</v>
      </c>
      <c r="I27" s="618"/>
      <c r="J27" s="618"/>
      <c r="K27" s="618"/>
      <c r="L27" s="618"/>
      <c r="M27" s="618"/>
      <c r="N27" s="618"/>
      <c r="O27" s="618"/>
      <c r="P27" s="618"/>
      <c r="Q27" s="618"/>
      <c r="R27" s="618"/>
      <c r="S27" s="618"/>
      <c r="T27" s="618"/>
      <c r="U27" s="618"/>
      <c r="V27" s="618"/>
      <c r="W27" s="618"/>
      <c r="X27" s="618"/>
      <c r="Y27" s="618"/>
      <c r="Z27" s="618"/>
      <c r="AA27" s="618"/>
      <c r="AB27" s="618"/>
    </row>
    <row r="28" spans="1:28" ht="14.25" customHeight="1" x14ac:dyDescent="0.45">
      <c r="A28" s="618"/>
      <c r="B28" s="215"/>
      <c r="C28" s="220" t="s">
        <v>194</v>
      </c>
      <c r="D28" s="221" t="s">
        <v>195</v>
      </c>
      <c r="E28" s="28">
        <f>'Copia de Electricidad'!D29/1000</f>
        <v>0.44600000000000001</v>
      </c>
      <c r="F28" s="29">
        <f>'Copia de Electricidad'!E29/1000</f>
        <v>0.44600000000000001</v>
      </c>
      <c r="G28" s="29">
        <f>'Copia de Electricidad'!F29/1000</f>
        <v>0.44600000000000001</v>
      </c>
      <c r="H28" s="30">
        <f>'Copia de Electricidad'!G29/1000</f>
        <v>0.44600000000000001</v>
      </c>
      <c r="I28" s="618"/>
      <c r="J28" s="618"/>
      <c r="K28" s="618"/>
      <c r="L28" s="618"/>
      <c r="M28" s="618"/>
      <c r="N28" s="618"/>
      <c r="O28" s="618"/>
      <c r="P28" s="618"/>
      <c r="Q28" s="618"/>
      <c r="R28" s="618"/>
      <c r="S28" s="618"/>
      <c r="T28" s="618"/>
      <c r="U28" s="618"/>
      <c r="V28" s="618"/>
      <c r="W28" s="618"/>
      <c r="X28" s="618"/>
      <c r="Y28" s="618"/>
      <c r="Z28" s="618"/>
      <c r="AA28" s="618"/>
      <c r="AB28" s="618"/>
    </row>
    <row r="29" spans="1:28" ht="14.25" customHeight="1" x14ac:dyDescent="0.45">
      <c r="A29" s="618"/>
      <c r="B29" s="215"/>
      <c r="C29" s="220"/>
      <c r="D29" s="224" t="s">
        <v>196</v>
      </c>
      <c r="E29" s="225">
        <f>'Copia de Electricidad'!D30/1000</f>
        <v>7.26E-3</v>
      </c>
      <c r="F29" s="226">
        <f>'Copia de Electricidad'!E30/1000</f>
        <v>7.26E-3</v>
      </c>
      <c r="G29" s="226">
        <f>'Copia de Electricidad'!F30/1000</f>
        <v>7.26E-3</v>
      </c>
      <c r="H29" s="227">
        <f>'Copia de Electricidad'!G30/1000</f>
        <v>8.320000000000001E-3</v>
      </c>
      <c r="I29" s="618"/>
      <c r="J29" s="618"/>
      <c r="K29" s="618"/>
      <c r="L29" s="618"/>
      <c r="M29" s="618"/>
      <c r="N29" s="618"/>
      <c r="O29" s="618"/>
      <c r="P29" s="618"/>
      <c r="Q29" s="618"/>
      <c r="R29" s="618"/>
      <c r="S29" s="618"/>
      <c r="T29" s="618"/>
      <c r="U29" s="618"/>
      <c r="V29" s="618"/>
      <c r="W29" s="618"/>
      <c r="X29" s="618"/>
      <c r="Y29" s="618"/>
      <c r="Z29" s="618"/>
      <c r="AA29" s="618"/>
      <c r="AB29" s="618"/>
    </row>
    <row r="30" spans="1:28" ht="14.25" customHeight="1" x14ac:dyDescent="0.45">
      <c r="A30" s="618"/>
      <c r="B30" s="215"/>
      <c r="C30" s="220"/>
      <c r="D30" s="228" t="s">
        <v>197</v>
      </c>
      <c r="E30" s="229"/>
      <c r="F30" s="230"/>
      <c r="G30" s="230"/>
      <c r="H30" s="231"/>
      <c r="I30" s="618"/>
      <c r="J30" s="618"/>
      <c r="K30" s="618"/>
      <c r="L30" s="618"/>
      <c r="M30" s="618"/>
      <c r="N30" s="618"/>
      <c r="O30" s="618"/>
      <c r="P30" s="618"/>
      <c r="Q30" s="618"/>
      <c r="R30" s="618"/>
      <c r="S30" s="618"/>
      <c r="T30" s="618"/>
      <c r="U30" s="618"/>
      <c r="V30" s="618"/>
      <c r="W30" s="618"/>
      <c r="X30" s="618"/>
      <c r="Y30" s="618"/>
      <c r="Z30" s="618"/>
      <c r="AA30" s="618"/>
      <c r="AB30" s="618"/>
    </row>
    <row r="31" spans="1:28" ht="14.25" customHeight="1" x14ac:dyDescent="0.45">
      <c r="A31" s="618"/>
      <c r="B31" s="215"/>
      <c r="C31" s="220" t="s">
        <v>198</v>
      </c>
      <c r="D31" s="221" t="s">
        <v>196</v>
      </c>
      <c r="E31" s="232">
        <f>'Copia de Electricidad'!D32/1000</f>
        <v>7.26E-3</v>
      </c>
      <c r="F31" s="218">
        <f>'Copia de Electricidad'!E32/1000</f>
        <v>7.26E-3</v>
      </c>
      <c r="G31" s="218">
        <f>'Copia de Electricidad'!F32/1000</f>
        <v>7.26E-3</v>
      </c>
      <c r="H31" s="233">
        <f>'Copia de Electricidad'!G32/1000</f>
        <v>8.320000000000001E-3</v>
      </c>
      <c r="I31" s="618"/>
      <c r="J31" s="618"/>
      <c r="K31" s="618"/>
      <c r="L31" s="618"/>
      <c r="M31" s="618"/>
      <c r="N31" s="618"/>
      <c r="O31" s="618"/>
      <c r="P31" s="618"/>
      <c r="Q31" s="618"/>
      <c r="R31" s="618"/>
      <c r="S31" s="618"/>
      <c r="T31" s="618"/>
      <c r="U31" s="618"/>
      <c r="V31" s="618"/>
      <c r="W31" s="618"/>
      <c r="X31" s="618"/>
      <c r="Y31" s="618"/>
      <c r="Z31" s="618"/>
      <c r="AA31" s="618"/>
      <c r="AB31" s="618"/>
    </row>
    <row r="32" spans="1:28" ht="14.25" customHeight="1" x14ac:dyDescent="0.45">
      <c r="A32" s="618"/>
      <c r="B32" s="215"/>
      <c r="C32" s="220"/>
      <c r="D32" s="234" t="s">
        <v>199</v>
      </c>
      <c r="E32" s="218"/>
      <c r="F32" s="218"/>
      <c r="G32" s="218"/>
      <c r="H32" s="235"/>
      <c r="I32" s="618"/>
      <c r="J32" s="618"/>
      <c r="K32" s="618"/>
      <c r="L32" s="618"/>
      <c r="M32" s="618"/>
      <c r="N32" s="618"/>
      <c r="O32" s="618"/>
      <c r="P32" s="618"/>
      <c r="Q32" s="618"/>
      <c r="R32" s="618"/>
      <c r="S32" s="618"/>
      <c r="T32" s="618"/>
      <c r="U32" s="618"/>
      <c r="V32" s="618"/>
      <c r="W32" s="618"/>
      <c r="X32" s="618"/>
      <c r="Y32" s="618"/>
      <c r="Z32" s="618"/>
      <c r="AA32" s="618"/>
      <c r="AB32" s="618"/>
    </row>
    <row r="33" spans="1:57" ht="14.25" customHeight="1" x14ac:dyDescent="0.45">
      <c r="A33" s="618"/>
      <c r="B33" s="215"/>
      <c r="C33" s="220" t="s">
        <v>200</v>
      </c>
      <c r="D33" s="236" t="s">
        <v>201</v>
      </c>
      <c r="E33" s="237">
        <f>'Copia de Electricidad'!D34/1000</f>
        <v>4.2200000000000001E-2</v>
      </c>
      <c r="F33" s="237">
        <f>'Copia de Electricidad'!E34/1000</f>
        <v>4.2200000000000001E-2</v>
      </c>
      <c r="G33" s="237">
        <f>'Copia de Electricidad'!F34/1000</f>
        <v>4.2200000000000001E-2</v>
      </c>
      <c r="H33" s="238">
        <f>'Copia de Electricidad'!G34/1000</f>
        <v>4.2200000000000001E-2</v>
      </c>
      <c r="I33" s="618"/>
      <c r="J33" s="618"/>
      <c r="K33" s="618"/>
      <c r="L33" s="618"/>
      <c r="M33" s="618"/>
      <c r="N33" s="618"/>
      <c r="O33" s="618"/>
      <c r="P33" s="618"/>
      <c r="Q33" s="618"/>
      <c r="R33" s="618"/>
      <c r="S33" s="618"/>
      <c r="T33" s="618"/>
      <c r="U33" s="618"/>
      <c r="V33" s="618"/>
      <c r="W33" s="618"/>
      <c r="X33" s="618"/>
      <c r="Y33" s="618"/>
      <c r="Z33" s="618"/>
      <c r="AA33" s="618"/>
      <c r="AB33" s="618"/>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row>
    <row r="34" spans="1:57" ht="14.25" customHeight="1" x14ac:dyDescent="0.45">
      <c r="A34" s="618"/>
      <c r="B34" s="215"/>
      <c r="C34" s="220" t="s">
        <v>202</v>
      </c>
      <c r="D34" s="236" t="s">
        <v>203</v>
      </c>
      <c r="E34" s="237">
        <f>'Copia de Electricidad'!D35/1000</f>
        <v>0.21299999999999999</v>
      </c>
      <c r="F34" s="237">
        <f>'Copia de Electricidad'!E35/1000</f>
        <v>0.21299999999999999</v>
      </c>
      <c r="G34" s="237">
        <f>'Copia de Electricidad'!F35/1000</f>
        <v>0.21299999999999999</v>
      </c>
      <c r="H34" s="238">
        <f>'Copia de Electricidad'!G35/1000</f>
        <v>0.21299999999999999</v>
      </c>
      <c r="I34" s="618"/>
      <c r="J34" s="618"/>
      <c r="K34" s="618"/>
      <c r="L34" s="618"/>
      <c r="M34" s="618"/>
      <c r="N34" s="618"/>
      <c r="O34" s="618"/>
      <c r="P34" s="618"/>
      <c r="Q34" s="618"/>
      <c r="R34" s="618"/>
      <c r="S34" s="618"/>
      <c r="T34" s="618"/>
      <c r="U34" s="618"/>
      <c r="V34" s="618"/>
      <c r="W34" s="618"/>
      <c r="X34" s="618"/>
      <c r="Y34" s="618"/>
      <c r="Z34" s="618"/>
      <c r="AA34" s="618"/>
      <c r="AB34" s="618"/>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ht="14.25" customHeight="1" x14ac:dyDescent="0.45">
      <c r="A35" s="618"/>
      <c r="B35" s="215"/>
      <c r="C35" s="220" t="s">
        <v>204</v>
      </c>
      <c r="D35" s="236" t="s">
        <v>205</v>
      </c>
      <c r="E35" s="237"/>
      <c r="F35" s="237"/>
      <c r="G35" s="237"/>
      <c r="H35" s="238"/>
      <c r="I35" s="618"/>
      <c r="J35" s="618"/>
      <c r="K35" s="618"/>
      <c r="L35" s="618"/>
      <c r="M35" s="618"/>
      <c r="N35" s="618"/>
      <c r="O35" s="618"/>
      <c r="P35" s="618"/>
      <c r="Q35" s="618"/>
      <c r="R35" s="618"/>
      <c r="S35" s="618"/>
      <c r="T35" s="618"/>
      <c r="U35" s="618"/>
      <c r="V35" s="618"/>
      <c r="W35" s="618"/>
      <c r="X35" s="618"/>
      <c r="Y35" s="618"/>
      <c r="Z35" s="618"/>
      <c r="AA35" s="618"/>
      <c r="AB35" s="618"/>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ht="14.25" customHeight="1" x14ac:dyDescent="0.45">
      <c r="A36" s="618"/>
      <c r="B36" s="215"/>
      <c r="C36" s="220" t="s">
        <v>206</v>
      </c>
      <c r="D36" s="236" t="s">
        <v>207</v>
      </c>
      <c r="E36" s="237"/>
      <c r="F36" s="237"/>
      <c r="G36" s="237"/>
      <c r="H36" s="238"/>
      <c r="I36" s="618"/>
      <c r="J36" s="618"/>
      <c r="K36" s="618"/>
      <c r="L36" s="618"/>
      <c r="M36" s="618"/>
      <c r="N36" s="618"/>
      <c r="O36" s="618"/>
      <c r="P36" s="618"/>
      <c r="Q36" s="618"/>
      <c r="R36" s="618"/>
      <c r="S36" s="618"/>
      <c r="T36" s="618"/>
      <c r="U36" s="618"/>
      <c r="V36" s="618"/>
      <c r="W36" s="618"/>
      <c r="X36" s="618"/>
      <c r="Y36" s="618"/>
      <c r="Z36" s="618"/>
      <c r="AA36" s="618"/>
      <c r="AB36" s="618"/>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ht="14.25" customHeight="1" x14ac:dyDescent="0.45">
      <c r="A37" s="618"/>
      <c r="B37" s="215"/>
      <c r="C37" s="220" t="s">
        <v>208</v>
      </c>
      <c r="D37" s="236" t="s">
        <v>209</v>
      </c>
      <c r="E37" s="237">
        <f>'Copia de Electricidad'!D38/1000</f>
        <v>0.40300000000000002</v>
      </c>
      <c r="F37" s="237">
        <f>'Copia de Electricidad'!E38/1000</f>
        <v>0.40300000000000002</v>
      </c>
      <c r="G37" s="237">
        <f>'Copia de Electricidad'!F38/1000</f>
        <v>0.40300000000000002</v>
      </c>
      <c r="H37" s="238">
        <f>'Copia de Electricidad'!G38/1000</f>
        <v>0.40300000000000002</v>
      </c>
      <c r="I37" s="618"/>
      <c r="J37" s="618"/>
      <c r="K37" s="618"/>
      <c r="L37" s="618"/>
      <c r="M37" s="618"/>
      <c r="N37" s="618"/>
      <c r="O37" s="618"/>
      <c r="P37" s="618"/>
      <c r="Q37" s="618"/>
      <c r="R37" s="618"/>
      <c r="S37" s="618"/>
      <c r="T37" s="618"/>
      <c r="U37" s="618"/>
      <c r="V37" s="618"/>
      <c r="W37" s="618"/>
      <c r="X37" s="618"/>
      <c r="Y37" s="618"/>
      <c r="Z37" s="618"/>
      <c r="AA37" s="618"/>
      <c r="AB37" s="618"/>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ht="14.25" customHeight="1" x14ac:dyDescent="0.45">
      <c r="A38" s="618"/>
      <c r="B38" s="215"/>
      <c r="C38" s="220" t="s">
        <v>210</v>
      </c>
      <c r="D38" s="236" t="s">
        <v>211</v>
      </c>
      <c r="E38" s="237">
        <f>'Copia de Electricidad'!D39/1000</f>
        <v>1.075</v>
      </c>
      <c r="F38" s="237">
        <f>'Copia de Electricidad'!E39/1000</f>
        <v>1.075</v>
      </c>
      <c r="G38" s="237">
        <f>'Copia de Electricidad'!F39/1000</f>
        <v>1.075</v>
      </c>
      <c r="H38" s="238">
        <f>'Copia de Electricidad'!G39/1000</f>
        <v>1.075</v>
      </c>
      <c r="I38" s="618"/>
      <c r="J38" s="618"/>
      <c r="K38" s="618"/>
      <c r="L38" s="618"/>
      <c r="M38" s="618"/>
      <c r="N38" s="618"/>
      <c r="O38" s="618"/>
      <c r="P38" s="618"/>
      <c r="Q38" s="618"/>
      <c r="R38" s="618"/>
      <c r="S38" s="618"/>
      <c r="T38" s="618"/>
      <c r="U38" s="618"/>
      <c r="V38" s="618"/>
      <c r="W38" s="618"/>
      <c r="X38" s="618"/>
      <c r="Y38" s="618"/>
      <c r="Z38" s="618"/>
      <c r="AA38" s="618"/>
      <c r="AB38" s="618"/>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ht="14.25" customHeight="1" x14ac:dyDescent="0.45">
      <c r="A39" s="618"/>
      <c r="B39" s="215"/>
      <c r="C39" s="220"/>
      <c r="D39" s="234" t="s">
        <v>212</v>
      </c>
      <c r="E39" s="239"/>
      <c r="F39" s="239"/>
      <c r="G39" s="239"/>
      <c r="H39" s="240"/>
      <c r="I39" s="618"/>
      <c r="J39" s="618"/>
      <c r="K39" s="618"/>
      <c r="L39" s="618"/>
      <c r="M39" s="618"/>
      <c r="N39" s="618"/>
      <c r="O39" s="618"/>
      <c r="P39" s="618"/>
      <c r="Q39" s="618"/>
      <c r="R39" s="618"/>
      <c r="S39" s="618"/>
      <c r="T39" s="618"/>
      <c r="U39" s="618"/>
      <c r="V39" s="618"/>
      <c r="W39" s="618"/>
      <c r="X39" s="618"/>
      <c r="Y39" s="618"/>
      <c r="Z39" s="618"/>
      <c r="AA39" s="618"/>
      <c r="AB39" s="618"/>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ht="14.25" customHeight="1" x14ac:dyDescent="0.45">
      <c r="A40" s="618"/>
      <c r="B40" s="215"/>
      <c r="C40" s="220" t="s">
        <v>213</v>
      </c>
      <c r="D40" s="236" t="s">
        <v>201</v>
      </c>
      <c r="E40" s="237">
        <f>'Copia de Electricidad'!D41/1000</f>
        <v>5.4393999999999998E-2</v>
      </c>
      <c r="F40" s="237">
        <f>'Copia de Electricidad'!E41/1000</f>
        <v>5.4393999999999991E-2</v>
      </c>
      <c r="G40" s="237">
        <f>'Copia de Electricidad'!F41/1000</f>
        <v>6.4539999999999986E-2</v>
      </c>
      <c r="H40" s="238">
        <f>'Copia de Electricidad'!G41/1000</f>
        <v>6.4539999999999986E-2</v>
      </c>
      <c r="I40" s="618"/>
      <c r="J40" s="618"/>
      <c r="K40" s="618"/>
      <c r="L40" s="618"/>
      <c r="M40" s="618"/>
      <c r="N40" s="618"/>
      <c r="O40" s="618"/>
      <c r="P40" s="618"/>
      <c r="Q40" s="618"/>
      <c r="R40" s="618"/>
      <c r="S40" s="618"/>
      <c r="T40" s="618"/>
      <c r="U40" s="618"/>
      <c r="V40" s="618"/>
      <c r="W40" s="618"/>
      <c r="X40" s="618"/>
      <c r="Y40" s="618"/>
      <c r="Z40" s="618"/>
      <c r="AA40" s="618"/>
      <c r="AB40" s="618"/>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ht="14.25" customHeight="1" x14ac:dyDescent="0.45">
      <c r="A41" s="618"/>
      <c r="B41" s="215"/>
      <c r="C41" s="220" t="s">
        <v>214</v>
      </c>
      <c r="D41" s="236" t="s">
        <v>203</v>
      </c>
      <c r="E41" s="237">
        <f>'Copia de Electricidad'!D42/1000</f>
        <v>0.33335999999999999</v>
      </c>
      <c r="F41" s="237">
        <f>'Copia de Electricidad'!E42/1000</f>
        <v>0.33335999999999999</v>
      </c>
      <c r="G41" s="237">
        <f>'Copia de Electricidad'!F42/1000</f>
        <v>0.33335999999999999</v>
      </c>
      <c r="H41" s="238">
        <f>'Copia de Electricidad'!G42/1000</f>
        <v>0.33335999999999999</v>
      </c>
      <c r="I41" s="618"/>
      <c r="J41" s="618"/>
      <c r="K41" s="618"/>
      <c r="L41" s="618"/>
      <c r="M41" s="618"/>
      <c r="N41" s="618"/>
      <c r="O41" s="618"/>
      <c r="P41" s="618"/>
      <c r="Q41" s="618"/>
      <c r="R41" s="618"/>
      <c r="S41" s="618"/>
      <c r="T41" s="618"/>
      <c r="U41" s="618"/>
      <c r="V41" s="618"/>
      <c r="W41" s="618"/>
      <c r="X41" s="618"/>
      <c r="Y41" s="618"/>
      <c r="Z41" s="618"/>
      <c r="AA41" s="618"/>
      <c r="AB41" s="618"/>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ht="14.25" customHeight="1" x14ac:dyDescent="0.45">
      <c r="A42" s="618"/>
      <c r="B42" s="215"/>
      <c r="C42" s="220" t="s">
        <v>215</v>
      </c>
      <c r="D42" s="236" t="s">
        <v>205</v>
      </c>
      <c r="E42" s="237"/>
      <c r="F42" s="237"/>
      <c r="G42" s="237"/>
      <c r="H42" s="238"/>
      <c r="I42" s="618"/>
      <c r="J42" s="618"/>
      <c r="K42" s="618"/>
      <c r="L42" s="618"/>
      <c r="M42" s="618"/>
      <c r="N42" s="618"/>
      <c r="O42" s="618"/>
      <c r="P42" s="618"/>
      <c r="Q42" s="618"/>
      <c r="R42" s="618"/>
      <c r="S42" s="618"/>
      <c r="T42" s="618"/>
      <c r="U42" s="618"/>
      <c r="V42" s="618"/>
      <c r="W42" s="618"/>
      <c r="X42" s="618"/>
      <c r="Y42" s="618"/>
      <c r="Z42" s="618"/>
      <c r="AA42" s="618"/>
      <c r="AB42" s="618"/>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ht="14.25" customHeight="1" x14ac:dyDescent="0.45">
      <c r="A43" s="618"/>
      <c r="B43" s="215"/>
      <c r="C43" s="220" t="s">
        <v>216</v>
      </c>
      <c r="D43" s="236" t="s">
        <v>207</v>
      </c>
      <c r="E43" s="237">
        <f>'Copia de Electricidad'!D44/1000</f>
        <v>0.54239000000000004</v>
      </c>
      <c r="F43" s="237">
        <f>'Copia de Electricidad'!E44/1000</f>
        <v>0.55239000000000005</v>
      </c>
      <c r="G43" s="237">
        <f>'Copia de Electricidad'!F44/1000</f>
        <v>0.500282</v>
      </c>
      <c r="H43" s="238">
        <f>'Copia de Electricidad'!G44/1000</f>
        <v>0.508382</v>
      </c>
      <c r="I43" s="618"/>
      <c r="J43" s="618"/>
      <c r="K43" s="618"/>
      <c r="L43" s="618"/>
      <c r="M43" s="618"/>
      <c r="N43" s="618"/>
      <c r="O43" s="618"/>
      <c r="P43" s="618"/>
      <c r="Q43" s="618"/>
      <c r="R43" s="618"/>
      <c r="S43" s="618"/>
      <c r="T43" s="618"/>
      <c r="U43" s="618"/>
      <c r="V43" s="618"/>
      <c r="W43" s="618"/>
      <c r="X43" s="618"/>
      <c r="Y43" s="618"/>
      <c r="Z43" s="618"/>
      <c r="AA43" s="618"/>
      <c r="AB43" s="618"/>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ht="14.25" customHeight="1" x14ac:dyDescent="0.45">
      <c r="A44" s="618"/>
      <c r="B44" s="215"/>
      <c r="C44" s="220" t="s">
        <v>217</v>
      </c>
      <c r="D44" s="236" t="s">
        <v>209</v>
      </c>
      <c r="E44" s="237">
        <f>'Copia de Electricidad'!D45/1000</f>
        <v>0.41</v>
      </c>
      <c r="F44" s="237">
        <f>'Copia de Electricidad'!E45/1000</f>
        <v>0.41</v>
      </c>
      <c r="G44" s="237">
        <f>'Copia de Electricidad'!F45/1000</f>
        <v>0.47430399999999995</v>
      </c>
      <c r="H44" s="238">
        <f>'Copia de Electricidad'!G45/1000</f>
        <v>0.47430399999999995</v>
      </c>
      <c r="I44" s="618"/>
      <c r="J44" s="618"/>
      <c r="K44" s="618"/>
      <c r="L44" s="618"/>
      <c r="M44" s="618"/>
      <c r="N44" s="618"/>
      <c r="O44" s="618"/>
      <c r="P44" s="618"/>
      <c r="Q44" s="618"/>
      <c r="R44" s="618"/>
      <c r="S44" s="618"/>
      <c r="T44" s="618"/>
      <c r="U44" s="618"/>
      <c r="V44" s="618"/>
      <c r="W44" s="618"/>
      <c r="X44" s="618"/>
      <c r="Y44" s="618"/>
      <c r="Z44" s="618"/>
      <c r="AA44" s="618"/>
      <c r="AB44" s="618"/>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ht="14.25" customHeight="1" x14ac:dyDescent="0.45">
      <c r="A45" s="618"/>
      <c r="B45" s="215"/>
      <c r="C45" s="220" t="s">
        <v>218</v>
      </c>
      <c r="D45" s="236" t="s">
        <v>211</v>
      </c>
      <c r="E45" s="237">
        <f>'Copia de Electricidad'!D46/1000</f>
        <v>1.9869999899999999</v>
      </c>
      <c r="F45" s="237">
        <f>'Copia de Electricidad'!E46/1000</f>
        <v>1.9869999899999999</v>
      </c>
      <c r="G45" s="237">
        <f>'Copia de Electricidad'!F46/1000</f>
        <v>1.9869999899999999</v>
      </c>
      <c r="H45" s="238">
        <f>'Copia de Electricidad'!G46/1000</f>
        <v>1.9869999899999999</v>
      </c>
      <c r="I45" s="618"/>
      <c r="J45" s="618"/>
      <c r="K45" s="618"/>
      <c r="L45" s="618"/>
      <c r="M45" s="618"/>
      <c r="N45" s="618"/>
      <c r="O45" s="618"/>
      <c r="P45" s="618"/>
      <c r="Q45" s="618"/>
      <c r="R45" s="618"/>
      <c r="S45" s="618"/>
      <c r="T45" s="618"/>
      <c r="U45" s="618"/>
      <c r="V45" s="618"/>
      <c r="W45" s="618"/>
      <c r="X45" s="618"/>
      <c r="Y45" s="618"/>
      <c r="Z45" s="618"/>
      <c r="AA45" s="618"/>
      <c r="AB45" s="618"/>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ht="14.25" customHeight="1" x14ac:dyDescent="0.45">
      <c r="A46" s="618"/>
      <c r="B46" s="215"/>
      <c r="C46" s="220"/>
      <c r="D46" s="241" t="s">
        <v>59</v>
      </c>
      <c r="E46" s="31">
        <f>E6+E9+E10+E17+E18+E29</f>
        <v>7.3555154099999998</v>
      </c>
      <c r="F46" s="31">
        <f>F6+F9+F10+F17+F18+F29</f>
        <v>7.3179154100000003</v>
      </c>
      <c r="G46" s="31">
        <f>G6+G9+G10+G17+G18+G29</f>
        <v>7.3402574099999987</v>
      </c>
      <c r="H46" s="32">
        <f>H6+H9+H10+H17+H18+H29</f>
        <v>7.3578374099999992</v>
      </c>
      <c r="I46" s="618"/>
      <c r="J46" s="618"/>
      <c r="K46" s="618"/>
      <c r="L46" s="618"/>
      <c r="M46" s="618"/>
      <c r="N46" s="618"/>
      <c r="O46" s="618"/>
      <c r="P46" s="618"/>
      <c r="Q46" s="618"/>
      <c r="R46" s="618"/>
      <c r="S46" s="618"/>
      <c r="T46" s="618"/>
      <c r="U46" s="618"/>
      <c r="V46" s="618"/>
      <c r="W46" s="618"/>
      <c r="X46" s="618"/>
      <c r="Y46" s="618"/>
      <c r="Z46" s="618"/>
      <c r="AA46" s="618"/>
      <c r="AB46" s="618"/>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ht="14.25" customHeight="1" x14ac:dyDescent="0.45">
      <c r="A47" s="618"/>
      <c r="B47" s="215"/>
      <c r="C47" s="220"/>
      <c r="D47" s="221"/>
      <c r="E47" s="29"/>
      <c r="F47" s="218"/>
      <c r="G47" s="218"/>
      <c r="H47" s="242"/>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3"/>
      <c r="AN47" s="3"/>
      <c r="AO47" s="3"/>
      <c r="AP47" s="3"/>
      <c r="AQ47" s="3"/>
      <c r="AR47" s="3"/>
      <c r="AS47" s="3"/>
      <c r="AT47" s="3"/>
      <c r="AU47" s="3"/>
      <c r="AV47" s="3"/>
      <c r="AW47" s="3"/>
      <c r="AX47" s="3"/>
      <c r="AY47" s="3"/>
      <c r="AZ47" s="3"/>
      <c r="BA47" s="3"/>
      <c r="BB47" s="3"/>
      <c r="BC47" s="3"/>
      <c r="BD47" s="3"/>
      <c r="BE47" s="3"/>
    </row>
    <row r="48" spans="1:57" ht="14.25" customHeight="1" x14ac:dyDescent="0.45">
      <c r="A48" s="618"/>
      <c r="B48" s="215"/>
      <c r="C48" s="220"/>
      <c r="D48" s="243" t="s">
        <v>219</v>
      </c>
      <c r="E48" s="222">
        <v>2018</v>
      </c>
      <c r="F48" s="222">
        <v>2019</v>
      </c>
      <c r="G48" s="222">
        <v>2020</v>
      </c>
      <c r="H48" s="222">
        <v>2021</v>
      </c>
      <c r="I48" s="222">
        <v>2022</v>
      </c>
      <c r="J48" s="222">
        <v>2023</v>
      </c>
      <c r="K48" s="222">
        <v>2024</v>
      </c>
      <c r="L48" s="222">
        <v>2025</v>
      </c>
      <c r="M48" s="222">
        <v>2026</v>
      </c>
      <c r="N48" s="222">
        <v>2027</v>
      </c>
      <c r="O48" s="222">
        <v>2028</v>
      </c>
      <c r="P48" s="222">
        <v>2029</v>
      </c>
      <c r="Q48" s="222">
        <v>2030</v>
      </c>
      <c r="R48" s="222">
        <v>2031</v>
      </c>
      <c r="S48" s="222">
        <v>2032</v>
      </c>
      <c r="T48" s="222">
        <v>2033</v>
      </c>
      <c r="U48" s="222">
        <v>2034</v>
      </c>
      <c r="V48" s="222">
        <v>2035</v>
      </c>
      <c r="W48" s="222">
        <v>2036</v>
      </c>
      <c r="X48" s="222">
        <v>2037</v>
      </c>
      <c r="Y48" s="222">
        <v>2038</v>
      </c>
      <c r="Z48" s="222">
        <v>2039</v>
      </c>
      <c r="AA48" s="222">
        <v>2040</v>
      </c>
      <c r="AB48" s="222">
        <v>2041</v>
      </c>
      <c r="AC48" s="222">
        <v>2042</v>
      </c>
      <c r="AD48" s="222">
        <v>2043</v>
      </c>
      <c r="AE48" s="222">
        <v>2044</v>
      </c>
      <c r="AF48" s="222">
        <v>2045</v>
      </c>
      <c r="AG48" s="222">
        <v>2046</v>
      </c>
      <c r="AH48" s="222">
        <v>2047</v>
      </c>
      <c r="AI48" s="222">
        <v>2048</v>
      </c>
      <c r="AJ48" s="222">
        <v>2049</v>
      </c>
      <c r="AK48" s="222">
        <v>2050</v>
      </c>
      <c r="AL48" s="222">
        <v>2051</v>
      </c>
      <c r="AM48" s="222">
        <v>2052</v>
      </c>
      <c r="AN48" s="222">
        <v>2053</v>
      </c>
      <c r="AO48" s="222">
        <v>2054</v>
      </c>
      <c r="AP48" s="222">
        <v>2055</v>
      </c>
      <c r="AQ48" s="222">
        <v>2056</v>
      </c>
      <c r="AR48" s="222">
        <v>2057</v>
      </c>
      <c r="AS48" s="222">
        <v>2058</v>
      </c>
      <c r="AT48" s="222">
        <v>2059</v>
      </c>
      <c r="AU48" s="222">
        <v>2060</v>
      </c>
      <c r="AV48" s="222">
        <v>2061</v>
      </c>
      <c r="AW48" s="222">
        <v>2062</v>
      </c>
      <c r="AX48" s="222">
        <v>2063</v>
      </c>
      <c r="AY48" s="222">
        <v>2064</v>
      </c>
      <c r="AZ48" s="222">
        <v>2065</v>
      </c>
      <c r="BA48" s="222">
        <v>2066</v>
      </c>
      <c r="BB48" s="222">
        <v>2067</v>
      </c>
      <c r="BC48" s="222">
        <v>2068</v>
      </c>
      <c r="BD48" s="222">
        <v>2069</v>
      </c>
      <c r="BE48" s="222">
        <v>2070</v>
      </c>
    </row>
    <row r="49" spans="1:57" ht="14.25" customHeight="1" x14ac:dyDescent="0.45">
      <c r="A49" s="618"/>
      <c r="B49" s="215"/>
      <c r="C49" s="220"/>
      <c r="D49" s="224" t="s">
        <v>220</v>
      </c>
      <c r="E49" s="244" t="s">
        <v>221</v>
      </c>
      <c r="F49" s="244" t="s">
        <v>221</v>
      </c>
      <c r="G49" s="244" t="s">
        <v>221</v>
      </c>
      <c r="H49" s="245" t="s">
        <v>221</v>
      </c>
      <c r="I49" s="618"/>
      <c r="J49" s="618"/>
      <c r="K49" s="618"/>
      <c r="L49" s="618"/>
      <c r="M49" s="618"/>
      <c r="N49" s="618"/>
      <c r="O49" s="618"/>
      <c r="P49" s="618"/>
      <c r="Q49" s="618"/>
      <c r="R49" s="618"/>
      <c r="S49" s="618"/>
      <c r="T49" s="618"/>
      <c r="U49" s="618"/>
      <c r="V49" s="618"/>
      <c r="W49" s="618"/>
      <c r="X49" s="618"/>
      <c r="Y49" s="618"/>
      <c r="Z49" s="618"/>
      <c r="AA49" s="618"/>
      <c r="AB49" s="618"/>
      <c r="AC49" s="618"/>
      <c r="AD49" s="618"/>
      <c r="AE49" s="618"/>
      <c r="AF49" s="618"/>
      <c r="AG49" s="618"/>
      <c r="AH49" s="618"/>
      <c r="AI49" s="618"/>
      <c r="AJ49" s="618"/>
      <c r="AK49" s="618"/>
      <c r="AL49" s="618"/>
      <c r="AM49" s="3"/>
      <c r="AN49" s="3"/>
      <c r="AO49" s="3"/>
      <c r="AP49" s="3"/>
      <c r="AQ49" s="3"/>
      <c r="AR49" s="3"/>
      <c r="AS49" s="3"/>
      <c r="AT49" s="3"/>
      <c r="AU49" s="3"/>
      <c r="AV49" s="3"/>
      <c r="AW49" s="3"/>
      <c r="AX49" s="3"/>
      <c r="AY49" s="3"/>
      <c r="AZ49" s="3"/>
      <c r="BA49" s="3"/>
      <c r="BB49" s="3"/>
      <c r="BC49" s="3"/>
      <c r="BD49" s="3"/>
      <c r="BE49" s="3"/>
    </row>
    <row r="50" spans="1:57" ht="14.25" customHeight="1" x14ac:dyDescent="0.45">
      <c r="A50" s="618"/>
      <c r="B50" s="215"/>
      <c r="C50" s="220"/>
      <c r="D50" s="224" t="s">
        <v>171</v>
      </c>
      <c r="E50" s="244">
        <f>'Copia de Electricidad'!D51/1000</f>
        <v>4.6500000000000005E-3</v>
      </c>
      <c r="F50" s="244">
        <f>'Copia de Electricidad'!E51/1000</f>
        <v>4.6500000000000005E-3</v>
      </c>
      <c r="G50" s="244">
        <f>'Copia de Electricidad'!F51/1000</f>
        <v>4.6500000000000005E-3</v>
      </c>
      <c r="H50" s="246">
        <f>'Copia de Electricidad'!G51/1000</f>
        <v>4.6500000000000005E-3</v>
      </c>
      <c r="I50" s="618"/>
      <c r="J50" s="618"/>
      <c r="K50" s="618"/>
      <c r="L50" s="618"/>
      <c r="M50" s="618"/>
      <c r="N50" s="618"/>
      <c r="O50" s="618"/>
      <c r="P50" s="618"/>
      <c r="Q50" s="618"/>
      <c r="R50" s="618"/>
      <c r="S50" s="618"/>
      <c r="T50" s="618"/>
      <c r="U50" s="618"/>
      <c r="V50" s="618"/>
      <c r="W50" s="618"/>
      <c r="X50" s="618"/>
      <c r="Y50" s="618"/>
      <c r="Z50" s="618"/>
      <c r="AA50" s="618"/>
      <c r="AB50" s="618"/>
      <c r="AC50" s="618"/>
      <c r="AD50" s="618"/>
      <c r="AE50" s="618"/>
      <c r="AF50" s="618"/>
      <c r="AG50" s="618"/>
      <c r="AH50" s="618"/>
      <c r="AI50" s="618"/>
      <c r="AJ50" s="618"/>
      <c r="AK50" s="618"/>
      <c r="AL50" s="618"/>
      <c r="AM50" s="3"/>
      <c r="AN50" s="3"/>
      <c r="AO50" s="3"/>
      <c r="AP50" s="3"/>
      <c r="AQ50" s="3"/>
      <c r="AR50" s="3"/>
      <c r="AS50" s="3"/>
      <c r="AT50" s="3"/>
      <c r="AU50" s="3"/>
      <c r="AV50" s="3"/>
      <c r="AW50" s="3"/>
      <c r="AX50" s="3"/>
      <c r="AY50" s="3"/>
      <c r="AZ50" s="3"/>
      <c r="BA50" s="3"/>
      <c r="BB50" s="3"/>
      <c r="BC50" s="3"/>
      <c r="BD50" s="3"/>
      <c r="BE50" s="3"/>
    </row>
    <row r="51" spans="1:57" ht="14.25" customHeight="1" x14ac:dyDescent="0.45">
      <c r="A51" s="618"/>
      <c r="B51" s="215"/>
      <c r="C51" s="220" t="s">
        <v>222</v>
      </c>
      <c r="D51" s="247" t="s">
        <v>223</v>
      </c>
      <c r="E51" s="248">
        <f>'Copia de Electricidad'!D52/1000</f>
        <v>4.6500000000000005E-3</v>
      </c>
      <c r="F51" s="248">
        <f>'Copia de Electricidad'!E52/1000</f>
        <v>4.6500000000000005E-3</v>
      </c>
      <c r="G51" s="248">
        <f>'Copia de Electricidad'!F52/1000</f>
        <v>4.6500000000000005E-3</v>
      </c>
      <c r="H51" s="249">
        <f>'Copia de Electricidad'!G52/1000</f>
        <v>4.6500000000000005E-3</v>
      </c>
      <c r="I51" s="250">
        <v>4.99476E-3</v>
      </c>
      <c r="J51" s="250">
        <v>5.1200000000000004E-3</v>
      </c>
      <c r="K51" s="250">
        <v>5.2399999999999999E-3</v>
      </c>
      <c r="L51" s="250">
        <v>5.3699999999999998E-3</v>
      </c>
      <c r="M51" s="250">
        <v>5.4900000000000001E-3</v>
      </c>
      <c r="N51" s="250">
        <v>5.62E-3</v>
      </c>
      <c r="O51" s="250">
        <v>5.7400000000000003E-3</v>
      </c>
      <c r="P51" s="250">
        <v>5.8700000000000002E-3</v>
      </c>
      <c r="Q51" s="250">
        <v>5.9899999999999997E-3</v>
      </c>
      <c r="R51" s="250">
        <v>6.0400000000000002E-3</v>
      </c>
      <c r="S51" s="250">
        <v>6.0800000000000003E-3</v>
      </c>
      <c r="T51" s="250">
        <v>6.13E-3</v>
      </c>
      <c r="U51" s="250">
        <v>6.1799999999999997E-3</v>
      </c>
      <c r="V51" s="250">
        <v>6.2300000000000003E-3</v>
      </c>
      <c r="W51" s="250">
        <v>6.2700000000000004E-3</v>
      </c>
      <c r="X51" s="250">
        <v>6.3200000000000001E-3</v>
      </c>
      <c r="Y51" s="250">
        <v>6.3699999999999998E-3</v>
      </c>
      <c r="Z51" s="250">
        <v>6.4200000000000004E-3</v>
      </c>
      <c r="AA51" s="250">
        <v>6.4599999999999996E-3</v>
      </c>
      <c r="AB51" s="250">
        <v>6.4700000000000001E-3</v>
      </c>
      <c r="AC51" s="250">
        <v>6.4799999999999996E-3</v>
      </c>
      <c r="AD51" s="250">
        <v>6.4799999999999996E-3</v>
      </c>
      <c r="AE51" s="250">
        <v>6.4900000000000001E-3</v>
      </c>
      <c r="AF51" s="250">
        <v>6.4999999999999997E-3</v>
      </c>
      <c r="AG51" s="250">
        <v>6.4999999999999997E-3</v>
      </c>
      <c r="AH51" s="250">
        <v>6.5100000000000002E-3</v>
      </c>
      <c r="AI51" s="251">
        <v>6.5100000000000002E-3</v>
      </c>
      <c r="AJ51" s="251">
        <v>6.5199999999999998E-3</v>
      </c>
      <c r="AK51" s="251">
        <v>6.5300000000000002E-3</v>
      </c>
      <c r="AL51" s="251">
        <v>6.5300000000000002E-3</v>
      </c>
      <c r="AM51" s="251">
        <v>6.5300000000000002E-3</v>
      </c>
      <c r="AN51" s="251">
        <v>6.5300000000000002E-3</v>
      </c>
      <c r="AO51" s="251">
        <v>6.5300000000000002E-3</v>
      </c>
      <c r="AP51" s="251">
        <v>6.5300000000000002E-3</v>
      </c>
      <c r="AQ51" s="251">
        <v>6.5300000000000002E-3</v>
      </c>
      <c r="AR51" s="251">
        <v>6.5300000000000002E-3</v>
      </c>
      <c r="AS51" s="251">
        <v>6.5300000000000002E-3</v>
      </c>
      <c r="AT51" s="251">
        <v>6.5300000000000002E-3</v>
      </c>
      <c r="AU51" s="251">
        <v>6.5300000000000002E-3</v>
      </c>
      <c r="AV51" s="251">
        <v>6.5300000000000002E-3</v>
      </c>
      <c r="AW51" s="251">
        <v>6.5300000000000002E-3</v>
      </c>
      <c r="AX51" s="251">
        <v>6.5300000000000002E-3</v>
      </c>
      <c r="AY51" s="251">
        <v>6.5300000000000002E-3</v>
      </c>
      <c r="AZ51" s="251">
        <v>6.5300000000000002E-3</v>
      </c>
      <c r="BA51" s="251">
        <v>6.5300000000000002E-3</v>
      </c>
      <c r="BB51" s="251">
        <v>6.5300000000000002E-3</v>
      </c>
      <c r="BC51" s="251">
        <v>6.5300000000000002E-3</v>
      </c>
      <c r="BD51" s="251">
        <v>6.5300000000000002E-3</v>
      </c>
      <c r="BE51" s="251">
        <v>6.5300000000000002E-3</v>
      </c>
    </row>
    <row r="52" spans="1:57" ht="14.25" customHeight="1" x14ac:dyDescent="0.45">
      <c r="A52" s="618"/>
      <c r="B52" s="215"/>
      <c r="C52" s="220"/>
      <c r="D52" s="224" t="s">
        <v>172</v>
      </c>
      <c r="E52" s="244">
        <f>'Copia de Electricidad'!D53/1000</f>
        <v>6.0600000000000003E-3</v>
      </c>
      <c r="F52" s="244">
        <f>'Copia de Electricidad'!E53/1000</f>
        <v>6.0600000000000003E-3</v>
      </c>
      <c r="G52" s="244">
        <f>'Copia de Electricidad'!F53/1000</f>
        <v>6.0600000000000003E-3</v>
      </c>
      <c r="H52" s="246">
        <f>'Copia de Electricidad'!G53/1000</f>
        <v>6.0600000000000003E-3</v>
      </c>
      <c r="I52" s="250"/>
      <c r="J52" s="250"/>
      <c r="K52" s="250"/>
      <c r="L52" s="250"/>
      <c r="M52" s="250"/>
      <c r="N52" s="250"/>
      <c r="O52" s="250"/>
      <c r="P52" s="250"/>
      <c r="Q52" s="250"/>
      <c r="R52" s="250"/>
      <c r="S52" s="250"/>
      <c r="T52" s="250"/>
      <c r="U52" s="250"/>
      <c r="V52" s="250"/>
      <c r="W52" s="250"/>
      <c r="X52" s="250"/>
      <c r="Y52" s="250"/>
      <c r="Z52" s="250"/>
      <c r="AA52" s="250"/>
      <c r="AB52" s="250"/>
      <c r="AC52" s="250"/>
      <c r="AD52" s="250"/>
      <c r="AE52" s="250"/>
      <c r="AF52" s="250"/>
      <c r="AG52" s="250"/>
      <c r="AH52" s="250"/>
      <c r="AI52" s="251"/>
      <c r="AJ52" s="251"/>
      <c r="AK52" s="251"/>
      <c r="AL52" s="251"/>
      <c r="AM52" s="251"/>
      <c r="AN52" s="251"/>
      <c r="AO52" s="251"/>
      <c r="AP52" s="251"/>
      <c r="AQ52" s="251"/>
      <c r="AR52" s="251"/>
      <c r="AS52" s="251"/>
      <c r="AT52" s="251"/>
      <c r="AU52" s="251"/>
      <c r="AV52" s="251"/>
      <c r="AW52" s="251"/>
      <c r="AX52" s="251"/>
      <c r="AY52" s="251"/>
      <c r="AZ52" s="251"/>
      <c r="BA52" s="251"/>
      <c r="BB52" s="251"/>
      <c r="BC52" s="251"/>
      <c r="BD52" s="251"/>
      <c r="BE52" s="251"/>
    </row>
    <row r="53" spans="1:57" ht="14.25" customHeight="1" x14ac:dyDescent="0.45">
      <c r="A53" s="618"/>
      <c r="B53" s="215"/>
      <c r="C53" s="220"/>
      <c r="D53" s="228" t="s">
        <v>224</v>
      </c>
      <c r="E53" s="230">
        <f>'Copia de Electricidad'!D54/1000</f>
        <v>6.0600000000000003E-3</v>
      </c>
      <c r="F53" s="230">
        <f>'Copia de Electricidad'!E54/1000</f>
        <v>6.0600000000000003E-3</v>
      </c>
      <c r="G53" s="230">
        <f>'Copia de Electricidad'!F54/1000</f>
        <v>6.0600000000000003E-3</v>
      </c>
      <c r="H53" s="231">
        <f>'Copia de Electricidad'!G54/1000</f>
        <v>6.0600000000000003E-3</v>
      </c>
      <c r="I53" s="250"/>
      <c r="J53" s="250"/>
      <c r="K53" s="250"/>
      <c r="L53" s="250"/>
      <c r="M53" s="250"/>
      <c r="N53" s="250"/>
      <c r="O53" s="250"/>
      <c r="P53" s="250"/>
      <c r="Q53" s="250"/>
      <c r="R53" s="250"/>
      <c r="S53" s="250"/>
      <c r="T53" s="250"/>
      <c r="U53" s="250"/>
      <c r="V53" s="250"/>
      <c r="W53" s="250"/>
      <c r="X53" s="250"/>
      <c r="Y53" s="250"/>
      <c r="Z53" s="250"/>
      <c r="AA53" s="250"/>
      <c r="AB53" s="250"/>
      <c r="AC53" s="250"/>
      <c r="AD53" s="250"/>
      <c r="AE53" s="250"/>
      <c r="AF53" s="250"/>
      <c r="AG53" s="250"/>
      <c r="AH53" s="250"/>
      <c r="AI53" s="251"/>
      <c r="AJ53" s="251"/>
      <c r="AK53" s="251"/>
      <c r="AL53" s="251"/>
      <c r="AM53" s="251"/>
      <c r="AN53" s="251"/>
      <c r="AO53" s="251"/>
      <c r="AP53" s="251"/>
      <c r="AQ53" s="251"/>
      <c r="AR53" s="251"/>
      <c r="AS53" s="251"/>
      <c r="AT53" s="251"/>
      <c r="AU53" s="251"/>
      <c r="AV53" s="251"/>
      <c r="AW53" s="251"/>
      <c r="AX53" s="251"/>
      <c r="AY53" s="251"/>
      <c r="AZ53" s="251"/>
      <c r="BA53" s="251"/>
      <c r="BB53" s="251"/>
      <c r="BC53" s="251"/>
      <c r="BD53" s="251"/>
      <c r="BE53" s="251"/>
    </row>
    <row r="54" spans="1:57" ht="14.25" customHeight="1" x14ac:dyDescent="0.45">
      <c r="A54" s="618"/>
      <c r="B54" s="215"/>
      <c r="C54" s="220"/>
      <c r="D54" s="247" t="s">
        <v>225</v>
      </c>
      <c r="E54" s="248"/>
      <c r="F54" s="248"/>
      <c r="G54" s="248"/>
      <c r="H54" s="249"/>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1"/>
      <c r="AJ54" s="251"/>
      <c r="AK54" s="251"/>
      <c r="AL54" s="251"/>
      <c r="AM54" s="251"/>
      <c r="AN54" s="251"/>
      <c r="AO54" s="251"/>
      <c r="AP54" s="251"/>
      <c r="AQ54" s="251"/>
      <c r="AR54" s="251"/>
      <c r="AS54" s="251"/>
      <c r="AT54" s="251"/>
      <c r="AU54" s="251"/>
      <c r="AV54" s="251"/>
      <c r="AW54" s="251"/>
      <c r="AX54" s="251"/>
      <c r="AY54" s="251"/>
      <c r="AZ54" s="251"/>
      <c r="BA54" s="251"/>
      <c r="BB54" s="251"/>
      <c r="BC54" s="251"/>
      <c r="BD54" s="251"/>
      <c r="BE54" s="251"/>
    </row>
    <row r="55" spans="1:57" ht="14.25" customHeight="1" x14ac:dyDescent="0.45">
      <c r="A55" s="618"/>
      <c r="B55" s="215"/>
      <c r="C55" s="220" t="s">
        <v>226</v>
      </c>
      <c r="D55" s="221" t="s">
        <v>227</v>
      </c>
      <c r="E55" s="252">
        <f>'Copia de Electricidad'!D56/1000</f>
        <v>1.1600000000000002E-3</v>
      </c>
      <c r="F55" s="252">
        <f>'Copia de Electricidad'!E56/1000</f>
        <v>1.1600000000000002E-3</v>
      </c>
      <c r="G55" s="252">
        <f>'Copia de Electricidad'!F56/1000</f>
        <v>1.1600000000000002E-3</v>
      </c>
      <c r="H55" s="253">
        <f>'Copia de Electricidad'!G56/1000</f>
        <v>1.1600000000000002E-3</v>
      </c>
      <c r="I55" s="250">
        <v>1.4E-3</v>
      </c>
      <c r="J55" s="250">
        <v>1.42E-3</v>
      </c>
      <c r="K55" s="250">
        <v>1.4400000000000001E-3</v>
      </c>
      <c r="L55" s="250">
        <v>1.47E-3</v>
      </c>
      <c r="M55" s="250">
        <v>1.49E-3</v>
      </c>
      <c r="N55" s="250">
        <v>1.5100000000000001E-3</v>
      </c>
      <c r="O55" s="250">
        <v>1.5399999999999999E-3</v>
      </c>
      <c r="P55" s="250">
        <v>1.56E-3</v>
      </c>
      <c r="Q55" s="250">
        <v>1.5900000000000001E-3</v>
      </c>
      <c r="R55" s="250">
        <v>1.6100000000000001E-3</v>
      </c>
      <c r="S55" s="250">
        <v>1.64E-3</v>
      </c>
      <c r="T55" s="250">
        <v>1.66E-3</v>
      </c>
      <c r="U55" s="250">
        <v>1.6900000000000001E-3</v>
      </c>
      <c r="V55" s="250">
        <v>1.72E-3</v>
      </c>
      <c r="W55" s="250">
        <v>1.74E-3</v>
      </c>
      <c r="X55" s="250">
        <v>1.7700000000000001E-3</v>
      </c>
      <c r="Y55" s="250">
        <v>1.7899999999999999E-3</v>
      </c>
      <c r="Z55" s="250">
        <v>1.82E-3</v>
      </c>
      <c r="AA55" s="250">
        <v>1.8500000000000001E-3</v>
      </c>
      <c r="AB55" s="250">
        <v>1.8699999999999999E-3</v>
      </c>
      <c r="AC55" s="250">
        <v>1.9E-3</v>
      </c>
      <c r="AD55" s="250">
        <v>1.9300000000000001E-3</v>
      </c>
      <c r="AE55" s="250">
        <v>1.9499999999999999E-3</v>
      </c>
      <c r="AF55" s="250">
        <v>1.98E-3</v>
      </c>
      <c r="AG55" s="250">
        <v>2E-3</v>
      </c>
      <c r="AH55" s="250">
        <v>2.0300000000000001E-3</v>
      </c>
      <c r="AI55" s="251">
        <v>2.0500000000000002E-3</v>
      </c>
      <c r="AJ55" s="251">
        <v>2.0799999999999998E-3</v>
      </c>
      <c r="AK55" s="251">
        <v>2.0999999999999999E-3</v>
      </c>
      <c r="AL55" s="251">
        <v>6.9999999999999999E-4</v>
      </c>
      <c r="AM55" s="251">
        <v>6.8999999999999997E-4</v>
      </c>
      <c r="AN55" s="251">
        <v>6.8000000000000005E-4</v>
      </c>
      <c r="AO55" s="251">
        <v>6.8000000000000005E-4</v>
      </c>
      <c r="AP55" s="251">
        <v>6.7000000000000002E-4</v>
      </c>
      <c r="AQ55" s="251">
        <v>6.6E-4</v>
      </c>
      <c r="AR55" s="251">
        <v>6.4999999999999997E-4</v>
      </c>
      <c r="AS55" s="251">
        <v>6.4000000000000005E-4</v>
      </c>
      <c r="AT55" s="251">
        <v>6.3000000000000003E-4</v>
      </c>
      <c r="AU55" s="251">
        <v>6.2E-4</v>
      </c>
      <c r="AV55" s="251">
        <v>6.0999999999999997E-4</v>
      </c>
      <c r="AW55" s="251">
        <v>5.9999999999999995E-4</v>
      </c>
      <c r="AX55" s="251">
        <v>5.9000000000000003E-4</v>
      </c>
      <c r="AY55" s="251">
        <v>5.8E-4</v>
      </c>
      <c r="AZ55" s="251">
        <v>5.6999999999999998E-4</v>
      </c>
      <c r="BA55" s="251">
        <v>5.5999999999999995E-4</v>
      </c>
      <c r="BB55" s="251">
        <v>5.4000000000000001E-4</v>
      </c>
      <c r="BC55" s="251">
        <v>5.2999999999999998E-4</v>
      </c>
      <c r="BD55" s="251">
        <v>5.1999999999999995E-4</v>
      </c>
      <c r="BE55" s="251">
        <v>5.1000000000000004E-4</v>
      </c>
    </row>
    <row r="56" spans="1:57" ht="14.25" customHeight="1" x14ac:dyDescent="0.45">
      <c r="A56" s="618"/>
      <c r="B56" s="215"/>
      <c r="C56" s="220" t="s">
        <v>228</v>
      </c>
      <c r="D56" s="221" t="s">
        <v>229</v>
      </c>
      <c r="E56" s="252">
        <f>'Copia de Electricidad'!D57/1000</f>
        <v>2.8999999999999998E-3</v>
      </c>
      <c r="F56" s="252">
        <f>'Copia de Electricidad'!E57/1000</f>
        <v>2.8999999999999998E-3</v>
      </c>
      <c r="G56" s="252">
        <f>'Copia de Electricidad'!F57/1000</f>
        <v>2.8999999999999998E-3</v>
      </c>
      <c r="H56" s="253">
        <f>'Copia de Electricidad'!G57/1000</f>
        <v>2.8999999999999998E-3</v>
      </c>
      <c r="I56" s="250">
        <v>4.0699999999999998E-3</v>
      </c>
      <c r="J56" s="250">
        <v>4.1399999999999996E-3</v>
      </c>
      <c r="K56" s="250">
        <v>4.2100000000000002E-3</v>
      </c>
      <c r="L56" s="250">
        <v>4.28E-3</v>
      </c>
      <c r="M56" s="250">
        <v>4.3499999999999997E-3</v>
      </c>
      <c r="N56" s="250">
        <v>4.4200000000000003E-3</v>
      </c>
      <c r="O56" s="250">
        <v>4.4900000000000001E-3</v>
      </c>
      <c r="P56" s="250">
        <v>4.5599999999999998E-3</v>
      </c>
      <c r="Q56" s="250">
        <v>4.6299999999999996E-3</v>
      </c>
      <c r="R56" s="250">
        <v>4.7099999999999998E-3</v>
      </c>
      <c r="S56" s="250">
        <v>4.7800000000000004E-3</v>
      </c>
      <c r="T56" s="250">
        <v>4.8500000000000001E-3</v>
      </c>
      <c r="U56" s="250">
        <v>4.9300000000000004E-3</v>
      </c>
      <c r="V56" s="250">
        <v>5.0099999999999997E-3</v>
      </c>
      <c r="W56" s="250">
        <v>5.0800000000000003E-3</v>
      </c>
      <c r="X56" s="250">
        <v>5.1599999999999997E-3</v>
      </c>
      <c r="Y56" s="250">
        <v>5.2300000000000003E-3</v>
      </c>
      <c r="Z56" s="250">
        <v>5.3099999999999996E-3</v>
      </c>
      <c r="AA56" s="250">
        <v>5.3899999999999998E-3</v>
      </c>
      <c r="AB56" s="250">
        <v>5.4599999999999996E-3</v>
      </c>
      <c r="AC56" s="250">
        <v>5.5399999999999998E-3</v>
      </c>
      <c r="AD56" s="250">
        <v>5.62E-3</v>
      </c>
      <c r="AE56" s="250">
        <v>5.6899999999999997E-3</v>
      </c>
      <c r="AF56" s="250">
        <v>5.77E-3</v>
      </c>
      <c r="AG56" s="250">
        <v>5.8399999999999997E-3</v>
      </c>
      <c r="AH56" s="250">
        <v>5.9100000000000003E-3</v>
      </c>
      <c r="AI56" s="251">
        <v>5.9800000000000001E-3</v>
      </c>
      <c r="AJ56" s="251">
        <v>6.0600000000000003E-3</v>
      </c>
      <c r="AK56" s="251">
        <v>6.1199999999999996E-3</v>
      </c>
      <c r="AL56" s="251">
        <v>2.0400000000000001E-3</v>
      </c>
      <c r="AM56" s="251">
        <v>2.0200000000000001E-3</v>
      </c>
      <c r="AN56" s="251">
        <v>2E-3</v>
      </c>
      <c r="AO56" s="251">
        <v>1.97E-3</v>
      </c>
      <c r="AP56" s="251">
        <v>1.9499999999999999E-3</v>
      </c>
      <c r="AQ56" s="251">
        <v>1.92E-3</v>
      </c>
      <c r="AR56" s="251">
        <v>1.89E-3</v>
      </c>
      <c r="AS56" s="251">
        <v>1.8699999999999999E-3</v>
      </c>
      <c r="AT56" s="251">
        <v>1.8400000000000001E-3</v>
      </c>
      <c r="AU56" s="251">
        <v>1.81E-3</v>
      </c>
      <c r="AV56" s="251">
        <v>1.7799999999999999E-3</v>
      </c>
      <c r="AW56" s="251">
        <v>1.75E-3</v>
      </c>
      <c r="AX56" s="251">
        <v>1.72E-3</v>
      </c>
      <c r="AY56" s="251">
        <v>1.6900000000000001E-3</v>
      </c>
      <c r="AZ56" s="251">
        <v>1.65E-3</v>
      </c>
      <c r="BA56" s="251">
        <v>1.6199999999999999E-3</v>
      </c>
      <c r="BB56" s="251">
        <v>1.5900000000000001E-3</v>
      </c>
      <c r="BC56" s="251">
        <v>1.56E-3</v>
      </c>
      <c r="BD56" s="251">
        <v>1.5200000000000001E-3</v>
      </c>
      <c r="BE56" s="251">
        <v>1.49E-3</v>
      </c>
    </row>
    <row r="57" spans="1:57" ht="14.25" customHeight="1" x14ac:dyDescent="0.45">
      <c r="A57" s="618"/>
      <c r="B57" s="215"/>
      <c r="C57" s="220"/>
      <c r="D57" s="247" t="s">
        <v>230</v>
      </c>
      <c r="E57" s="254"/>
      <c r="F57" s="254"/>
      <c r="G57" s="254"/>
      <c r="H57" s="255"/>
      <c r="I57" s="250"/>
      <c r="J57" s="250"/>
      <c r="K57" s="250"/>
      <c r="L57" s="250"/>
      <c r="M57" s="250"/>
      <c r="N57" s="250"/>
      <c r="O57" s="250"/>
      <c r="P57" s="250"/>
      <c r="Q57" s="250"/>
      <c r="R57" s="250"/>
      <c r="S57" s="250"/>
      <c r="T57" s="250"/>
      <c r="U57" s="250"/>
      <c r="V57" s="250"/>
      <c r="W57" s="250"/>
      <c r="X57" s="250"/>
      <c r="Y57" s="250"/>
      <c r="Z57" s="250"/>
      <c r="AA57" s="250"/>
      <c r="AB57" s="250"/>
      <c r="AC57" s="250"/>
      <c r="AD57" s="250"/>
      <c r="AE57" s="250"/>
      <c r="AF57" s="250"/>
      <c r="AG57" s="250"/>
      <c r="AH57" s="250"/>
      <c r="AI57" s="251"/>
      <c r="AJ57" s="251"/>
      <c r="AK57" s="251"/>
      <c r="AL57" s="251"/>
      <c r="AM57" s="251"/>
      <c r="AN57" s="251"/>
      <c r="AO57" s="251"/>
      <c r="AP57" s="251"/>
      <c r="AQ57" s="251"/>
      <c r="AR57" s="251"/>
      <c r="AS57" s="251"/>
      <c r="AT57" s="251"/>
      <c r="AU57" s="251"/>
      <c r="AV57" s="251"/>
      <c r="AW57" s="251"/>
      <c r="AX57" s="251"/>
      <c r="AY57" s="251"/>
      <c r="AZ57" s="251"/>
      <c r="BA57" s="251"/>
      <c r="BB57" s="251"/>
      <c r="BC57" s="251"/>
      <c r="BD57" s="251"/>
      <c r="BE57" s="251"/>
    </row>
    <row r="58" spans="1:57" ht="14.25" customHeight="1" x14ac:dyDescent="0.45">
      <c r="A58" s="618"/>
      <c r="B58" s="215"/>
      <c r="C58" s="220" t="s">
        <v>231</v>
      </c>
      <c r="D58" s="221" t="s">
        <v>227</v>
      </c>
      <c r="E58" s="252">
        <f>'Copia de Electricidad'!D59/1000</f>
        <v>2E-3</v>
      </c>
      <c r="F58" s="252">
        <f>'Copia de Electricidad'!E59/1000</f>
        <v>2E-3</v>
      </c>
      <c r="G58" s="252">
        <f>'Copia de Electricidad'!F59/1000</f>
        <v>2E-3</v>
      </c>
      <c r="H58" s="253">
        <f>'Copia de Electricidad'!G59/1000</f>
        <v>2E-3</v>
      </c>
      <c r="I58" s="250"/>
      <c r="J58" s="250"/>
      <c r="K58" s="250"/>
      <c r="L58" s="250"/>
      <c r="M58" s="250"/>
      <c r="N58" s="250"/>
      <c r="O58" s="250"/>
      <c r="P58" s="250"/>
      <c r="Q58" s="250"/>
      <c r="R58" s="250"/>
      <c r="S58" s="250"/>
      <c r="T58" s="250"/>
      <c r="U58" s="250"/>
      <c r="V58" s="250"/>
      <c r="W58" s="250"/>
      <c r="X58" s="250"/>
      <c r="Y58" s="250"/>
      <c r="Z58" s="250"/>
      <c r="AA58" s="250"/>
      <c r="AB58" s="250"/>
      <c r="AC58" s="250"/>
      <c r="AD58" s="250"/>
      <c r="AE58" s="250"/>
      <c r="AF58" s="250"/>
      <c r="AG58" s="250"/>
      <c r="AH58" s="250"/>
      <c r="AI58" s="251"/>
      <c r="AJ58" s="251"/>
      <c r="AK58" s="251"/>
      <c r="AL58" s="251"/>
      <c r="AM58" s="251"/>
      <c r="AN58" s="251"/>
      <c r="AO58" s="251"/>
      <c r="AP58" s="251"/>
      <c r="AQ58" s="251"/>
      <c r="AR58" s="251"/>
      <c r="AS58" s="251"/>
      <c r="AT58" s="251"/>
      <c r="AU58" s="251"/>
      <c r="AV58" s="251"/>
      <c r="AW58" s="251"/>
      <c r="AX58" s="251"/>
      <c r="AY58" s="251"/>
      <c r="AZ58" s="251"/>
      <c r="BA58" s="251"/>
      <c r="BB58" s="251"/>
      <c r="BC58" s="251"/>
      <c r="BD58" s="251"/>
      <c r="BE58" s="251"/>
    </row>
    <row r="59" spans="1:57" ht="14.25" customHeight="1" x14ac:dyDescent="0.45">
      <c r="A59" s="618"/>
      <c r="B59" s="215"/>
      <c r="C59" s="220" t="s">
        <v>232</v>
      </c>
      <c r="D59" s="221" t="s">
        <v>229</v>
      </c>
      <c r="E59" s="252">
        <f>'Copia de Electricidad'!D60/1000</f>
        <v>0</v>
      </c>
      <c r="F59" s="252">
        <f>'Copia de Electricidad'!E60/1000</f>
        <v>0</v>
      </c>
      <c r="G59" s="252">
        <f>'Copia de Electricidad'!F60/1000</f>
        <v>0</v>
      </c>
      <c r="H59" s="253">
        <f>'Copia de Electricidad'!G60/1000</f>
        <v>0</v>
      </c>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250"/>
      <c r="AI59" s="251"/>
      <c r="AJ59" s="251"/>
      <c r="AK59" s="251"/>
      <c r="AL59" s="251"/>
      <c r="AM59" s="251"/>
      <c r="AN59" s="251"/>
      <c r="AO59" s="251"/>
      <c r="AP59" s="251"/>
      <c r="AQ59" s="251"/>
      <c r="AR59" s="251"/>
      <c r="AS59" s="251"/>
      <c r="AT59" s="251"/>
      <c r="AU59" s="251"/>
      <c r="AV59" s="251"/>
      <c r="AW59" s="251"/>
      <c r="AX59" s="251"/>
      <c r="AY59" s="251"/>
      <c r="AZ59" s="251"/>
      <c r="BA59" s="251"/>
      <c r="BB59" s="251"/>
      <c r="BC59" s="251"/>
      <c r="BD59" s="251"/>
      <c r="BE59" s="251"/>
    </row>
    <row r="60" spans="1:57" ht="14.25" customHeight="1" x14ac:dyDescent="0.45">
      <c r="A60" s="618"/>
      <c r="B60" s="215"/>
      <c r="C60" s="220"/>
      <c r="D60" s="224" t="s">
        <v>178</v>
      </c>
      <c r="E60" s="244">
        <f>'Copia de Electricidad'!D61/1000</f>
        <v>3.1690199999999998E-3</v>
      </c>
      <c r="F60" s="244">
        <f>'Copia de Electricidad'!E61/1000</f>
        <v>3.1690199999999998E-3</v>
      </c>
      <c r="G60" s="244">
        <f>'Copia de Electricidad'!F61/1000</f>
        <v>3.1690199999999998E-3</v>
      </c>
      <c r="H60" s="246">
        <f>'Copia de Electricidad'!G61/1000</f>
        <v>3.19236E-3</v>
      </c>
      <c r="I60" s="250"/>
      <c r="J60" s="250"/>
      <c r="K60" s="250"/>
      <c r="L60" s="250"/>
      <c r="M60" s="250"/>
      <c r="N60" s="250"/>
      <c r="O60" s="250"/>
      <c r="P60" s="250"/>
      <c r="Q60" s="250"/>
      <c r="R60" s="250"/>
      <c r="S60" s="250"/>
      <c r="T60" s="250"/>
      <c r="U60" s="250"/>
      <c r="V60" s="250"/>
      <c r="W60" s="250"/>
      <c r="X60" s="250"/>
      <c r="Y60" s="250"/>
      <c r="Z60" s="250"/>
      <c r="AA60" s="250"/>
      <c r="AB60" s="250"/>
      <c r="AC60" s="250"/>
      <c r="AD60" s="250"/>
      <c r="AE60" s="250"/>
      <c r="AF60" s="250"/>
      <c r="AG60" s="250"/>
      <c r="AH60" s="250"/>
      <c r="AI60" s="251"/>
      <c r="AJ60" s="251"/>
      <c r="AK60" s="251"/>
      <c r="AL60" s="251"/>
      <c r="AM60" s="251"/>
      <c r="AN60" s="251"/>
      <c r="AO60" s="251"/>
      <c r="AP60" s="251"/>
      <c r="AQ60" s="251"/>
      <c r="AR60" s="251"/>
      <c r="AS60" s="251"/>
      <c r="AT60" s="251"/>
      <c r="AU60" s="251"/>
      <c r="AV60" s="251"/>
      <c r="AW60" s="251"/>
      <c r="AX60" s="251"/>
      <c r="AY60" s="251"/>
      <c r="AZ60" s="251"/>
      <c r="BA60" s="251"/>
      <c r="BB60" s="251"/>
      <c r="BC60" s="251"/>
      <c r="BD60" s="251"/>
      <c r="BE60" s="251"/>
    </row>
    <row r="61" spans="1:57" ht="14.25" customHeight="1" x14ac:dyDescent="0.45">
      <c r="A61" s="618"/>
      <c r="B61" s="215"/>
      <c r="C61" s="220" t="s">
        <v>233</v>
      </c>
      <c r="D61" s="247" t="s">
        <v>223</v>
      </c>
      <c r="E61" s="248">
        <f>'Copia de Electricidad'!D62/1000</f>
        <v>2.5964199999999999E-3</v>
      </c>
      <c r="F61" s="248">
        <f>'Copia de Electricidad'!E62/1000</f>
        <v>2.5964199999999999E-3</v>
      </c>
      <c r="G61" s="248">
        <f>'Copia de Electricidad'!F62/1000</f>
        <v>2.5964199999999999E-3</v>
      </c>
      <c r="H61" s="249">
        <f>'Copia de Electricidad'!G62/1000</f>
        <v>2.6197600000000001E-3</v>
      </c>
      <c r="I61" s="250">
        <v>3.2599999999999999E-3</v>
      </c>
      <c r="J61" s="250">
        <v>3.3400000000000001E-3</v>
      </c>
      <c r="K61" s="250">
        <v>3.4199999999999999E-3</v>
      </c>
      <c r="L61" s="250">
        <v>3.5000000000000001E-3</v>
      </c>
      <c r="M61" s="250">
        <v>3.5799999999999998E-3</v>
      </c>
      <c r="N61" s="250">
        <v>3.6600000000000001E-3</v>
      </c>
      <c r="O61" s="250">
        <v>3.7399999999999998E-3</v>
      </c>
      <c r="P61" s="250">
        <v>3.82E-3</v>
      </c>
      <c r="Q61" s="250">
        <v>3.9100000000000003E-3</v>
      </c>
      <c r="R61" s="250">
        <v>3.9399999999999999E-3</v>
      </c>
      <c r="S61" s="250">
        <v>3.9699999999999996E-3</v>
      </c>
      <c r="T61" s="250">
        <v>4.0000000000000001E-3</v>
      </c>
      <c r="U61" s="250">
        <v>4.0299999999999997E-3</v>
      </c>
      <c r="V61" s="250">
        <v>4.0600000000000002E-3</v>
      </c>
      <c r="W61" s="250">
        <v>4.0899999999999999E-3</v>
      </c>
      <c r="X61" s="250">
        <v>4.1200000000000004E-3</v>
      </c>
      <c r="Y61" s="250">
        <v>4.15E-3</v>
      </c>
      <c r="Z61" s="250">
        <v>4.1799999999999997E-3</v>
      </c>
      <c r="AA61" s="250">
        <v>4.2100000000000002E-3</v>
      </c>
      <c r="AB61" s="250">
        <v>4.2199999999999998E-3</v>
      </c>
      <c r="AC61" s="250">
        <v>4.2199999999999998E-3</v>
      </c>
      <c r="AD61" s="250">
        <v>4.2300000000000003E-3</v>
      </c>
      <c r="AE61" s="250">
        <v>4.2300000000000003E-3</v>
      </c>
      <c r="AF61" s="250">
        <v>4.2300000000000003E-3</v>
      </c>
      <c r="AG61" s="250">
        <v>4.2399999999999998E-3</v>
      </c>
      <c r="AH61" s="250">
        <v>4.2399999999999998E-3</v>
      </c>
      <c r="AI61" s="251">
        <v>4.2500000000000003E-3</v>
      </c>
      <c r="AJ61" s="251">
        <v>4.2500000000000003E-3</v>
      </c>
      <c r="AK61" s="251">
        <v>4.2599999999999999E-3</v>
      </c>
      <c r="AL61" s="251">
        <v>4.2599999999999999E-3</v>
      </c>
      <c r="AM61" s="251">
        <v>4.2599999999999999E-3</v>
      </c>
      <c r="AN61" s="251">
        <v>4.2599999999999999E-3</v>
      </c>
      <c r="AO61" s="251">
        <v>4.2599999999999999E-3</v>
      </c>
      <c r="AP61" s="251">
        <v>4.2599999999999999E-3</v>
      </c>
      <c r="AQ61" s="251">
        <v>4.2599999999999999E-3</v>
      </c>
      <c r="AR61" s="251">
        <v>4.2599999999999999E-3</v>
      </c>
      <c r="AS61" s="251">
        <v>4.2599999999999999E-3</v>
      </c>
      <c r="AT61" s="251">
        <v>4.2599999999999999E-3</v>
      </c>
      <c r="AU61" s="251">
        <v>4.2599999999999999E-3</v>
      </c>
      <c r="AV61" s="251">
        <v>4.2599999999999999E-3</v>
      </c>
      <c r="AW61" s="251">
        <v>4.2599999999999999E-3</v>
      </c>
      <c r="AX61" s="251">
        <v>4.2599999999999999E-3</v>
      </c>
      <c r="AY61" s="251">
        <v>4.2599999999999999E-3</v>
      </c>
      <c r="AZ61" s="251">
        <v>4.2599999999999999E-3</v>
      </c>
      <c r="BA61" s="251">
        <v>4.2599999999999999E-3</v>
      </c>
      <c r="BB61" s="251">
        <v>4.2599999999999999E-3</v>
      </c>
      <c r="BC61" s="251">
        <v>4.2599999999999999E-3</v>
      </c>
      <c r="BD61" s="251">
        <v>4.2599999999999999E-3</v>
      </c>
      <c r="BE61" s="251">
        <v>4.2599999999999999E-3</v>
      </c>
    </row>
    <row r="62" spans="1:57" ht="13.5" customHeight="1" x14ac:dyDescent="0.45">
      <c r="A62" s="618"/>
      <c r="B62" s="215"/>
      <c r="C62" s="220" t="s">
        <v>234</v>
      </c>
      <c r="D62" s="247" t="s">
        <v>225</v>
      </c>
      <c r="E62" s="248">
        <f>'Copia de Electricidad'!D63/1000</f>
        <v>5.7260000000000004E-4</v>
      </c>
      <c r="F62" s="248">
        <f>'Copia de Electricidad'!E63/1000</f>
        <v>5.7260000000000004E-4</v>
      </c>
      <c r="G62" s="248">
        <f>'Copia de Electricidad'!F63/1000</f>
        <v>5.7260000000000004E-4</v>
      </c>
      <c r="H62" s="249">
        <f>'Copia de Electricidad'!G63/1000</f>
        <v>5.7260000000000004E-4</v>
      </c>
      <c r="I62" s="250">
        <v>6.9999999999999999E-4</v>
      </c>
      <c r="J62" s="250">
        <v>7.1000000000000002E-4</v>
      </c>
      <c r="K62" s="250">
        <v>7.2000000000000005E-4</v>
      </c>
      <c r="L62" s="250">
        <v>7.3999999999999999E-4</v>
      </c>
      <c r="M62" s="250">
        <v>7.5000000000000002E-4</v>
      </c>
      <c r="N62" s="250">
        <v>7.6000000000000004E-4</v>
      </c>
      <c r="O62" s="250">
        <v>7.6999999999999996E-4</v>
      </c>
      <c r="P62" s="250">
        <v>7.9000000000000001E-4</v>
      </c>
      <c r="Q62" s="250">
        <v>8.0000000000000004E-4</v>
      </c>
      <c r="R62" s="250">
        <v>8.0999999999999996E-4</v>
      </c>
      <c r="S62" s="250">
        <v>8.1999999999999998E-4</v>
      </c>
      <c r="T62" s="250">
        <v>8.4000000000000003E-4</v>
      </c>
      <c r="U62" s="250">
        <v>8.4999999999999995E-4</v>
      </c>
      <c r="V62" s="250">
        <v>8.5999999999999998E-4</v>
      </c>
      <c r="W62" s="250">
        <v>8.8000000000000003E-4</v>
      </c>
      <c r="X62" s="250">
        <v>8.8999999999999995E-4</v>
      </c>
      <c r="Y62" s="250">
        <v>8.9999999999999998E-4</v>
      </c>
      <c r="Z62" s="250">
        <v>9.1E-4</v>
      </c>
      <c r="AA62" s="250">
        <v>9.3000000000000005E-4</v>
      </c>
      <c r="AB62" s="250">
        <v>9.3999999999999997E-4</v>
      </c>
      <c r="AC62" s="250">
        <v>9.5E-4</v>
      </c>
      <c r="AD62" s="250">
        <v>9.7000000000000005E-4</v>
      </c>
      <c r="AE62" s="250">
        <v>9.7999999999999997E-4</v>
      </c>
      <c r="AF62" s="250">
        <v>9.8999999999999999E-4</v>
      </c>
      <c r="AG62" s="250">
        <v>1.01E-3</v>
      </c>
      <c r="AH62" s="250">
        <v>1.0200000000000001E-3</v>
      </c>
      <c r="AI62" s="251">
        <v>1.0300000000000001E-3</v>
      </c>
      <c r="AJ62" s="251">
        <v>1.0399999999999999E-3</v>
      </c>
      <c r="AK62" s="251">
        <v>1.0499999999999999E-3</v>
      </c>
      <c r="AL62" s="251">
        <v>3.5E-4</v>
      </c>
      <c r="AM62" s="251">
        <v>3.5E-4</v>
      </c>
      <c r="AN62" s="251">
        <v>3.4000000000000002E-4</v>
      </c>
      <c r="AO62" s="251">
        <v>3.4000000000000002E-4</v>
      </c>
      <c r="AP62" s="251">
        <v>3.4000000000000002E-4</v>
      </c>
      <c r="AQ62" s="251">
        <v>3.3E-4</v>
      </c>
      <c r="AR62" s="251">
        <v>3.3E-4</v>
      </c>
      <c r="AS62" s="251">
        <v>3.2000000000000003E-4</v>
      </c>
      <c r="AT62" s="251">
        <v>3.2000000000000003E-4</v>
      </c>
      <c r="AU62" s="251">
        <v>3.1E-4</v>
      </c>
      <c r="AV62" s="251">
        <v>3.1E-4</v>
      </c>
      <c r="AW62" s="251">
        <v>2.9999999999999997E-4</v>
      </c>
      <c r="AX62" s="251">
        <v>2.9999999999999997E-4</v>
      </c>
      <c r="AY62" s="251">
        <v>2.9E-4</v>
      </c>
      <c r="AZ62" s="251">
        <v>2.7999999999999998E-4</v>
      </c>
      <c r="BA62" s="251">
        <v>2.7999999999999998E-4</v>
      </c>
      <c r="BB62" s="251">
        <v>2.7E-4</v>
      </c>
      <c r="BC62" s="251">
        <v>2.7E-4</v>
      </c>
      <c r="BD62" s="251">
        <v>2.5999999999999998E-4</v>
      </c>
      <c r="BE62" s="251">
        <v>2.5999999999999998E-4</v>
      </c>
    </row>
    <row r="63" spans="1:57" ht="14.25" customHeight="1" x14ac:dyDescent="0.45">
      <c r="A63" s="618"/>
      <c r="B63" s="215"/>
      <c r="C63" s="220"/>
      <c r="D63" s="224" t="s">
        <v>179</v>
      </c>
      <c r="E63" s="244">
        <f>'Copia de Electricidad'!D64/1000</f>
        <v>1.29250778</v>
      </c>
      <c r="F63" s="244">
        <f>'Copia de Electricidad'!E64/1000</f>
        <v>1.3532197799999999</v>
      </c>
      <c r="G63" s="244">
        <f>'Copia de Electricidad'!F64/1000</f>
        <v>1.3581607800000002</v>
      </c>
      <c r="H63" s="246">
        <f>'Copia de Electricidad'!G64/1000</f>
        <v>1.3626707800000002</v>
      </c>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250"/>
      <c r="AI63" s="251"/>
      <c r="AJ63" s="251"/>
      <c r="AK63" s="251"/>
      <c r="AL63" s="251"/>
      <c r="AM63" s="251"/>
      <c r="AN63" s="251"/>
      <c r="AO63" s="251"/>
      <c r="AP63" s="251"/>
      <c r="AQ63" s="251"/>
      <c r="AR63" s="251"/>
      <c r="AS63" s="251"/>
      <c r="AT63" s="251"/>
      <c r="AU63" s="251"/>
      <c r="AV63" s="251"/>
      <c r="AW63" s="251"/>
      <c r="AX63" s="251"/>
      <c r="AY63" s="251"/>
      <c r="AZ63" s="251"/>
      <c r="BA63" s="251"/>
      <c r="BB63" s="251"/>
      <c r="BC63" s="251"/>
      <c r="BD63" s="251"/>
      <c r="BE63" s="251"/>
    </row>
    <row r="64" spans="1:57" ht="14.25" customHeight="1" x14ac:dyDescent="0.45">
      <c r="A64" s="618"/>
      <c r="B64" s="215"/>
      <c r="C64" s="220"/>
      <c r="D64" s="228" t="s">
        <v>180</v>
      </c>
      <c r="E64" s="230">
        <f>'Copia de Electricidad'!D65/1000</f>
        <v>1.17538878</v>
      </c>
      <c r="F64" s="230">
        <f>'Copia de Electricidad'!E65/1000</f>
        <v>1.2363407799999999</v>
      </c>
      <c r="G64" s="230">
        <f>'Copia de Electricidad'!F65/1000</f>
        <v>1.2412817800000002</v>
      </c>
      <c r="H64" s="231">
        <f>'Copia de Electricidad'!G65/1000</f>
        <v>1.2229917800000001</v>
      </c>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250"/>
      <c r="AI64" s="251"/>
      <c r="AJ64" s="251"/>
      <c r="AK64" s="251"/>
      <c r="AL64" s="251"/>
      <c r="AM64" s="251"/>
      <c r="AN64" s="251"/>
      <c r="AO64" s="251"/>
      <c r="AP64" s="251"/>
      <c r="AQ64" s="251"/>
      <c r="AR64" s="251"/>
      <c r="AS64" s="251"/>
      <c r="AT64" s="251"/>
      <c r="AU64" s="251"/>
      <c r="AV64" s="251"/>
      <c r="AW64" s="251"/>
      <c r="AX64" s="251"/>
      <c r="AY64" s="251"/>
      <c r="AZ64" s="251"/>
      <c r="BA64" s="251"/>
      <c r="BB64" s="251"/>
      <c r="BC64" s="251"/>
      <c r="BD64" s="251"/>
      <c r="BE64" s="251"/>
    </row>
    <row r="65" spans="1:57" ht="13.5" customHeight="1" x14ac:dyDescent="0.45">
      <c r="A65" s="618"/>
      <c r="B65" s="215"/>
      <c r="C65" s="220"/>
      <c r="D65" s="247" t="s">
        <v>225</v>
      </c>
      <c r="E65" s="254"/>
      <c r="F65" s="254"/>
      <c r="G65" s="254"/>
      <c r="H65" s="255"/>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1"/>
      <c r="AJ65" s="251"/>
      <c r="AK65" s="251"/>
      <c r="AL65" s="251"/>
      <c r="AM65" s="251"/>
      <c r="AN65" s="251"/>
      <c r="AO65" s="251"/>
      <c r="AP65" s="251"/>
      <c r="AQ65" s="251"/>
      <c r="AR65" s="251"/>
      <c r="AS65" s="251"/>
      <c r="AT65" s="251"/>
      <c r="AU65" s="251"/>
      <c r="AV65" s="251"/>
      <c r="AW65" s="251"/>
      <c r="AX65" s="251"/>
      <c r="AY65" s="251"/>
      <c r="AZ65" s="251"/>
      <c r="BA65" s="251"/>
      <c r="BB65" s="251"/>
      <c r="BC65" s="251"/>
      <c r="BD65" s="251"/>
      <c r="BE65" s="251"/>
    </row>
    <row r="66" spans="1:57" ht="14.25" customHeight="1" x14ac:dyDescent="0.45">
      <c r="A66" s="618"/>
      <c r="B66" s="215"/>
      <c r="C66" s="220" t="s">
        <v>235</v>
      </c>
      <c r="D66" s="221" t="s">
        <v>236</v>
      </c>
      <c r="E66" s="252">
        <f>'Copia de Electricidad'!D67/1000</f>
        <v>3.2799999999999996E-2</v>
      </c>
      <c r="F66" s="252">
        <f>'Copia de Electricidad'!E67/1000</f>
        <v>3.2250000000000001E-2</v>
      </c>
      <c r="G66" s="252">
        <f>'Copia de Electricidad'!F67/1000</f>
        <v>3.3649999999999999E-2</v>
      </c>
      <c r="H66" s="253">
        <f>'Copia de Electricidad'!G67/1000</f>
        <v>1.325E-2</v>
      </c>
      <c r="I66" s="250">
        <v>3.2059999999999998E-2</v>
      </c>
      <c r="J66" s="250">
        <v>3.2599999999999997E-2</v>
      </c>
      <c r="K66" s="250">
        <v>3.3140000000000003E-2</v>
      </c>
      <c r="L66" s="250">
        <v>3.3680000000000002E-2</v>
      </c>
      <c r="M66" s="250">
        <v>3.424E-2</v>
      </c>
      <c r="N66" s="250">
        <v>3.4790000000000001E-2</v>
      </c>
      <c r="O66" s="250">
        <v>3.5360000000000003E-2</v>
      </c>
      <c r="P66" s="250">
        <v>3.5920000000000001E-2</v>
      </c>
      <c r="Q66" s="250">
        <v>3.6499999999999998E-2</v>
      </c>
      <c r="R66" s="250">
        <v>3.7080000000000002E-2</v>
      </c>
      <c r="S66" s="250">
        <v>3.7659999999999999E-2</v>
      </c>
      <c r="T66" s="250">
        <v>3.8249999999999999E-2</v>
      </c>
      <c r="U66" s="250">
        <v>3.884E-2</v>
      </c>
      <c r="V66" s="250">
        <v>3.943E-2</v>
      </c>
      <c r="W66" s="250">
        <v>4.0030000000000003E-2</v>
      </c>
      <c r="X66" s="250">
        <v>4.0629999999999999E-2</v>
      </c>
      <c r="Y66" s="250">
        <v>4.1230000000000003E-2</v>
      </c>
      <c r="Z66" s="250">
        <v>4.1840000000000002E-2</v>
      </c>
      <c r="AA66" s="250">
        <v>4.2439999999999999E-2</v>
      </c>
      <c r="AB66" s="250">
        <v>4.3049999999999998E-2</v>
      </c>
      <c r="AC66" s="250">
        <v>4.3650000000000001E-2</v>
      </c>
      <c r="AD66" s="250">
        <v>4.4249999999999998E-2</v>
      </c>
      <c r="AE66" s="250">
        <v>4.4850000000000001E-2</v>
      </c>
      <c r="AF66" s="250">
        <v>4.5429999999999998E-2</v>
      </c>
      <c r="AG66" s="250">
        <v>4.6019999999999998E-2</v>
      </c>
      <c r="AH66" s="250">
        <v>4.6589999999999999E-2</v>
      </c>
      <c r="AI66" s="251">
        <v>4.7149999999999997E-2</v>
      </c>
      <c r="AJ66" s="251">
        <v>4.7710000000000002E-2</v>
      </c>
      <c r="AK66" s="251">
        <v>4.8250000000000001E-2</v>
      </c>
      <c r="AL66" s="251">
        <v>1.61E-2</v>
      </c>
      <c r="AM66" s="251">
        <v>1.592E-2</v>
      </c>
      <c r="AN66" s="251">
        <v>1.5730000000000001E-2</v>
      </c>
      <c r="AO66" s="251">
        <v>1.554E-2</v>
      </c>
      <c r="AP66" s="251">
        <v>1.533E-2</v>
      </c>
      <c r="AQ66" s="251">
        <v>1.5129999999999999E-2</v>
      </c>
      <c r="AR66" s="251">
        <v>1.4919999999999999E-2</v>
      </c>
      <c r="AS66" s="251">
        <v>1.47E-2</v>
      </c>
      <c r="AT66" s="251">
        <v>1.448E-2</v>
      </c>
      <c r="AU66" s="251">
        <v>1.4250000000000001E-2</v>
      </c>
      <c r="AV66" s="251">
        <v>1.401E-2</v>
      </c>
      <c r="AW66" s="251">
        <v>1.3780000000000001E-2</v>
      </c>
      <c r="AX66" s="251">
        <v>1.353E-2</v>
      </c>
      <c r="AY66" s="251">
        <v>1.328E-2</v>
      </c>
      <c r="AZ66" s="251">
        <v>1.303E-2</v>
      </c>
      <c r="BA66" s="251">
        <v>1.278E-2</v>
      </c>
      <c r="BB66" s="251">
        <v>1.252E-2</v>
      </c>
      <c r="BC66" s="251">
        <v>1.225E-2</v>
      </c>
      <c r="BD66" s="251">
        <v>1.1979999999999999E-2</v>
      </c>
      <c r="BE66" s="251">
        <v>1.171E-2</v>
      </c>
    </row>
    <row r="67" spans="1:57" ht="14.25" customHeight="1" x14ac:dyDescent="0.45">
      <c r="A67" s="618"/>
      <c r="B67" s="215"/>
      <c r="C67" s="220"/>
      <c r="D67" s="247" t="s">
        <v>223</v>
      </c>
      <c r="E67" s="254"/>
      <c r="F67" s="254"/>
      <c r="G67" s="254"/>
      <c r="H67" s="255"/>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1"/>
      <c r="AJ67" s="251"/>
      <c r="AK67" s="251"/>
      <c r="AL67" s="251"/>
      <c r="AM67" s="251"/>
      <c r="AN67" s="251"/>
      <c r="AO67" s="251"/>
      <c r="AP67" s="251"/>
      <c r="AQ67" s="251"/>
      <c r="AR67" s="251"/>
      <c r="AS67" s="251"/>
      <c r="AT67" s="251"/>
      <c r="AU67" s="251"/>
      <c r="AV67" s="251"/>
      <c r="AW67" s="251"/>
      <c r="AX67" s="251"/>
      <c r="AY67" s="251"/>
      <c r="AZ67" s="251"/>
      <c r="BA67" s="251"/>
      <c r="BB67" s="251"/>
      <c r="BC67" s="251"/>
      <c r="BD67" s="251"/>
      <c r="BE67" s="251"/>
    </row>
    <row r="68" spans="1:57" ht="14.25" customHeight="1" x14ac:dyDescent="0.45">
      <c r="A68" s="618"/>
      <c r="B68" s="215"/>
      <c r="C68" s="220" t="s">
        <v>237</v>
      </c>
      <c r="D68" s="221" t="s">
        <v>236</v>
      </c>
      <c r="E68" s="252">
        <f>'Copia de Electricidad'!D69/1000</f>
        <v>2.7581999999999999E-2</v>
      </c>
      <c r="F68" s="252">
        <f>'Copia de Electricidad'!E69/1000</f>
        <v>2.4146999999999998E-2</v>
      </c>
      <c r="G68" s="252">
        <f>'Copia de Electricidad'!F69/1000</f>
        <v>2.4285000000000001E-2</v>
      </c>
      <c r="H68" s="253">
        <f>'Copia de Electricidad'!G69/1000</f>
        <v>2.4285000000000001E-2</v>
      </c>
      <c r="I68" s="250">
        <v>3.0110000000000001E-2</v>
      </c>
      <c r="J68" s="250">
        <v>3.0859999999999999E-2</v>
      </c>
      <c r="K68" s="250">
        <v>3.1609999999999999E-2</v>
      </c>
      <c r="L68" s="250">
        <v>3.236E-2</v>
      </c>
      <c r="M68" s="250">
        <v>3.3110000000000001E-2</v>
      </c>
      <c r="N68" s="250">
        <v>3.3860000000000001E-2</v>
      </c>
      <c r="O68" s="250">
        <v>3.4610000000000002E-2</v>
      </c>
      <c r="P68" s="250">
        <v>3.5360000000000003E-2</v>
      </c>
      <c r="Q68" s="250">
        <v>3.6110000000000003E-2</v>
      </c>
      <c r="R68" s="250">
        <v>3.6400000000000002E-2</v>
      </c>
      <c r="S68" s="250">
        <v>3.6679999999999997E-2</v>
      </c>
      <c r="T68" s="250">
        <v>3.6970000000000003E-2</v>
      </c>
      <c r="U68" s="250">
        <v>3.7249999999999998E-2</v>
      </c>
      <c r="V68" s="250">
        <v>3.7539999999999997E-2</v>
      </c>
      <c r="W68" s="250">
        <v>3.7819999999999999E-2</v>
      </c>
      <c r="X68" s="250">
        <v>3.8109999999999998E-2</v>
      </c>
      <c r="Y68" s="250">
        <v>3.8390000000000001E-2</v>
      </c>
      <c r="Z68" s="250">
        <v>3.8679999999999999E-2</v>
      </c>
      <c r="AA68" s="250">
        <v>3.8969999999999998E-2</v>
      </c>
      <c r="AB68" s="250">
        <v>3.9E-2</v>
      </c>
      <c r="AC68" s="250">
        <v>3.9039999999999998E-2</v>
      </c>
      <c r="AD68" s="250">
        <v>3.9079999999999997E-2</v>
      </c>
      <c r="AE68" s="250">
        <v>3.9120000000000002E-2</v>
      </c>
      <c r="AF68" s="250">
        <v>3.916E-2</v>
      </c>
      <c r="AG68" s="250">
        <v>3.9199999999999999E-2</v>
      </c>
      <c r="AH68" s="250">
        <v>3.9239999999999997E-2</v>
      </c>
      <c r="AI68" s="251">
        <v>3.9280000000000002E-2</v>
      </c>
      <c r="AJ68" s="251">
        <v>3.9320000000000001E-2</v>
      </c>
      <c r="AK68" s="251">
        <v>3.9350000000000003E-2</v>
      </c>
      <c r="AL68" s="251">
        <v>3.9350000000000003E-2</v>
      </c>
      <c r="AM68" s="251">
        <v>3.9350000000000003E-2</v>
      </c>
      <c r="AN68" s="251">
        <v>3.9350000000000003E-2</v>
      </c>
      <c r="AO68" s="251">
        <v>3.9350000000000003E-2</v>
      </c>
      <c r="AP68" s="251">
        <v>3.9350000000000003E-2</v>
      </c>
      <c r="AQ68" s="251">
        <v>3.9350000000000003E-2</v>
      </c>
      <c r="AR68" s="251">
        <v>3.9350000000000003E-2</v>
      </c>
      <c r="AS68" s="251">
        <v>3.9350000000000003E-2</v>
      </c>
      <c r="AT68" s="251">
        <v>3.9350000000000003E-2</v>
      </c>
      <c r="AU68" s="251">
        <v>3.9350000000000003E-2</v>
      </c>
      <c r="AV68" s="251">
        <v>3.9350000000000003E-2</v>
      </c>
      <c r="AW68" s="251">
        <v>3.9350000000000003E-2</v>
      </c>
      <c r="AX68" s="251">
        <v>3.9350000000000003E-2</v>
      </c>
      <c r="AY68" s="251">
        <v>3.9350000000000003E-2</v>
      </c>
      <c r="AZ68" s="251">
        <v>3.9350000000000003E-2</v>
      </c>
      <c r="BA68" s="251">
        <v>3.9350000000000003E-2</v>
      </c>
      <c r="BB68" s="251">
        <v>3.9350000000000003E-2</v>
      </c>
      <c r="BC68" s="251">
        <v>3.9350000000000003E-2</v>
      </c>
      <c r="BD68" s="251">
        <v>3.9350000000000003E-2</v>
      </c>
      <c r="BE68" s="251">
        <v>3.9350000000000003E-2</v>
      </c>
    </row>
    <row r="69" spans="1:57" ht="14.25" customHeight="1" x14ac:dyDescent="0.45">
      <c r="A69" s="618"/>
      <c r="B69" s="215"/>
      <c r="C69" s="220"/>
      <c r="D69" s="247" t="s">
        <v>238</v>
      </c>
      <c r="E69" s="254"/>
      <c r="F69" s="254"/>
      <c r="G69" s="254"/>
      <c r="H69" s="255"/>
      <c r="I69" s="618"/>
      <c r="J69" s="618"/>
      <c r="K69" s="618"/>
      <c r="L69" s="618"/>
      <c r="M69" s="618"/>
      <c r="N69" s="618"/>
      <c r="O69" s="618"/>
      <c r="P69" s="618"/>
      <c r="Q69" s="618"/>
      <c r="R69" s="618"/>
      <c r="S69" s="618"/>
      <c r="T69" s="618"/>
      <c r="U69" s="618"/>
      <c r="V69" s="618"/>
      <c r="W69" s="618"/>
      <c r="X69" s="618"/>
      <c r="Y69" s="618"/>
      <c r="Z69" s="618"/>
      <c r="AA69" s="618"/>
      <c r="AB69" s="618"/>
      <c r="AC69" s="618"/>
      <c r="AD69" s="618"/>
      <c r="AE69" s="618"/>
      <c r="AF69" s="618"/>
      <c r="AG69" s="618"/>
      <c r="AH69" s="618"/>
      <c r="AI69" s="618"/>
      <c r="AJ69" s="618"/>
      <c r="AK69" s="618"/>
      <c r="AL69" s="618"/>
      <c r="AM69" s="3"/>
      <c r="AN69" s="3"/>
      <c r="AO69" s="3"/>
      <c r="AP69" s="3"/>
      <c r="AQ69" s="3"/>
      <c r="AR69" s="3"/>
      <c r="AS69" s="3"/>
      <c r="AT69" s="3"/>
      <c r="AU69" s="3"/>
      <c r="AV69" s="3"/>
      <c r="AW69" s="3"/>
      <c r="AX69" s="3"/>
      <c r="AY69" s="3"/>
      <c r="AZ69" s="3"/>
      <c r="BA69" s="3"/>
      <c r="BB69" s="3"/>
      <c r="BC69" s="3"/>
      <c r="BD69" s="3"/>
      <c r="BE69" s="3"/>
    </row>
    <row r="70" spans="1:57" ht="14.25" customHeight="1" x14ac:dyDescent="0.45">
      <c r="A70" s="618"/>
      <c r="B70" s="215"/>
      <c r="C70" s="220" t="s">
        <v>239</v>
      </c>
      <c r="D70" s="221" t="s">
        <v>240</v>
      </c>
      <c r="E70" s="252">
        <f>'Copia de Electricidad'!D71/1000</f>
        <v>0.37858699999999995</v>
      </c>
      <c r="F70" s="252">
        <f>'Copia de Electricidad'!E71/1000</f>
        <v>0.37858699999999995</v>
      </c>
      <c r="G70" s="252">
        <f>'Copia de Electricidad'!F71/1000</f>
        <v>0.3785369999999999</v>
      </c>
      <c r="H70" s="253">
        <f>'Copia de Electricidad'!G71/1000</f>
        <v>0.43229199999999995</v>
      </c>
      <c r="I70" s="618"/>
      <c r="J70" s="618"/>
      <c r="K70" s="618"/>
      <c r="L70" s="618"/>
      <c r="M70" s="618"/>
      <c r="N70" s="618"/>
      <c r="O70" s="618"/>
      <c r="P70" s="618"/>
      <c r="Q70" s="618"/>
      <c r="R70" s="618"/>
      <c r="S70" s="618"/>
      <c r="T70" s="618"/>
      <c r="U70" s="618"/>
      <c r="V70" s="618"/>
      <c r="W70" s="618"/>
      <c r="X70" s="618"/>
      <c r="Y70" s="618"/>
      <c r="Z70" s="618"/>
      <c r="AA70" s="618"/>
      <c r="AB70" s="618"/>
      <c r="AC70" s="618"/>
      <c r="AD70" s="618"/>
      <c r="AE70" s="618"/>
      <c r="AF70" s="618"/>
      <c r="AG70" s="618"/>
      <c r="AH70" s="618"/>
      <c r="AI70" s="618"/>
      <c r="AJ70" s="618"/>
      <c r="AK70" s="618"/>
      <c r="AL70" s="618"/>
      <c r="AM70" s="3"/>
      <c r="AN70" s="3"/>
      <c r="AO70" s="3"/>
      <c r="AP70" s="3"/>
      <c r="AQ70" s="3"/>
      <c r="AR70" s="3"/>
      <c r="AS70" s="3"/>
      <c r="AT70" s="3"/>
      <c r="AU70" s="3"/>
      <c r="AV70" s="3"/>
      <c r="AW70" s="3"/>
      <c r="AX70" s="3"/>
      <c r="AY70" s="3"/>
      <c r="AZ70" s="3"/>
      <c r="BA70" s="3"/>
      <c r="BB70" s="3"/>
      <c r="BC70" s="3"/>
      <c r="BD70" s="3"/>
      <c r="BE70" s="3"/>
    </row>
    <row r="71" spans="1:57" ht="14.25" customHeight="1" x14ac:dyDescent="0.45">
      <c r="A71" s="618"/>
      <c r="B71" s="215"/>
      <c r="C71" s="220" t="s">
        <v>241</v>
      </c>
      <c r="D71" s="221" t="s">
        <v>236</v>
      </c>
      <c r="E71" s="252">
        <f>'Copia de Electricidad'!D72/1000</f>
        <v>0.53094777999999998</v>
      </c>
      <c r="F71" s="252">
        <f>'Copia de Electricidad'!E72/1000</f>
        <v>0.59061478000000001</v>
      </c>
      <c r="G71" s="252">
        <f>'Copia de Electricidad'!F72/1000</f>
        <v>0.59251978000000005</v>
      </c>
      <c r="H71" s="253">
        <f>'Copia de Electricidad'!G72/1000</f>
        <v>0.54150777999999999</v>
      </c>
      <c r="I71" s="618"/>
      <c r="J71" s="618"/>
      <c r="K71" s="618"/>
      <c r="L71" s="618"/>
      <c r="M71" s="618"/>
      <c r="N71" s="618"/>
      <c r="O71" s="618"/>
      <c r="P71" s="618"/>
      <c r="Q71" s="618"/>
      <c r="R71" s="618"/>
      <c r="S71" s="618"/>
      <c r="T71" s="618"/>
      <c r="U71" s="618"/>
      <c r="V71" s="618"/>
      <c r="W71" s="618"/>
      <c r="X71" s="618"/>
      <c r="Y71" s="618"/>
      <c r="Z71" s="618"/>
      <c r="AA71" s="618"/>
      <c r="AB71" s="618"/>
      <c r="AC71" s="618"/>
      <c r="AD71" s="618"/>
      <c r="AE71" s="618"/>
      <c r="AF71" s="618"/>
      <c r="AG71" s="618"/>
      <c r="AH71" s="618"/>
      <c r="AI71" s="618"/>
      <c r="AJ71" s="618"/>
      <c r="AK71" s="618"/>
      <c r="AL71" s="618"/>
      <c r="AM71" s="3"/>
      <c r="AN71" s="3"/>
      <c r="AO71" s="3"/>
      <c r="AP71" s="3"/>
      <c r="AQ71" s="3"/>
      <c r="AR71" s="3"/>
      <c r="AS71" s="3"/>
      <c r="AT71" s="3"/>
      <c r="AU71" s="3"/>
      <c r="AV71" s="3"/>
      <c r="AW71" s="3"/>
      <c r="AX71" s="3"/>
      <c r="AY71" s="3"/>
      <c r="AZ71" s="3"/>
      <c r="BA71" s="3"/>
      <c r="BB71" s="3"/>
      <c r="BC71" s="3"/>
      <c r="BD71" s="3"/>
      <c r="BE71" s="3"/>
    </row>
    <row r="72" spans="1:57" ht="14.25" customHeight="1" x14ac:dyDescent="0.45">
      <c r="A72" s="618"/>
      <c r="B72" s="215"/>
      <c r="C72" s="220" t="s">
        <v>242</v>
      </c>
      <c r="D72" s="221" t="s">
        <v>243</v>
      </c>
      <c r="E72" s="252">
        <f>'Copia de Electricidad'!D73/1000</f>
        <v>1.44E-2</v>
      </c>
      <c r="F72" s="252">
        <f>'Copia de Electricidad'!E73/1000</f>
        <v>1.44E-2</v>
      </c>
      <c r="G72" s="252">
        <f>'Copia de Electricidad'!F73/1000</f>
        <v>1.44E-2</v>
      </c>
      <c r="H72" s="253">
        <f>'Copia de Electricidad'!G73/1000</f>
        <v>1.44E-2</v>
      </c>
      <c r="I72" s="618"/>
      <c r="J72" s="618"/>
      <c r="K72" s="618"/>
      <c r="L72" s="618"/>
      <c r="M72" s="618"/>
      <c r="N72" s="618"/>
      <c r="O72" s="618"/>
      <c r="P72" s="618"/>
      <c r="Q72" s="618"/>
      <c r="R72" s="618"/>
      <c r="S72" s="618"/>
      <c r="T72" s="618"/>
      <c r="U72" s="618"/>
      <c r="V72" s="618"/>
      <c r="W72" s="618"/>
      <c r="X72" s="618"/>
      <c r="Y72" s="618"/>
      <c r="Z72" s="618"/>
      <c r="AA72" s="618"/>
      <c r="AB72" s="618"/>
      <c r="AC72" s="618"/>
      <c r="AD72" s="618"/>
      <c r="AE72" s="618"/>
      <c r="AF72" s="618"/>
      <c r="AG72" s="618"/>
      <c r="AH72" s="618"/>
      <c r="AI72" s="618"/>
      <c r="AJ72" s="618"/>
      <c r="AK72" s="618"/>
      <c r="AL72" s="618"/>
      <c r="AM72" s="3"/>
      <c r="AN72" s="3"/>
      <c r="AO72" s="3"/>
      <c r="AP72" s="3"/>
      <c r="AQ72" s="3"/>
      <c r="AR72" s="3"/>
      <c r="AS72" s="3"/>
      <c r="AT72" s="3"/>
      <c r="AU72" s="3"/>
      <c r="AV72" s="3"/>
      <c r="AW72" s="3"/>
      <c r="AX72" s="3"/>
      <c r="AY72" s="3"/>
      <c r="AZ72" s="3"/>
      <c r="BA72" s="3"/>
      <c r="BB72" s="3"/>
      <c r="BC72" s="3"/>
      <c r="BD72" s="3"/>
      <c r="BE72" s="3"/>
    </row>
    <row r="73" spans="1:57" ht="14.25" customHeight="1" x14ac:dyDescent="0.45">
      <c r="A73" s="618"/>
      <c r="B73" s="215"/>
      <c r="C73" s="220" t="s">
        <v>244</v>
      </c>
      <c r="D73" s="221" t="s">
        <v>245</v>
      </c>
      <c r="E73" s="252">
        <f>'Copia de Electricidad'!D74/1000</f>
        <v>0.19107200000000002</v>
      </c>
      <c r="F73" s="252">
        <f>'Copia de Electricidad'!E74/1000</f>
        <v>0.19634200000000007</v>
      </c>
      <c r="G73" s="252">
        <f>'Copia de Electricidad'!F74/1000</f>
        <v>0.19789000000000001</v>
      </c>
      <c r="H73" s="253">
        <f>'Copia de Electricidad'!G74/1000</f>
        <v>0.19725700000000002</v>
      </c>
      <c r="I73" s="618"/>
      <c r="J73" s="618"/>
      <c r="K73" s="618"/>
      <c r="L73" s="618"/>
      <c r="M73" s="618"/>
      <c r="N73" s="618"/>
      <c r="O73" s="618"/>
      <c r="P73" s="618"/>
      <c r="Q73" s="618"/>
      <c r="R73" s="618"/>
      <c r="S73" s="618"/>
      <c r="T73" s="618"/>
      <c r="U73" s="618"/>
      <c r="V73" s="618"/>
      <c r="W73" s="618"/>
      <c r="X73" s="618"/>
      <c r="Y73" s="618"/>
      <c r="Z73" s="618"/>
      <c r="AA73" s="618"/>
      <c r="AB73" s="618"/>
      <c r="AC73" s="618"/>
      <c r="AD73" s="618"/>
      <c r="AE73" s="618"/>
      <c r="AF73" s="618"/>
      <c r="AG73" s="618"/>
      <c r="AH73" s="618"/>
      <c r="AI73" s="618"/>
      <c r="AJ73" s="618"/>
      <c r="AK73" s="618"/>
      <c r="AL73" s="618"/>
      <c r="AM73" s="3"/>
      <c r="AN73" s="3"/>
      <c r="AO73" s="3"/>
      <c r="AP73" s="3"/>
      <c r="AQ73" s="3"/>
      <c r="AR73" s="3"/>
      <c r="AS73" s="3"/>
      <c r="AT73" s="3"/>
      <c r="AU73" s="3"/>
      <c r="AV73" s="3"/>
      <c r="AW73" s="3"/>
      <c r="AX73" s="3"/>
      <c r="AY73" s="3"/>
      <c r="AZ73" s="3"/>
      <c r="BA73" s="3"/>
      <c r="BB73" s="3"/>
      <c r="BC73" s="3"/>
      <c r="BD73" s="3"/>
      <c r="BE73" s="3"/>
    </row>
    <row r="74" spans="1:57" ht="14.25" customHeight="1" x14ac:dyDescent="0.45">
      <c r="A74" s="618"/>
      <c r="B74" s="215"/>
      <c r="C74" s="220"/>
      <c r="D74" s="228" t="s">
        <v>188</v>
      </c>
      <c r="E74" s="230">
        <f>'Copia de Electricidad'!D75/1000</f>
        <v>0.10125400000000001</v>
      </c>
      <c r="F74" s="230">
        <f>'Copia de Electricidad'!E75/1000</f>
        <v>0.10125400000000001</v>
      </c>
      <c r="G74" s="230">
        <f>'Copia de Electricidad'!F75/1000</f>
        <v>0.10125400000000001</v>
      </c>
      <c r="H74" s="231">
        <f>'Copia de Electricidad'!G75/1000</f>
        <v>0.12405400000000001</v>
      </c>
      <c r="I74" s="618"/>
      <c r="J74" s="618"/>
      <c r="K74" s="618"/>
      <c r="L74" s="618"/>
      <c r="M74" s="618"/>
      <c r="N74" s="618"/>
      <c r="O74" s="618"/>
      <c r="P74" s="618"/>
      <c r="Q74" s="618"/>
      <c r="R74" s="618"/>
      <c r="S74" s="618"/>
      <c r="T74" s="618"/>
      <c r="U74" s="618"/>
      <c r="V74" s="618"/>
      <c r="W74" s="618"/>
      <c r="X74" s="618"/>
      <c r="Y74" s="618"/>
      <c r="Z74" s="618"/>
      <c r="AA74" s="618"/>
      <c r="AB74" s="618"/>
      <c r="AC74" s="618"/>
      <c r="AD74" s="618"/>
      <c r="AE74" s="618"/>
      <c r="AF74" s="618"/>
      <c r="AG74" s="618"/>
      <c r="AH74" s="618"/>
      <c r="AI74" s="618"/>
      <c r="AJ74" s="618"/>
      <c r="AK74" s="618"/>
      <c r="AL74" s="618"/>
      <c r="AM74" s="3"/>
      <c r="AN74" s="3"/>
      <c r="AO74" s="3"/>
      <c r="AP74" s="3"/>
      <c r="AQ74" s="3"/>
      <c r="AR74" s="3"/>
      <c r="AS74" s="3"/>
      <c r="AT74" s="3"/>
      <c r="AU74" s="3"/>
      <c r="AV74" s="3"/>
      <c r="AW74" s="3"/>
      <c r="AX74" s="3"/>
      <c r="AY74" s="3"/>
      <c r="AZ74" s="3"/>
      <c r="BA74" s="3"/>
      <c r="BB74" s="3"/>
      <c r="BC74" s="3"/>
      <c r="BD74" s="3"/>
      <c r="BE74" s="3"/>
    </row>
    <row r="75" spans="1:57" ht="14.25" customHeight="1" x14ac:dyDescent="0.45">
      <c r="A75" s="618"/>
      <c r="B75" s="215"/>
      <c r="C75" s="220"/>
      <c r="D75" s="247" t="s">
        <v>238</v>
      </c>
      <c r="E75" s="254"/>
      <c r="F75" s="254"/>
      <c r="G75" s="254"/>
      <c r="H75" s="255"/>
      <c r="I75" s="618"/>
      <c r="J75" s="618"/>
      <c r="K75" s="618"/>
      <c r="L75" s="618"/>
      <c r="M75" s="618"/>
      <c r="N75" s="618"/>
      <c r="O75" s="618"/>
      <c r="P75" s="618"/>
      <c r="Q75" s="618"/>
      <c r="R75" s="618"/>
      <c r="S75" s="618"/>
      <c r="T75" s="618"/>
      <c r="U75" s="618"/>
      <c r="V75" s="618"/>
      <c r="W75" s="618"/>
      <c r="X75" s="618"/>
      <c r="Y75" s="618"/>
      <c r="Z75" s="618"/>
      <c r="AA75" s="618"/>
      <c r="AB75" s="618"/>
      <c r="AC75" s="618"/>
      <c r="AD75" s="618"/>
      <c r="AE75" s="618"/>
      <c r="AF75" s="618"/>
      <c r="AG75" s="618"/>
      <c r="AH75" s="618"/>
      <c r="AI75" s="618"/>
      <c r="AJ75" s="618"/>
      <c r="AK75" s="618"/>
      <c r="AL75" s="618"/>
      <c r="AM75" s="3"/>
      <c r="AN75" s="3"/>
      <c r="AO75" s="3"/>
      <c r="AP75" s="3"/>
      <c r="AQ75" s="3"/>
      <c r="AR75" s="3"/>
      <c r="AS75" s="3"/>
      <c r="AT75" s="3"/>
      <c r="AU75" s="3"/>
      <c r="AV75" s="3"/>
      <c r="AW75" s="3"/>
      <c r="AX75" s="3"/>
      <c r="AY75" s="3"/>
      <c r="AZ75" s="3"/>
      <c r="BA75" s="3"/>
      <c r="BB75" s="3"/>
      <c r="BC75" s="3"/>
      <c r="BD75" s="3"/>
      <c r="BE75" s="3"/>
    </row>
    <row r="76" spans="1:57" ht="14.25" customHeight="1" x14ac:dyDescent="0.45">
      <c r="A76" s="618"/>
      <c r="B76" s="215"/>
      <c r="C76" s="220" t="s">
        <v>246</v>
      </c>
      <c r="D76" s="221" t="s">
        <v>236</v>
      </c>
      <c r="E76" s="252">
        <f>'Copia de Electricidad'!D77/1000</f>
        <v>5.04E-2</v>
      </c>
      <c r="F76" s="252">
        <f>'Copia de Electricidad'!E77/1000</f>
        <v>5.04E-2</v>
      </c>
      <c r="G76" s="252">
        <f>'Copia de Electricidad'!F77/1000</f>
        <v>5.04E-2</v>
      </c>
      <c r="H76" s="253">
        <f>'Copia de Electricidad'!G77/1000</f>
        <v>5.04E-2</v>
      </c>
      <c r="I76" s="618"/>
      <c r="J76" s="618"/>
      <c r="K76" s="618"/>
      <c r="L76" s="618"/>
      <c r="M76" s="618"/>
      <c r="N76" s="618"/>
      <c r="O76" s="618"/>
      <c r="P76" s="618"/>
      <c r="Q76" s="618"/>
      <c r="R76" s="618"/>
      <c r="S76" s="618"/>
      <c r="T76" s="618"/>
      <c r="U76" s="618"/>
      <c r="V76" s="618"/>
      <c r="W76" s="618"/>
      <c r="X76" s="618"/>
      <c r="Y76" s="618"/>
      <c r="Z76" s="618"/>
      <c r="AA76" s="618"/>
      <c r="AB76" s="618"/>
      <c r="AC76" s="618"/>
      <c r="AD76" s="618"/>
      <c r="AE76" s="618"/>
      <c r="AF76" s="618"/>
      <c r="AG76" s="618"/>
      <c r="AH76" s="618"/>
      <c r="AI76" s="618"/>
      <c r="AJ76" s="618"/>
      <c r="AK76" s="618"/>
      <c r="AL76" s="618"/>
      <c r="AM76" s="3"/>
      <c r="AN76" s="3"/>
      <c r="AO76" s="3"/>
      <c r="AP76" s="3"/>
      <c r="AQ76" s="3"/>
      <c r="AR76" s="3"/>
      <c r="AS76" s="3"/>
      <c r="AT76" s="3"/>
      <c r="AU76" s="3"/>
      <c r="AV76" s="3"/>
      <c r="AW76" s="3"/>
      <c r="AX76" s="3"/>
      <c r="AY76" s="3"/>
      <c r="AZ76" s="3"/>
      <c r="BA76" s="3"/>
      <c r="BB76" s="3"/>
      <c r="BC76" s="3"/>
      <c r="BD76" s="3"/>
      <c r="BE76" s="3"/>
    </row>
    <row r="77" spans="1:57" ht="14.25" customHeight="1" x14ac:dyDescent="0.45">
      <c r="A77" s="618"/>
      <c r="B77" s="215"/>
      <c r="C77" s="220" t="s">
        <v>247</v>
      </c>
      <c r="D77" s="221" t="s">
        <v>248</v>
      </c>
      <c r="E77" s="252">
        <f>'Copia de Electricidad'!D78/1000</f>
        <v>4.5850000000000002E-2</v>
      </c>
      <c r="F77" s="252">
        <f>'Copia de Electricidad'!E78/1000</f>
        <v>4.5850000000000002E-2</v>
      </c>
      <c r="G77" s="252">
        <f>'Copia de Electricidad'!F78/1000</f>
        <v>4.5850000000000002E-2</v>
      </c>
      <c r="H77" s="253">
        <f>'Copia de Electricidad'!G78/1000</f>
        <v>6.8650000000000003E-2</v>
      </c>
      <c r="I77" s="618"/>
      <c r="J77" s="618"/>
      <c r="K77" s="618"/>
      <c r="L77" s="618"/>
      <c r="M77" s="618"/>
      <c r="N77" s="618"/>
      <c r="O77" s="618"/>
      <c r="P77" s="618"/>
      <c r="Q77" s="618"/>
      <c r="R77" s="618"/>
      <c r="S77" s="618"/>
      <c r="T77" s="618"/>
      <c r="U77" s="618"/>
      <c r="V77" s="618"/>
      <c r="W77" s="618"/>
      <c r="X77" s="618"/>
      <c r="Y77" s="618"/>
      <c r="Z77" s="618"/>
      <c r="AA77" s="618"/>
      <c r="AB77" s="618"/>
      <c r="AC77" s="618"/>
      <c r="AD77" s="618"/>
      <c r="AE77" s="618"/>
      <c r="AF77" s="618"/>
      <c r="AG77" s="618"/>
      <c r="AH77" s="618"/>
      <c r="AI77" s="618"/>
      <c r="AJ77" s="618"/>
      <c r="AK77" s="618"/>
      <c r="AL77" s="618"/>
      <c r="AM77" s="3"/>
      <c r="AN77" s="3"/>
      <c r="AO77" s="3"/>
      <c r="AP77" s="3"/>
      <c r="AQ77" s="3"/>
      <c r="AR77" s="3"/>
      <c r="AS77" s="3"/>
      <c r="AT77" s="3"/>
      <c r="AU77" s="3"/>
      <c r="AV77" s="3"/>
      <c r="AW77" s="3"/>
      <c r="AX77" s="3"/>
      <c r="AY77" s="3"/>
      <c r="AZ77" s="3"/>
      <c r="BA77" s="3"/>
      <c r="BB77" s="3"/>
      <c r="BC77" s="3"/>
      <c r="BD77" s="3"/>
      <c r="BE77" s="3"/>
    </row>
    <row r="78" spans="1:57" ht="14.25" customHeight="1" x14ac:dyDescent="0.45">
      <c r="A78" s="618"/>
      <c r="B78" s="215"/>
      <c r="C78" s="220" t="s">
        <v>249</v>
      </c>
      <c r="D78" s="221" t="s">
        <v>240</v>
      </c>
      <c r="E78" s="252">
        <f>'Copia de Electricidad'!D79/1000</f>
        <v>5.0039999999999998E-3</v>
      </c>
      <c r="F78" s="252">
        <f>'Copia de Electricidad'!E79/1000</f>
        <v>5.0039999999999998E-3</v>
      </c>
      <c r="G78" s="252">
        <f>'Copia de Electricidad'!F79/1000</f>
        <v>5.0039999999999998E-3</v>
      </c>
      <c r="H78" s="253">
        <f>'Copia de Electricidad'!G79/1000</f>
        <v>5.0039999999999998E-3</v>
      </c>
      <c r="I78" s="618"/>
      <c r="J78" s="618"/>
      <c r="K78" s="618"/>
      <c r="L78" s="618"/>
      <c r="M78" s="618"/>
      <c r="N78" s="618"/>
      <c r="O78" s="618"/>
      <c r="P78" s="618"/>
      <c r="Q78" s="618"/>
      <c r="R78" s="618"/>
      <c r="S78" s="618"/>
      <c r="T78" s="618"/>
      <c r="U78" s="618"/>
      <c r="V78" s="618"/>
      <c r="W78" s="618"/>
      <c r="X78" s="618"/>
      <c r="Y78" s="618"/>
      <c r="Z78" s="618"/>
      <c r="AA78" s="618"/>
      <c r="AB78" s="618"/>
      <c r="AC78" s="618"/>
      <c r="AD78" s="618"/>
      <c r="AE78" s="618"/>
      <c r="AF78" s="618"/>
      <c r="AG78" s="618"/>
      <c r="AH78" s="618"/>
      <c r="AI78" s="618"/>
      <c r="AJ78" s="618"/>
      <c r="AK78" s="618"/>
      <c r="AL78" s="618"/>
      <c r="AM78" s="3"/>
      <c r="AN78" s="3"/>
      <c r="AO78" s="3"/>
      <c r="AP78" s="3"/>
      <c r="AQ78" s="3"/>
      <c r="AR78" s="3"/>
      <c r="AS78" s="3"/>
      <c r="AT78" s="3"/>
      <c r="AU78" s="3"/>
      <c r="AV78" s="3"/>
      <c r="AW78" s="3"/>
      <c r="AX78" s="3"/>
      <c r="AY78" s="3"/>
      <c r="AZ78" s="3"/>
      <c r="BA78" s="3"/>
      <c r="BB78" s="3"/>
      <c r="BC78" s="3"/>
      <c r="BD78" s="3"/>
      <c r="BE78" s="3"/>
    </row>
    <row r="79" spans="1:57" ht="14.25" customHeight="1" x14ac:dyDescent="0.45">
      <c r="A79" s="618"/>
      <c r="B79" s="215"/>
      <c r="C79" s="220"/>
      <c r="D79" s="228" t="s">
        <v>193</v>
      </c>
      <c r="E79" s="230">
        <f>'Copia de Electricidad'!D80/1000</f>
        <v>1.5865000000000001E-2</v>
      </c>
      <c r="F79" s="230">
        <f>'Copia de Electricidad'!E80/1000</f>
        <v>1.5625E-2</v>
      </c>
      <c r="G79" s="230">
        <f>'Copia de Electricidad'!F80/1000</f>
        <v>1.5625E-2</v>
      </c>
      <c r="H79" s="231">
        <f>'Copia de Electricidad'!G80/1000</f>
        <v>1.5625E-2</v>
      </c>
      <c r="I79" s="618"/>
      <c r="J79" s="618"/>
      <c r="K79" s="618"/>
      <c r="L79" s="618"/>
      <c r="M79" s="618"/>
      <c r="N79" s="618"/>
      <c r="O79" s="618"/>
      <c r="P79" s="618"/>
      <c r="Q79" s="618"/>
      <c r="R79" s="618"/>
      <c r="S79" s="618"/>
      <c r="T79" s="618"/>
      <c r="U79" s="618"/>
      <c r="V79" s="618"/>
      <c r="W79" s="618"/>
      <c r="X79" s="618"/>
      <c r="Y79" s="618"/>
      <c r="Z79" s="618"/>
      <c r="AA79" s="618"/>
      <c r="AB79" s="618"/>
      <c r="AC79" s="618"/>
      <c r="AD79" s="618"/>
      <c r="AE79" s="618"/>
      <c r="AF79" s="618"/>
      <c r="AG79" s="618"/>
      <c r="AH79" s="618"/>
      <c r="AI79" s="618"/>
      <c r="AJ79" s="618"/>
      <c r="AK79" s="618"/>
      <c r="AL79" s="618"/>
      <c r="AM79" s="3"/>
      <c r="AN79" s="3"/>
      <c r="AO79" s="3"/>
      <c r="AP79" s="3"/>
      <c r="AQ79" s="3"/>
      <c r="AR79" s="3"/>
      <c r="AS79" s="3"/>
      <c r="AT79" s="3"/>
      <c r="AU79" s="3"/>
      <c r="AV79" s="3"/>
      <c r="AW79" s="3"/>
      <c r="AX79" s="3"/>
      <c r="AY79" s="3"/>
      <c r="AZ79" s="3"/>
      <c r="BA79" s="3"/>
      <c r="BB79" s="3"/>
      <c r="BC79" s="3"/>
      <c r="BD79" s="3"/>
      <c r="BE79" s="3"/>
    </row>
    <row r="80" spans="1:57" ht="14.25" customHeight="1" x14ac:dyDescent="0.45">
      <c r="A80" s="618"/>
      <c r="B80" s="215"/>
      <c r="C80" s="220"/>
      <c r="D80" s="247" t="s">
        <v>225</v>
      </c>
      <c r="E80" s="254"/>
      <c r="F80" s="254"/>
      <c r="G80" s="254"/>
      <c r="H80" s="255"/>
      <c r="I80" s="618"/>
      <c r="J80" s="618"/>
      <c r="K80" s="618"/>
      <c r="L80" s="618"/>
      <c r="M80" s="618"/>
      <c r="N80" s="618"/>
      <c r="O80" s="618"/>
      <c r="P80" s="618"/>
      <c r="Q80" s="618"/>
      <c r="R80" s="618"/>
      <c r="S80" s="618"/>
      <c r="T80" s="618"/>
      <c r="U80" s="618"/>
      <c r="V80" s="618"/>
      <c r="W80" s="618"/>
      <c r="X80" s="618"/>
      <c r="Y80" s="618"/>
      <c r="Z80" s="618"/>
      <c r="AA80" s="618"/>
      <c r="AB80" s="618"/>
      <c r="AC80" s="618"/>
      <c r="AD80" s="618"/>
      <c r="AE80" s="618"/>
      <c r="AF80" s="618"/>
      <c r="AG80" s="618"/>
      <c r="AH80" s="618"/>
      <c r="AI80" s="618"/>
      <c r="AJ80" s="618"/>
      <c r="AK80" s="618"/>
      <c r="AL80" s="618"/>
      <c r="AM80" s="3"/>
      <c r="AN80" s="3"/>
      <c r="AO80" s="3"/>
      <c r="AP80" s="3"/>
      <c r="AQ80" s="3"/>
      <c r="AR80" s="3"/>
      <c r="AS80" s="3"/>
      <c r="AT80" s="3"/>
      <c r="AU80" s="3"/>
      <c r="AV80" s="3"/>
      <c r="AW80" s="3"/>
      <c r="AX80" s="3"/>
      <c r="AY80" s="3"/>
      <c r="AZ80" s="3"/>
      <c r="BA80" s="3"/>
      <c r="BB80" s="3"/>
      <c r="BC80" s="3"/>
      <c r="BD80" s="3"/>
      <c r="BE80" s="3"/>
    </row>
    <row r="81" spans="1:39" ht="14.25" customHeight="1" x14ac:dyDescent="0.45">
      <c r="A81" s="618"/>
      <c r="B81" s="215"/>
      <c r="C81" s="220" t="s">
        <v>250</v>
      </c>
      <c r="D81" s="221" t="s">
        <v>236</v>
      </c>
      <c r="E81" s="252">
        <f>'Copia de Electricidad'!D82/1000</f>
        <v>2.3999999999999998E-4</v>
      </c>
      <c r="F81" s="252">
        <f>'Copia de Electricidad'!E82/1000</f>
        <v>0</v>
      </c>
      <c r="G81" s="252">
        <f>'Copia de Electricidad'!F82/1000</f>
        <v>0</v>
      </c>
      <c r="H81" s="253">
        <f>'Copia de Electricidad'!G82/1000</f>
        <v>0</v>
      </c>
      <c r="I81" s="33"/>
      <c r="J81" s="618"/>
      <c r="K81" s="618"/>
      <c r="L81" s="618"/>
      <c r="M81" s="618"/>
      <c r="N81" s="618"/>
      <c r="O81" s="618"/>
      <c r="P81" s="618"/>
      <c r="Q81" s="618"/>
      <c r="R81" s="618"/>
      <c r="S81" s="618"/>
      <c r="T81" s="618"/>
      <c r="U81" s="618"/>
      <c r="V81" s="618"/>
      <c r="W81" s="618"/>
      <c r="X81" s="618"/>
      <c r="Y81" s="618"/>
      <c r="Z81" s="618"/>
      <c r="AA81" s="618"/>
      <c r="AB81" s="618"/>
      <c r="AC81" s="618"/>
      <c r="AD81" s="618"/>
      <c r="AE81" s="618"/>
      <c r="AF81" s="618"/>
      <c r="AG81" s="618"/>
      <c r="AH81" s="618"/>
      <c r="AI81" s="618"/>
      <c r="AJ81" s="618"/>
      <c r="AK81" s="618"/>
      <c r="AL81" s="618"/>
      <c r="AM81" s="3"/>
    </row>
    <row r="82" spans="1:39" ht="14.25" customHeight="1" x14ac:dyDescent="0.45">
      <c r="A82" s="618"/>
      <c r="B82" s="215"/>
      <c r="C82" s="220"/>
      <c r="D82" s="247" t="s">
        <v>230</v>
      </c>
      <c r="E82" s="254"/>
      <c r="F82" s="254"/>
      <c r="G82" s="254"/>
      <c r="H82" s="255"/>
      <c r="I82" s="618"/>
      <c r="J82" s="618"/>
      <c r="K82" s="618"/>
      <c r="L82" s="618"/>
      <c r="M82" s="618"/>
      <c r="N82" s="618"/>
      <c r="O82" s="618"/>
      <c r="P82" s="618"/>
      <c r="Q82" s="618"/>
      <c r="R82" s="618"/>
      <c r="S82" s="618"/>
      <c r="T82" s="618"/>
      <c r="U82" s="618"/>
      <c r="V82" s="618"/>
      <c r="W82" s="618"/>
      <c r="X82" s="618"/>
      <c r="Y82" s="618"/>
      <c r="Z82" s="618"/>
      <c r="AA82" s="618"/>
      <c r="AB82" s="618"/>
      <c r="AC82" s="618"/>
      <c r="AD82" s="618"/>
      <c r="AE82" s="618"/>
      <c r="AF82" s="618"/>
      <c r="AG82" s="618"/>
      <c r="AH82" s="618"/>
      <c r="AI82" s="618"/>
      <c r="AJ82" s="618"/>
      <c r="AK82" s="618"/>
      <c r="AL82" s="618"/>
      <c r="AM82" s="3"/>
    </row>
    <row r="83" spans="1:39" ht="14.25" customHeight="1" x14ac:dyDescent="0.45">
      <c r="A83" s="618"/>
      <c r="B83" s="215"/>
      <c r="C83" s="220" t="s">
        <v>251</v>
      </c>
      <c r="D83" s="221" t="s">
        <v>236</v>
      </c>
      <c r="E83" s="252">
        <f>'Copia de Electricidad'!D84/1000</f>
        <v>3.6250000000000002E-3</v>
      </c>
      <c r="F83" s="252">
        <f>'Copia de Electricidad'!E84/1000</f>
        <v>3.6250000000000002E-3</v>
      </c>
      <c r="G83" s="252">
        <f>'Copia de Electricidad'!F84/1000</f>
        <v>3.6250000000000002E-3</v>
      </c>
      <c r="H83" s="253">
        <f>'Copia de Electricidad'!G84/1000</f>
        <v>3.6250000000000002E-3</v>
      </c>
      <c r="I83" s="618"/>
      <c r="J83" s="618"/>
      <c r="K83" s="618"/>
      <c r="L83" s="618"/>
      <c r="M83" s="618"/>
      <c r="N83" s="618"/>
      <c r="O83" s="618"/>
      <c r="P83" s="618"/>
      <c r="Q83" s="618"/>
      <c r="R83" s="618"/>
      <c r="S83" s="618"/>
      <c r="T83" s="618"/>
      <c r="U83" s="618"/>
      <c r="V83" s="618"/>
      <c r="W83" s="618"/>
      <c r="X83" s="618"/>
      <c r="Y83" s="618"/>
      <c r="Z83" s="618"/>
      <c r="AA83" s="618"/>
      <c r="AB83" s="618"/>
      <c r="AC83" s="618"/>
      <c r="AD83" s="618"/>
      <c r="AE83" s="618"/>
      <c r="AF83" s="618"/>
      <c r="AG83" s="618"/>
      <c r="AH83" s="618"/>
      <c r="AI83" s="618"/>
      <c r="AJ83" s="618"/>
      <c r="AK83" s="618"/>
      <c r="AL83" s="618"/>
      <c r="AM83" s="3"/>
    </row>
    <row r="84" spans="1:39" ht="14.25" customHeight="1" x14ac:dyDescent="0.45">
      <c r="A84" s="618"/>
      <c r="B84" s="215"/>
      <c r="C84" s="220"/>
      <c r="D84" s="247" t="s">
        <v>238</v>
      </c>
      <c r="E84" s="244"/>
      <c r="F84" s="244"/>
      <c r="G84" s="244"/>
      <c r="H84" s="246"/>
      <c r="I84" s="618"/>
      <c r="J84" s="618"/>
      <c r="K84" s="618"/>
      <c r="L84" s="618"/>
      <c r="M84" s="618"/>
      <c r="N84" s="618"/>
      <c r="O84" s="618"/>
      <c r="P84" s="618"/>
      <c r="Q84" s="618"/>
      <c r="R84" s="618"/>
      <c r="S84" s="618"/>
      <c r="T84" s="618"/>
      <c r="U84" s="618"/>
      <c r="V84" s="618"/>
      <c r="W84" s="618"/>
      <c r="X84" s="618"/>
      <c r="Y84" s="618"/>
      <c r="Z84" s="618"/>
      <c r="AA84" s="618"/>
      <c r="AB84" s="618"/>
      <c r="AC84" s="618"/>
      <c r="AD84" s="618"/>
      <c r="AE84" s="618"/>
      <c r="AF84" s="618"/>
      <c r="AG84" s="618"/>
      <c r="AH84" s="618"/>
      <c r="AI84" s="618"/>
      <c r="AJ84" s="618"/>
      <c r="AK84" s="618"/>
      <c r="AL84" s="618"/>
      <c r="AM84" s="3"/>
    </row>
    <row r="85" spans="1:39" ht="14.25" customHeight="1" x14ac:dyDescent="0.45">
      <c r="A85" s="618"/>
      <c r="B85" s="215"/>
      <c r="C85" s="220" t="s">
        <v>252</v>
      </c>
      <c r="D85" s="221" t="s">
        <v>245</v>
      </c>
      <c r="E85" s="252">
        <f>'Copia de Electricidad'!D86/1000</f>
        <v>1.2E-2</v>
      </c>
      <c r="F85" s="252">
        <f>'Copia de Electricidad'!E86/1000</f>
        <v>1.2E-2</v>
      </c>
      <c r="G85" s="252">
        <f>'Copia de Electricidad'!F86/1000</f>
        <v>1.2E-2</v>
      </c>
      <c r="H85" s="253">
        <f>'Copia de Electricidad'!G86/1000</f>
        <v>1.2E-2</v>
      </c>
      <c r="I85" s="618"/>
      <c r="J85" s="618"/>
      <c r="K85" s="618"/>
      <c r="L85" s="618"/>
      <c r="M85" s="618"/>
      <c r="N85" s="618"/>
      <c r="O85" s="618"/>
      <c r="P85" s="618"/>
      <c r="Q85" s="618"/>
      <c r="R85" s="618"/>
      <c r="S85" s="618"/>
      <c r="T85" s="618"/>
      <c r="U85" s="618"/>
      <c r="V85" s="618"/>
      <c r="W85" s="618"/>
      <c r="X85" s="618"/>
      <c r="Y85" s="618"/>
      <c r="Z85" s="618"/>
      <c r="AA85" s="618"/>
      <c r="AB85" s="618"/>
      <c r="AC85" s="618"/>
      <c r="AD85" s="618"/>
      <c r="AE85" s="618"/>
      <c r="AF85" s="618"/>
      <c r="AG85" s="618"/>
      <c r="AH85" s="618"/>
      <c r="AI85" s="618"/>
      <c r="AJ85" s="618"/>
      <c r="AK85" s="618"/>
      <c r="AL85" s="618"/>
      <c r="AM85" s="3"/>
    </row>
    <row r="86" spans="1:39" ht="14.25" customHeight="1" x14ac:dyDescent="0.45">
      <c r="A86" s="618"/>
      <c r="B86" s="215"/>
      <c r="C86" s="220"/>
      <c r="D86" s="224" t="s">
        <v>253</v>
      </c>
      <c r="E86" s="244"/>
      <c r="F86" s="244"/>
      <c r="G86" s="244"/>
      <c r="H86" s="245"/>
      <c r="I86" s="618"/>
      <c r="J86" s="618"/>
      <c r="K86" s="618"/>
      <c r="L86" s="618"/>
      <c r="M86" s="618"/>
      <c r="N86" s="618"/>
      <c r="O86" s="618"/>
      <c r="P86" s="618"/>
      <c r="Q86" s="618"/>
      <c r="R86" s="618"/>
      <c r="S86" s="618"/>
      <c r="T86" s="618"/>
      <c r="U86" s="618"/>
      <c r="V86" s="618"/>
      <c r="W86" s="618"/>
      <c r="X86" s="618"/>
      <c r="Y86" s="618"/>
      <c r="Z86" s="618"/>
      <c r="AA86" s="618"/>
      <c r="AB86" s="618"/>
      <c r="AC86" s="618"/>
      <c r="AD86" s="618"/>
      <c r="AE86" s="618"/>
      <c r="AF86" s="618"/>
      <c r="AG86" s="618"/>
      <c r="AH86" s="618"/>
      <c r="AI86" s="618"/>
      <c r="AJ86" s="618"/>
      <c r="AK86" s="618"/>
      <c r="AL86" s="618"/>
      <c r="AM86" s="3"/>
    </row>
    <row r="87" spans="1:39" ht="14.25" customHeight="1" x14ac:dyDescent="0.45">
      <c r="A87" s="618"/>
      <c r="B87" s="215"/>
      <c r="C87" s="220"/>
      <c r="D87" s="243" t="s">
        <v>59</v>
      </c>
      <c r="E87" s="218">
        <f>SUM(E50+E52+E60+E63)</f>
        <v>1.3063868000000001</v>
      </c>
      <c r="F87" s="218">
        <f>SUM(F50+F52+F60+F63)</f>
        <v>1.3670987999999999</v>
      </c>
      <c r="G87" s="218">
        <f>SUM(G50+G52+G60+G63)</f>
        <v>1.3720398000000003</v>
      </c>
      <c r="H87" s="235">
        <f>SUM(H50+H52+H60+H63)</f>
        <v>1.3765731400000001</v>
      </c>
      <c r="I87" s="618"/>
      <c r="J87" s="618"/>
      <c r="K87" s="618"/>
      <c r="L87" s="618"/>
      <c r="M87" s="618"/>
      <c r="N87" s="618"/>
      <c r="O87" s="618"/>
      <c r="P87" s="618"/>
      <c r="Q87" s="618"/>
      <c r="R87" s="618"/>
      <c r="S87" s="618"/>
      <c r="T87" s="618"/>
      <c r="U87" s="618"/>
      <c r="V87" s="618"/>
      <c r="W87" s="618"/>
      <c r="X87" s="618"/>
      <c r="Y87" s="618"/>
      <c r="Z87" s="618"/>
      <c r="AA87" s="618"/>
      <c r="AB87" s="618"/>
      <c r="AC87" s="618"/>
      <c r="AD87" s="618"/>
      <c r="AE87" s="618"/>
      <c r="AF87" s="618"/>
      <c r="AG87" s="618"/>
      <c r="AH87" s="618"/>
      <c r="AI87" s="618"/>
      <c r="AJ87" s="618"/>
      <c r="AK87" s="618"/>
      <c r="AL87" s="618"/>
      <c r="AM87" s="3"/>
    </row>
    <row r="88" spans="1:39" ht="14.25" customHeight="1" x14ac:dyDescent="0.45">
      <c r="A88" s="618"/>
      <c r="B88" s="215"/>
      <c r="C88" s="220"/>
      <c r="D88" s="243"/>
      <c r="E88" s="218"/>
      <c r="F88" s="218"/>
      <c r="G88" s="218"/>
      <c r="H88" s="242"/>
      <c r="I88" s="618"/>
      <c r="J88" s="618"/>
      <c r="K88" s="618"/>
      <c r="L88" s="618"/>
      <c r="M88" s="618"/>
      <c r="N88" s="618"/>
      <c r="O88" s="618"/>
      <c r="P88" s="618"/>
      <c r="Q88" s="618"/>
      <c r="R88" s="618"/>
      <c r="S88" s="618"/>
      <c r="T88" s="618"/>
      <c r="U88" s="618"/>
      <c r="V88" s="618"/>
      <c r="W88" s="618"/>
      <c r="X88" s="618"/>
      <c r="Y88" s="618"/>
      <c r="Z88" s="618"/>
      <c r="AA88" s="618"/>
      <c r="AB88" s="618"/>
      <c r="AC88" s="618"/>
      <c r="AD88" s="618"/>
      <c r="AE88" s="618"/>
      <c r="AF88" s="618"/>
      <c r="AG88" s="618"/>
      <c r="AH88" s="618"/>
      <c r="AI88" s="618"/>
      <c r="AJ88" s="618"/>
      <c r="AK88" s="618"/>
      <c r="AL88" s="618"/>
      <c r="AM88" s="3"/>
    </row>
    <row r="89" spans="1:39" ht="14.25" customHeight="1" x14ac:dyDescent="0.45">
      <c r="A89" s="618"/>
      <c r="B89" s="215"/>
      <c r="C89" s="220"/>
      <c r="D89" s="243" t="s">
        <v>254</v>
      </c>
      <c r="E89" s="222">
        <v>2018</v>
      </c>
      <c r="F89" s="222">
        <v>2019</v>
      </c>
      <c r="G89" s="222">
        <v>2020</v>
      </c>
      <c r="H89" s="223">
        <v>2021</v>
      </c>
      <c r="I89" s="618"/>
      <c r="J89" s="618"/>
      <c r="K89" s="618"/>
      <c r="L89" s="618"/>
      <c r="M89" s="618"/>
      <c r="N89" s="618"/>
      <c r="O89" s="618"/>
      <c r="P89" s="618"/>
      <c r="Q89" s="618"/>
      <c r="R89" s="618"/>
      <c r="S89" s="618"/>
      <c r="T89" s="618"/>
      <c r="U89" s="618"/>
      <c r="V89" s="618"/>
      <c r="W89" s="618"/>
      <c r="X89" s="618"/>
      <c r="Y89" s="618"/>
      <c r="Z89" s="618"/>
      <c r="AA89" s="618"/>
      <c r="AB89" s="618"/>
      <c r="AC89" s="618"/>
      <c r="AD89" s="618"/>
      <c r="AE89" s="618"/>
      <c r="AF89" s="618"/>
      <c r="AG89" s="618"/>
      <c r="AH89" s="618"/>
      <c r="AI89" s="618"/>
      <c r="AJ89" s="618"/>
      <c r="AK89" s="618"/>
      <c r="AL89" s="618"/>
      <c r="AM89" s="3"/>
    </row>
    <row r="90" spans="1:39" ht="14.25" customHeight="1" x14ac:dyDescent="0.45">
      <c r="A90" s="618"/>
      <c r="B90" s="215"/>
      <c r="C90" s="220"/>
      <c r="D90" s="224" t="s">
        <v>220</v>
      </c>
      <c r="E90" s="226">
        <f>'Copia de Electricidad'!D91/1000</f>
        <v>0.14430000000000001</v>
      </c>
      <c r="F90" s="226">
        <f>'Copia de Electricidad'!E91/1000</f>
        <v>0.14430000000000001</v>
      </c>
      <c r="G90" s="226">
        <f>'Copia de Electricidad'!F91/1000</f>
        <v>0.14430000000000001</v>
      </c>
      <c r="H90" s="256">
        <f>'Copia de Electricidad'!G91/1000</f>
        <v>0.14430000000000001</v>
      </c>
      <c r="I90" s="618"/>
      <c r="J90" s="618"/>
      <c r="K90" s="618"/>
      <c r="L90" s="618"/>
      <c r="M90" s="618"/>
      <c r="N90" s="618"/>
      <c r="O90" s="618"/>
      <c r="P90" s="618"/>
      <c r="Q90" s="618"/>
      <c r="R90" s="618"/>
      <c r="S90" s="618"/>
      <c r="T90" s="618"/>
      <c r="U90" s="618"/>
      <c r="V90" s="618"/>
      <c r="W90" s="618"/>
      <c r="X90" s="618"/>
      <c r="Y90" s="618"/>
      <c r="Z90" s="618"/>
      <c r="AA90" s="618"/>
      <c r="AB90" s="618"/>
      <c r="AC90" s="618"/>
      <c r="AD90" s="618"/>
      <c r="AE90" s="618"/>
      <c r="AF90" s="618"/>
      <c r="AG90" s="618"/>
      <c r="AH90" s="618"/>
      <c r="AI90" s="618"/>
      <c r="AJ90" s="618"/>
      <c r="AK90" s="618"/>
      <c r="AL90" s="618"/>
      <c r="AM90" s="3"/>
    </row>
    <row r="91" spans="1:39" ht="14.25" customHeight="1" x14ac:dyDescent="0.45">
      <c r="A91" s="618"/>
      <c r="B91" s="215"/>
      <c r="C91" s="220"/>
      <c r="D91" s="224" t="s">
        <v>255</v>
      </c>
      <c r="E91" s="226">
        <f>'Copia de Electricidad'!D92/1000</f>
        <v>2.1149999999999999E-2</v>
      </c>
      <c r="F91" s="226">
        <f>'Copia de Electricidad'!E92/1000</f>
        <v>2.1149999999999999E-2</v>
      </c>
      <c r="G91" s="226">
        <f>'Copia de Electricidad'!F92/1000</f>
        <v>2.1149999999999999E-2</v>
      </c>
      <c r="H91" s="256">
        <f>'Copia de Electricidad'!G92/1000</f>
        <v>2.1149999999999999E-2</v>
      </c>
      <c r="I91" s="618"/>
      <c r="J91" s="618"/>
      <c r="K91" s="618"/>
      <c r="L91" s="618"/>
      <c r="M91" s="618"/>
      <c r="N91" s="618"/>
      <c r="O91" s="618"/>
      <c r="P91" s="618"/>
      <c r="Q91" s="618"/>
      <c r="R91" s="618"/>
      <c r="S91" s="618"/>
      <c r="T91" s="618"/>
      <c r="U91" s="618"/>
      <c r="V91" s="618"/>
      <c r="W91" s="618"/>
      <c r="X91" s="618"/>
      <c r="Y91" s="618"/>
      <c r="Z91" s="618"/>
      <c r="AA91" s="618"/>
      <c r="AB91" s="618"/>
      <c r="AC91" s="618"/>
      <c r="AD91" s="618"/>
      <c r="AE91" s="618"/>
      <c r="AF91" s="618"/>
      <c r="AG91" s="618"/>
      <c r="AH91" s="618"/>
      <c r="AI91" s="618"/>
      <c r="AJ91" s="618"/>
      <c r="AK91" s="618"/>
      <c r="AL91" s="618"/>
      <c r="AM91" s="3"/>
    </row>
    <row r="92" spans="1:39" ht="14.25" customHeight="1" x14ac:dyDescent="0.45">
      <c r="A92" s="618"/>
      <c r="B92" s="215"/>
      <c r="C92" s="220"/>
      <c r="D92" s="224" t="s">
        <v>256</v>
      </c>
      <c r="E92" s="226">
        <f>'Copia de Electricidad'!D93/1000</f>
        <v>5.0664039899999995</v>
      </c>
      <c r="F92" s="226">
        <f>'Copia de Electricidad'!E93/1000</f>
        <v>5.0764039900000002</v>
      </c>
      <c r="G92" s="226">
        <f>'Copia de Electricidad'!F93/1000</f>
        <v>5.0987459900000003</v>
      </c>
      <c r="H92" s="256">
        <f>'Copia de Electricidad'!G93/1000</f>
        <v>5.1068459900000001</v>
      </c>
      <c r="I92" s="618"/>
      <c r="J92" s="618"/>
      <c r="K92" s="618"/>
      <c r="L92" s="618"/>
      <c r="M92" s="618"/>
      <c r="N92" s="618"/>
      <c r="O92" s="618"/>
      <c r="P92" s="618"/>
      <c r="Q92" s="618"/>
      <c r="R92" s="618"/>
      <c r="S92" s="618"/>
      <c r="T92" s="618"/>
      <c r="U92" s="618"/>
      <c r="V92" s="618"/>
      <c r="W92" s="618"/>
      <c r="X92" s="618"/>
      <c r="Y92" s="618"/>
      <c r="Z92" s="618"/>
      <c r="AA92" s="618"/>
      <c r="AB92" s="618"/>
      <c r="AC92" s="618"/>
      <c r="AD92" s="618"/>
      <c r="AE92" s="618"/>
      <c r="AF92" s="618"/>
      <c r="AG92" s="618"/>
      <c r="AH92" s="618"/>
      <c r="AI92" s="618"/>
      <c r="AJ92" s="618"/>
      <c r="AK92" s="618"/>
      <c r="AL92" s="618"/>
      <c r="AM92" s="3"/>
    </row>
    <row r="93" spans="1:39" ht="14.25" customHeight="1" x14ac:dyDescent="0.45">
      <c r="A93" s="618"/>
      <c r="B93" s="215"/>
      <c r="C93" s="220"/>
      <c r="D93" s="228" t="s">
        <v>173</v>
      </c>
      <c r="E93" s="230">
        <f>'Copia de Electricidad'!D94/1000</f>
        <v>1.7332000000000001</v>
      </c>
      <c r="F93" s="230">
        <f>'Copia de Electricidad'!E94/1000</f>
        <v>1.7332000000000001</v>
      </c>
      <c r="G93" s="230">
        <f>'Copia de Electricidad'!F94/1000</f>
        <v>1.7332000000000001</v>
      </c>
      <c r="H93" s="257">
        <f>'Copia de Electricidad'!G94/1000</f>
        <v>1.7332000000000001</v>
      </c>
      <c r="I93" s="618"/>
      <c r="J93" s="618"/>
      <c r="K93" s="618"/>
      <c r="L93" s="618"/>
      <c r="M93" s="618"/>
      <c r="N93" s="618"/>
      <c r="O93" s="618"/>
      <c r="P93" s="618"/>
      <c r="Q93" s="618"/>
      <c r="R93" s="618"/>
      <c r="S93" s="618"/>
      <c r="T93" s="618"/>
      <c r="U93" s="618"/>
      <c r="V93" s="618"/>
      <c r="W93" s="618"/>
      <c r="X93" s="618"/>
      <c r="Y93" s="618"/>
      <c r="Z93" s="618"/>
      <c r="AA93" s="618"/>
      <c r="AB93" s="618"/>
      <c r="AC93" s="618"/>
      <c r="AD93" s="618"/>
      <c r="AE93" s="618"/>
      <c r="AF93" s="618"/>
      <c r="AG93" s="618"/>
      <c r="AH93" s="618"/>
      <c r="AI93" s="618"/>
      <c r="AJ93" s="618"/>
      <c r="AK93" s="618"/>
      <c r="AL93" s="618"/>
      <c r="AM93" s="3"/>
    </row>
    <row r="94" spans="1:39" ht="14.25" customHeight="1" x14ac:dyDescent="0.45">
      <c r="A94" s="618"/>
      <c r="B94" s="215"/>
      <c r="C94" s="220"/>
      <c r="D94" s="228" t="s">
        <v>176</v>
      </c>
      <c r="E94" s="230">
        <f>'Copia de Electricidad'!D95/1000</f>
        <v>3.3332039899999999</v>
      </c>
      <c r="F94" s="230">
        <f>'Copia de Electricidad'!E95/1000</f>
        <v>3.3432039900000001</v>
      </c>
      <c r="G94" s="230">
        <f>'Copia de Electricidad'!F95/1000</f>
        <v>3.3655459900000002</v>
      </c>
      <c r="H94" s="257">
        <f>'Copia de Electricidad'!G95/1000</f>
        <v>3.37364599</v>
      </c>
      <c r="I94" s="618"/>
      <c r="J94" s="618"/>
      <c r="K94" s="618"/>
      <c r="L94" s="618"/>
      <c r="M94" s="618"/>
      <c r="N94" s="618"/>
      <c r="O94" s="618"/>
      <c r="P94" s="618"/>
      <c r="Q94" s="618"/>
      <c r="R94" s="618"/>
      <c r="S94" s="618"/>
      <c r="T94" s="618"/>
      <c r="U94" s="618"/>
      <c r="V94" s="618"/>
      <c r="W94" s="618"/>
      <c r="X94" s="618"/>
      <c r="Y94" s="618"/>
      <c r="Z94" s="618"/>
      <c r="AA94" s="618"/>
      <c r="AB94" s="618"/>
      <c r="AC94" s="618"/>
      <c r="AD94" s="618"/>
      <c r="AE94" s="618"/>
      <c r="AF94" s="618"/>
      <c r="AG94" s="618"/>
      <c r="AH94" s="618"/>
      <c r="AI94" s="618"/>
      <c r="AJ94" s="618"/>
      <c r="AK94" s="618"/>
      <c r="AL94" s="618"/>
      <c r="AM94" s="3"/>
    </row>
    <row r="95" spans="1:39" ht="14.25" customHeight="1" x14ac:dyDescent="0.45">
      <c r="A95" s="618"/>
      <c r="B95" s="215"/>
      <c r="C95" s="220"/>
      <c r="D95" s="224" t="s">
        <v>257</v>
      </c>
      <c r="E95" s="226">
        <f>'Copia de Electricidad'!D96/1000</f>
        <v>2.7629839999999992E-2</v>
      </c>
      <c r="F95" s="226">
        <f>'Copia de Electricidad'!E96/1000</f>
        <v>2.7629839999999992E-2</v>
      </c>
      <c r="G95" s="226">
        <f>'Copia de Electricidad'!F96/1000</f>
        <v>2.7629839999999992E-2</v>
      </c>
      <c r="H95" s="256">
        <f>'Copia de Electricidad'!G96/1000</f>
        <v>2.7653179999999992E-2</v>
      </c>
      <c r="I95" s="618"/>
      <c r="J95" s="618"/>
      <c r="K95" s="618"/>
      <c r="L95" s="618"/>
      <c r="M95" s="618"/>
      <c r="N95" s="618"/>
      <c r="O95" s="618"/>
      <c r="P95" s="618"/>
      <c r="Q95" s="618"/>
      <c r="R95" s="618"/>
      <c r="S95" s="618"/>
      <c r="T95" s="618"/>
      <c r="U95" s="618"/>
      <c r="V95" s="618"/>
      <c r="W95" s="618"/>
      <c r="X95" s="618"/>
      <c r="Y95" s="618"/>
      <c r="Z95" s="618"/>
      <c r="AA95" s="618"/>
      <c r="AB95" s="618"/>
      <c r="AC95" s="618"/>
      <c r="AD95" s="618"/>
      <c r="AE95" s="618"/>
      <c r="AF95" s="618"/>
      <c r="AG95" s="618"/>
      <c r="AH95" s="618"/>
      <c r="AI95" s="618"/>
      <c r="AJ95" s="618"/>
      <c r="AK95" s="618"/>
      <c r="AL95" s="618"/>
      <c r="AM95" s="3"/>
    </row>
    <row r="96" spans="1:39" ht="14.25" customHeight="1" x14ac:dyDescent="0.45">
      <c r="A96" s="618"/>
      <c r="B96" s="215"/>
      <c r="C96" s="220"/>
      <c r="D96" s="224" t="s">
        <v>258</v>
      </c>
      <c r="E96" s="226">
        <f>'Copia de Electricidad'!D97/1000</f>
        <v>3.3951583799999998</v>
      </c>
      <c r="F96" s="226">
        <f>'Copia de Electricidad'!E97/1000</f>
        <v>3.4082703799999998</v>
      </c>
      <c r="G96" s="226">
        <f>'Copia de Electricidad'!F97/1000</f>
        <v>3.4132113800000004</v>
      </c>
      <c r="H96" s="256">
        <f>'Copia de Electricidad'!G97/1000</f>
        <v>3.4261413800000002</v>
      </c>
      <c r="I96" s="618"/>
      <c r="J96" s="618"/>
      <c r="K96" s="618"/>
      <c r="L96" s="618"/>
      <c r="M96" s="618"/>
      <c r="N96" s="618"/>
      <c r="O96" s="618"/>
      <c r="P96" s="618"/>
      <c r="Q96" s="618"/>
      <c r="R96" s="618"/>
      <c r="S96" s="618"/>
      <c r="T96" s="618"/>
      <c r="U96" s="618"/>
      <c r="V96" s="618"/>
      <c r="W96" s="618"/>
      <c r="X96" s="618"/>
      <c r="Y96" s="618"/>
      <c r="Z96" s="618"/>
      <c r="AA96" s="618"/>
      <c r="AB96" s="618"/>
      <c r="AC96" s="618"/>
      <c r="AD96" s="618"/>
      <c r="AE96" s="618"/>
      <c r="AF96" s="618"/>
      <c r="AG96" s="618"/>
      <c r="AH96" s="618"/>
      <c r="AI96" s="618"/>
      <c r="AJ96" s="618"/>
      <c r="AK96" s="618"/>
      <c r="AL96" s="618"/>
      <c r="AM96" s="3"/>
    </row>
    <row r="97" spans="1:57" ht="14.25" customHeight="1" x14ac:dyDescent="0.45">
      <c r="A97" s="618"/>
      <c r="B97" s="215"/>
      <c r="C97" s="220"/>
      <c r="D97" s="228" t="s">
        <v>180</v>
      </c>
      <c r="E97" s="230">
        <f>'Copia de Electricidad'!D98/1000</f>
        <v>2.0114443799999999</v>
      </c>
      <c r="F97" s="230">
        <f>'Copia de Electricidad'!E98/1000</f>
        <v>2.0247963800000002</v>
      </c>
      <c r="G97" s="230">
        <f>'Copia de Electricidad'!F98/1000</f>
        <v>2.0297373800000003</v>
      </c>
      <c r="H97" s="257">
        <f>'Copia de Electricidad'!G98/1000</f>
        <v>2.0206673799999999</v>
      </c>
      <c r="I97" s="618"/>
      <c r="J97" s="618"/>
      <c r="K97" s="618"/>
      <c r="L97" s="618"/>
      <c r="M97" s="618"/>
      <c r="N97" s="618"/>
      <c r="O97" s="618"/>
      <c r="P97" s="618"/>
      <c r="Q97" s="618"/>
      <c r="R97" s="618"/>
      <c r="S97" s="618"/>
      <c r="T97" s="618"/>
      <c r="U97" s="618"/>
      <c r="V97" s="618"/>
      <c r="W97" s="618"/>
      <c r="X97" s="618"/>
      <c r="Y97" s="618"/>
      <c r="Z97" s="618"/>
      <c r="AA97" s="618"/>
      <c r="AB97" s="618"/>
      <c r="AC97" s="618"/>
      <c r="AD97" s="618"/>
      <c r="AE97" s="618"/>
      <c r="AF97" s="618"/>
      <c r="AG97" s="618"/>
      <c r="AH97" s="618"/>
      <c r="AI97" s="618"/>
      <c r="AJ97" s="618"/>
      <c r="AK97" s="618"/>
      <c r="AL97" s="618"/>
      <c r="AM97" s="3"/>
      <c r="AN97" s="3"/>
      <c r="AO97" s="3"/>
      <c r="AP97" s="3"/>
      <c r="AQ97" s="3"/>
      <c r="AR97" s="3"/>
      <c r="AS97" s="3"/>
      <c r="AT97" s="3"/>
      <c r="AU97" s="3"/>
      <c r="AV97" s="3"/>
      <c r="AW97" s="3"/>
      <c r="AX97" s="3"/>
      <c r="AY97" s="3"/>
      <c r="AZ97" s="3"/>
      <c r="BA97" s="3"/>
      <c r="BB97" s="3"/>
      <c r="BC97" s="3"/>
      <c r="BD97" s="3"/>
      <c r="BE97" s="3"/>
    </row>
    <row r="98" spans="1:57" ht="14.25" customHeight="1" x14ac:dyDescent="0.45">
      <c r="A98" s="618"/>
      <c r="B98" s="215"/>
      <c r="C98" s="220"/>
      <c r="D98" s="228" t="s">
        <v>188</v>
      </c>
      <c r="E98" s="230">
        <f>'Copia de Electricidad'!D99/1000</f>
        <v>0.92184899999999992</v>
      </c>
      <c r="F98" s="230">
        <f>'Copia de Electricidad'!E99/1000</f>
        <v>0.92184899999999992</v>
      </c>
      <c r="G98" s="230">
        <f>'Copia de Electricidad'!F99/1000</f>
        <v>0.92184899999999992</v>
      </c>
      <c r="H98" s="257">
        <f>'Copia de Electricidad'!G99/1000</f>
        <v>0.94384899999999994</v>
      </c>
      <c r="I98" s="618"/>
      <c r="J98" s="618"/>
      <c r="K98" s="618"/>
      <c r="L98" s="618"/>
      <c r="M98" s="618"/>
      <c r="N98" s="618"/>
      <c r="O98" s="618"/>
      <c r="P98" s="618"/>
      <c r="Q98" s="618"/>
      <c r="R98" s="618"/>
      <c r="S98" s="618"/>
      <c r="T98" s="618"/>
      <c r="U98" s="618"/>
      <c r="V98" s="618"/>
      <c r="W98" s="618"/>
      <c r="X98" s="618"/>
      <c r="Y98" s="618"/>
      <c r="Z98" s="618"/>
      <c r="AA98" s="618"/>
      <c r="AB98" s="618"/>
      <c r="AC98" s="618"/>
      <c r="AD98" s="618"/>
      <c r="AE98" s="618"/>
      <c r="AF98" s="618"/>
      <c r="AG98" s="618"/>
      <c r="AH98" s="618"/>
      <c r="AI98" s="618"/>
      <c r="AJ98" s="618"/>
      <c r="AK98" s="618"/>
      <c r="AL98" s="618"/>
      <c r="AM98" s="3"/>
      <c r="AN98" s="3"/>
      <c r="AO98" s="3"/>
      <c r="AP98" s="3"/>
      <c r="AQ98" s="3"/>
      <c r="AR98" s="3"/>
      <c r="AS98" s="3"/>
      <c r="AT98" s="3"/>
      <c r="AU98" s="3"/>
      <c r="AV98" s="3"/>
      <c r="AW98" s="3"/>
      <c r="AX98" s="3"/>
      <c r="AY98" s="3"/>
      <c r="AZ98" s="3"/>
      <c r="BA98" s="3"/>
      <c r="BB98" s="3"/>
      <c r="BC98" s="3"/>
      <c r="BD98" s="3"/>
      <c r="BE98" s="3"/>
    </row>
    <row r="99" spans="1:57" ht="14.25" customHeight="1" x14ac:dyDescent="0.45">
      <c r="A99" s="618"/>
      <c r="B99" s="215"/>
      <c r="C99" s="220"/>
      <c r="D99" s="228" t="s">
        <v>193</v>
      </c>
      <c r="E99" s="230">
        <f>'Copia de Electricidad'!D100/1000</f>
        <v>0.46186500000000003</v>
      </c>
      <c r="F99" s="230">
        <f>'Copia de Electricidad'!E100/1000</f>
        <v>0.46162500000000001</v>
      </c>
      <c r="G99" s="230">
        <f>'Copia de Electricidad'!F100/1000</f>
        <v>0.46162500000000001</v>
      </c>
      <c r="H99" s="257">
        <f>'Copia de Electricidad'!G100/1000</f>
        <v>0.46162500000000001</v>
      </c>
      <c r="I99" s="618"/>
      <c r="J99" s="618"/>
      <c r="K99" s="618"/>
      <c r="L99" s="618"/>
      <c r="M99" s="618"/>
      <c r="N99" s="618"/>
      <c r="O99" s="618"/>
      <c r="P99" s="618"/>
      <c r="Q99" s="618"/>
      <c r="R99" s="618"/>
      <c r="S99" s="618"/>
      <c r="T99" s="618"/>
      <c r="U99" s="618"/>
      <c r="V99" s="618"/>
      <c r="W99" s="618"/>
      <c r="X99" s="618"/>
      <c r="Y99" s="618"/>
      <c r="Z99" s="618"/>
      <c r="AA99" s="618"/>
      <c r="AB99" s="618"/>
      <c r="AC99" s="618"/>
      <c r="AD99" s="618"/>
      <c r="AE99" s="618"/>
      <c r="AF99" s="618"/>
      <c r="AG99" s="618"/>
      <c r="AH99" s="618"/>
      <c r="AI99" s="618"/>
      <c r="AJ99" s="618"/>
      <c r="AK99" s="618"/>
      <c r="AL99" s="618"/>
      <c r="AM99" s="3"/>
      <c r="AN99" s="3"/>
      <c r="AO99" s="3"/>
      <c r="AP99" s="3"/>
      <c r="AQ99" s="3"/>
      <c r="AR99" s="3"/>
      <c r="AS99" s="3"/>
      <c r="AT99" s="3"/>
      <c r="AU99" s="3"/>
      <c r="AV99" s="3"/>
      <c r="AW99" s="3"/>
      <c r="AX99" s="3"/>
      <c r="AY99" s="3"/>
      <c r="AZ99" s="3"/>
      <c r="BA99" s="3"/>
      <c r="BB99" s="3"/>
      <c r="BC99" s="3"/>
      <c r="BD99" s="3"/>
      <c r="BE99" s="3"/>
    </row>
    <row r="100" spans="1:57" ht="14.25" customHeight="1" x14ac:dyDescent="0.45">
      <c r="A100" s="618"/>
      <c r="B100" s="215"/>
      <c r="C100" s="220"/>
      <c r="D100" s="224" t="s">
        <v>253</v>
      </c>
      <c r="E100" s="226">
        <f>'Copia de Electricidad'!D101/1000</f>
        <v>7.26E-3</v>
      </c>
      <c r="F100" s="226">
        <f>'Copia de Electricidad'!E101/1000</f>
        <v>7.26E-3</v>
      </c>
      <c r="G100" s="226">
        <f>'Copia de Electricidad'!F101/1000</f>
        <v>7.26E-3</v>
      </c>
      <c r="H100" s="256">
        <f>'Copia de Electricidad'!G101/1000</f>
        <v>8.320000000000001E-3</v>
      </c>
      <c r="I100" s="618"/>
      <c r="J100" s="618"/>
      <c r="K100" s="618"/>
      <c r="L100" s="618"/>
      <c r="M100" s="618"/>
      <c r="N100" s="618"/>
      <c r="O100" s="618"/>
      <c r="P100" s="618"/>
      <c r="Q100" s="618"/>
      <c r="R100" s="618"/>
      <c r="S100" s="618"/>
      <c r="T100" s="618"/>
      <c r="U100" s="618"/>
      <c r="V100" s="618"/>
      <c r="W100" s="618"/>
      <c r="X100" s="618"/>
      <c r="Y100" s="618"/>
      <c r="Z100" s="618"/>
      <c r="AA100" s="618"/>
      <c r="AB100" s="618"/>
      <c r="AC100" s="618"/>
      <c r="AD100" s="618"/>
      <c r="AE100" s="618"/>
      <c r="AF100" s="618"/>
      <c r="AG100" s="618"/>
      <c r="AH100" s="618"/>
      <c r="AI100" s="618"/>
      <c r="AJ100" s="618"/>
      <c r="AK100" s="618"/>
      <c r="AL100" s="618"/>
      <c r="AM100" s="3"/>
      <c r="AN100" s="3"/>
      <c r="AO100" s="3"/>
      <c r="AP100" s="3"/>
      <c r="AQ100" s="3"/>
      <c r="AR100" s="3"/>
      <c r="AS100" s="3"/>
      <c r="AT100" s="3"/>
      <c r="AU100" s="3"/>
      <c r="AV100" s="3"/>
      <c r="AW100" s="3"/>
      <c r="AX100" s="3"/>
      <c r="AY100" s="3"/>
      <c r="AZ100" s="3"/>
      <c r="BA100" s="3"/>
      <c r="BB100" s="3"/>
      <c r="BC100" s="3"/>
      <c r="BD100" s="3"/>
      <c r="BE100" s="3"/>
    </row>
    <row r="101" spans="1:57" ht="14.25" customHeight="1" x14ac:dyDescent="0.45">
      <c r="A101" s="618"/>
      <c r="B101" s="258"/>
      <c r="C101" s="259"/>
      <c r="D101" s="260" t="s">
        <v>59</v>
      </c>
      <c r="E101" s="261">
        <f>E90+E91+E92+E95+E96+E100</f>
        <v>8.6619022099999992</v>
      </c>
      <c r="F101" s="261">
        <f>F90+F91+F92+F95+F96+F100</f>
        <v>8.6850142100000003</v>
      </c>
      <c r="G101" s="261">
        <f>G90+G91+G92+G95+G96+G100</f>
        <v>8.7122972100000009</v>
      </c>
      <c r="H101" s="262">
        <f>H90+H91+H92+H95+H96+H100</f>
        <v>8.7344105499999998</v>
      </c>
      <c r="I101" s="618"/>
      <c r="J101" s="618"/>
      <c r="K101" s="618"/>
      <c r="L101" s="618"/>
      <c r="M101" s="618"/>
      <c r="N101" s="618"/>
      <c r="O101" s="618"/>
      <c r="P101" s="618"/>
      <c r="Q101" s="618"/>
      <c r="R101" s="618"/>
      <c r="S101" s="618"/>
      <c r="T101" s="618"/>
      <c r="U101" s="618"/>
      <c r="V101" s="618"/>
      <c r="W101" s="618"/>
      <c r="X101" s="618"/>
      <c r="Y101" s="618"/>
      <c r="Z101" s="618"/>
      <c r="AA101" s="618"/>
      <c r="AB101" s="618"/>
      <c r="AC101" s="618"/>
      <c r="AD101" s="618"/>
      <c r="AE101" s="618"/>
      <c r="AF101" s="618"/>
      <c r="AG101" s="618"/>
      <c r="AH101" s="618"/>
      <c r="AI101" s="618"/>
      <c r="AJ101" s="618"/>
      <c r="AK101" s="618"/>
      <c r="AL101" s="618"/>
      <c r="AM101" s="3"/>
      <c r="AN101" s="3"/>
      <c r="AO101" s="3"/>
      <c r="AP101" s="3"/>
      <c r="AQ101" s="3"/>
      <c r="AR101" s="3"/>
      <c r="AS101" s="3"/>
      <c r="AT101" s="3"/>
      <c r="AU101" s="3"/>
      <c r="AV101" s="3"/>
      <c r="AW101" s="3"/>
      <c r="AX101" s="3"/>
      <c r="AY101" s="3"/>
      <c r="AZ101" s="3"/>
      <c r="BA101" s="3"/>
      <c r="BB101" s="3"/>
      <c r="BC101" s="3"/>
      <c r="BD101" s="3"/>
      <c r="BE101" s="3"/>
    </row>
    <row r="102" spans="1:57" ht="14.25" customHeight="1" x14ac:dyDescent="0.45">
      <c r="A102" s="618"/>
      <c r="B102" s="618"/>
      <c r="C102" s="618"/>
      <c r="D102" s="618"/>
      <c r="E102" s="618"/>
      <c r="F102" s="618"/>
      <c r="G102" s="618"/>
      <c r="H102" s="618"/>
      <c r="I102" s="618"/>
      <c r="J102" s="618"/>
      <c r="K102" s="618"/>
      <c r="L102" s="3"/>
      <c r="M102" s="3"/>
      <c r="N102" s="618"/>
      <c r="O102" s="618"/>
      <c r="P102" s="618"/>
      <c r="Q102" s="618"/>
      <c r="R102" s="618"/>
      <c r="S102" s="618"/>
      <c r="T102" s="618"/>
      <c r="U102" s="618"/>
      <c r="V102" s="618"/>
      <c r="W102" s="618"/>
      <c r="X102" s="618"/>
      <c r="Y102" s="618"/>
      <c r="Z102" s="618"/>
      <c r="AA102" s="618"/>
      <c r="AB102" s="618"/>
      <c r="AC102" s="618"/>
      <c r="AD102" s="618"/>
      <c r="AE102" s="618"/>
      <c r="AF102" s="618"/>
      <c r="AG102" s="618"/>
      <c r="AH102" s="618"/>
      <c r="AI102" s="618"/>
      <c r="AJ102" s="618"/>
      <c r="AK102" s="618"/>
      <c r="AL102" s="618"/>
      <c r="AM102" s="3"/>
      <c r="AN102" s="3"/>
      <c r="AO102" s="3"/>
      <c r="AP102" s="3"/>
      <c r="AQ102" s="3"/>
      <c r="AR102" s="3"/>
      <c r="AS102" s="3"/>
      <c r="AT102" s="3"/>
      <c r="AU102" s="3"/>
      <c r="AV102" s="3"/>
      <c r="AW102" s="3"/>
      <c r="AX102" s="3"/>
      <c r="AY102" s="3"/>
      <c r="AZ102" s="3"/>
      <c r="BA102" s="3"/>
      <c r="BB102" s="3"/>
      <c r="BC102" s="3"/>
      <c r="BD102" s="3"/>
      <c r="BE102" s="3"/>
    </row>
    <row r="103" spans="1:57" ht="14.25" customHeight="1" x14ac:dyDescent="0.45">
      <c r="A103" s="618"/>
      <c r="B103" s="26"/>
      <c r="C103" s="211"/>
      <c r="D103" s="263" t="s">
        <v>259</v>
      </c>
      <c r="E103" s="634" t="s">
        <v>260</v>
      </c>
      <c r="F103" s="635"/>
      <c r="G103" s="635"/>
      <c r="H103" s="635"/>
      <c r="I103" s="635"/>
      <c r="J103" s="34"/>
      <c r="K103" s="34"/>
      <c r="L103" s="34"/>
      <c r="M103" s="34"/>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6"/>
      <c r="AL103" s="618"/>
      <c r="AM103" s="3"/>
      <c r="AN103" s="3"/>
      <c r="AO103" s="3"/>
      <c r="AP103" s="3"/>
      <c r="AQ103" s="3"/>
      <c r="AR103" s="3"/>
      <c r="AS103" s="3"/>
      <c r="AT103" s="3"/>
      <c r="AU103" s="3"/>
      <c r="AV103" s="3"/>
      <c r="AW103" s="3"/>
      <c r="AX103" s="3"/>
      <c r="AY103" s="3"/>
      <c r="AZ103" s="3"/>
      <c r="BA103" s="3"/>
      <c r="BB103" s="3"/>
      <c r="BC103" s="3"/>
      <c r="BD103" s="3"/>
      <c r="BE103" s="3"/>
    </row>
    <row r="104" spans="1:57" ht="14.25" customHeight="1" x14ac:dyDescent="0.45">
      <c r="A104" s="618"/>
      <c r="B104" s="215"/>
      <c r="C104" s="220"/>
      <c r="D104" s="221"/>
      <c r="E104" s="123">
        <v>2018</v>
      </c>
      <c r="F104" s="123">
        <v>2019</v>
      </c>
      <c r="G104" s="123">
        <v>2020</v>
      </c>
      <c r="H104" s="123">
        <v>2021</v>
      </c>
      <c r="I104" s="141">
        <v>2022</v>
      </c>
      <c r="J104" s="141">
        <v>2023</v>
      </c>
      <c r="K104" s="141">
        <v>2024</v>
      </c>
      <c r="L104" s="141">
        <v>2025</v>
      </c>
      <c r="M104" s="141">
        <v>2026</v>
      </c>
      <c r="N104" s="141">
        <v>2027</v>
      </c>
      <c r="O104" s="141">
        <v>2028</v>
      </c>
      <c r="P104" s="141">
        <v>2029</v>
      </c>
      <c r="Q104" s="141">
        <v>2030</v>
      </c>
      <c r="R104" s="141">
        <v>2031</v>
      </c>
      <c r="S104" s="141">
        <v>2032</v>
      </c>
      <c r="T104" s="141">
        <v>2033</v>
      </c>
      <c r="U104" s="141">
        <v>2034</v>
      </c>
      <c r="V104" s="141">
        <v>2035</v>
      </c>
      <c r="W104" s="141">
        <v>2036</v>
      </c>
      <c r="X104" s="141">
        <v>2037</v>
      </c>
      <c r="Y104" s="141">
        <v>2038</v>
      </c>
      <c r="Z104" s="141">
        <v>2039</v>
      </c>
      <c r="AA104" s="141">
        <v>2040</v>
      </c>
      <c r="AB104" s="141">
        <v>2041</v>
      </c>
      <c r="AC104" s="141">
        <v>2042</v>
      </c>
      <c r="AD104" s="141">
        <v>2043</v>
      </c>
      <c r="AE104" s="141">
        <v>2044</v>
      </c>
      <c r="AF104" s="141">
        <v>2045</v>
      </c>
      <c r="AG104" s="141">
        <v>2046</v>
      </c>
      <c r="AH104" s="141">
        <v>2047</v>
      </c>
      <c r="AI104" s="141">
        <v>2048</v>
      </c>
      <c r="AJ104" s="141">
        <v>2049</v>
      </c>
      <c r="AK104" s="142">
        <v>2050</v>
      </c>
      <c r="AL104" s="141">
        <v>2051</v>
      </c>
      <c r="AM104" s="141">
        <v>2052</v>
      </c>
      <c r="AN104" s="141">
        <v>2053</v>
      </c>
      <c r="AO104" s="141">
        <v>2054</v>
      </c>
      <c r="AP104" s="141">
        <v>2055</v>
      </c>
      <c r="AQ104" s="141">
        <v>2056</v>
      </c>
      <c r="AR104" s="141">
        <v>2057</v>
      </c>
      <c r="AS104" s="141">
        <v>2058</v>
      </c>
      <c r="AT104" s="142">
        <v>2059</v>
      </c>
      <c r="AU104" s="141">
        <v>2060</v>
      </c>
      <c r="AV104" s="141">
        <v>2061</v>
      </c>
      <c r="AW104" s="141">
        <v>2062</v>
      </c>
      <c r="AX104" s="141">
        <v>2063</v>
      </c>
      <c r="AY104" s="141">
        <v>2064</v>
      </c>
      <c r="AZ104" s="141">
        <v>2065</v>
      </c>
      <c r="BA104" s="141">
        <v>2066</v>
      </c>
      <c r="BB104" s="141">
        <v>2067</v>
      </c>
      <c r="BC104" s="142">
        <v>2068</v>
      </c>
      <c r="BD104" s="141">
        <v>2069</v>
      </c>
      <c r="BE104" s="141">
        <v>2070</v>
      </c>
    </row>
    <row r="105" spans="1:57" ht="14.25" customHeight="1" x14ac:dyDescent="0.45">
      <c r="A105" s="618"/>
      <c r="B105" s="215"/>
      <c r="C105" s="220"/>
      <c r="D105" s="221" t="s">
        <v>220</v>
      </c>
      <c r="E105" s="218"/>
      <c r="F105" s="218"/>
      <c r="G105" s="218"/>
      <c r="H105" s="218"/>
      <c r="I105" s="218"/>
      <c r="J105" s="218"/>
      <c r="K105" s="218"/>
      <c r="L105" s="218"/>
      <c r="M105" s="218"/>
      <c r="N105" s="522">
        <f>'Copia de Electricidad'!M105/1000</f>
        <v>0.1</v>
      </c>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618"/>
      <c r="AM105" s="3"/>
      <c r="AN105" s="3"/>
      <c r="AO105" s="3"/>
      <c r="AP105" s="3"/>
      <c r="AQ105" s="3"/>
      <c r="AR105" s="3"/>
      <c r="AS105" s="3"/>
      <c r="AT105" s="3"/>
      <c r="AU105" s="3"/>
      <c r="AV105" s="3"/>
      <c r="AW105" s="3"/>
      <c r="AX105" s="3"/>
      <c r="AY105" s="3"/>
      <c r="AZ105" s="3"/>
      <c r="BA105" s="3"/>
      <c r="BB105" s="3"/>
      <c r="BC105" s="3"/>
      <c r="BD105" s="3"/>
      <c r="BE105" s="3"/>
    </row>
    <row r="106" spans="1:57" ht="14.25" customHeight="1" x14ac:dyDescent="0.45">
      <c r="A106" s="618"/>
      <c r="B106" s="215"/>
      <c r="C106" s="220"/>
      <c r="D106" s="221" t="s">
        <v>261</v>
      </c>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618"/>
      <c r="AM106" s="3"/>
      <c r="AN106" s="3"/>
      <c r="AO106" s="3"/>
      <c r="AP106" s="3"/>
      <c r="AQ106" s="3"/>
      <c r="AR106" s="3"/>
      <c r="AS106" s="3"/>
      <c r="AT106" s="3"/>
      <c r="AU106" s="3"/>
      <c r="AV106" s="3"/>
      <c r="AW106" s="3"/>
      <c r="AX106" s="3"/>
      <c r="AY106" s="3"/>
      <c r="AZ106" s="3"/>
      <c r="BA106" s="3"/>
      <c r="BB106" s="3"/>
      <c r="BC106" s="3"/>
      <c r="BD106" s="3"/>
      <c r="BE106" s="3"/>
    </row>
    <row r="107" spans="1:57" ht="14.25" customHeight="1" x14ac:dyDescent="0.45">
      <c r="A107" s="618"/>
      <c r="B107" s="215"/>
      <c r="C107" s="220"/>
      <c r="D107" s="221" t="s">
        <v>262</v>
      </c>
      <c r="E107" s="218"/>
      <c r="F107" s="218"/>
      <c r="G107" s="218"/>
      <c r="H107" s="218"/>
      <c r="I107" s="218"/>
      <c r="J107" s="29"/>
      <c r="K107" s="29"/>
      <c r="L107" s="29"/>
      <c r="M107" s="29"/>
      <c r="N107" s="29"/>
      <c r="O107" s="37">
        <f>'Copia de Electricidad'!N107/1000</f>
        <v>0.05</v>
      </c>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618"/>
      <c r="AM107" s="3"/>
      <c r="AN107" s="3"/>
      <c r="AO107" s="3"/>
      <c r="AP107" s="3"/>
      <c r="AQ107" s="3"/>
      <c r="AR107" s="3"/>
      <c r="AS107" s="3"/>
      <c r="AT107" s="3"/>
      <c r="AU107" s="3"/>
      <c r="AV107" s="3"/>
      <c r="AW107" s="3"/>
      <c r="AX107" s="3"/>
      <c r="AY107" s="3"/>
      <c r="AZ107" s="3"/>
      <c r="BA107" s="3"/>
      <c r="BB107" s="3"/>
      <c r="BC107" s="3"/>
      <c r="BD107" s="3"/>
      <c r="BE107" s="3"/>
    </row>
    <row r="108" spans="1:57" ht="14.25" customHeight="1" x14ac:dyDescent="0.45">
      <c r="A108" s="618"/>
      <c r="B108" s="215"/>
      <c r="C108" s="220"/>
      <c r="D108" s="243" t="s">
        <v>199</v>
      </c>
      <c r="E108" s="218"/>
      <c r="F108" s="218"/>
      <c r="G108" s="218"/>
      <c r="H108" s="218"/>
      <c r="I108" s="218"/>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618"/>
      <c r="AM108" s="3"/>
      <c r="AN108" s="3"/>
      <c r="AO108" s="3"/>
      <c r="AP108" s="3"/>
      <c r="AQ108" s="3"/>
      <c r="AR108" s="3"/>
      <c r="AS108" s="3"/>
      <c r="AT108" s="3"/>
      <c r="AU108" s="3"/>
      <c r="AV108" s="3"/>
      <c r="AW108" s="3"/>
      <c r="AX108" s="3"/>
      <c r="AY108" s="3"/>
      <c r="AZ108" s="3"/>
      <c r="BA108" s="3"/>
      <c r="BB108" s="3"/>
      <c r="BC108" s="3"/>
      <c r="BD108" s="3"/>
      <c r="BE108" s="3"/>
    </row>
    <row r="109" spans="1:57" ht="14.25" customHeight="1" x14ac:dyDescent="0.45">
      <c r="A109" s="618"/>
      <c r="B109" s="215"/>
      <c r="C109" s="220"/>
      <c r="D109" s="221" t="s">
        <v>201</v>
      </c>
      <c r="E109" s="218"/>
      <c r="F109" s="218"/>
      <c r="G109" s="218"/>
      <c r="H109" s="218"/>
      <c r="I109" s="264">
        <f>'Copia de Electricidad'!H109/1000</f>
        <v>4.9000000000000002E-2</v>
      </c>
      <c r="J109" s="218"/>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618"/>
      <c r="AM109" s="3"/>
      <c r="AN109" s="3"/>
      <c r="AO109" s="3"/>
      <c r="AP109" s="3"/>
      <c r="AQ109" s="3"/>
      <c r="AR109" s="3"/>
      <c r="AS109" s="3"/>
      <c r="AT109" s="3"/>
      <c r="AU109" s="3"/>
      <c r="AV109" s="3"/>
      <c r="AW109" s="3"/>
      <c r="AX109" s="3"/>
      <c r="AY109" s="3"/>
      <c r="AZ109" s="3"/>
      <c r="BA109" s="3"/>
      <c r="BB109" s="3"/>
      <c r="BC109" s="3"/>
      <c r="BD109" s="3"/>
      <c r="BE109" s="3"/>
    </row>
    <row r="110" spans="1:57" ht="14.25" customHeight="1" x14ac:dyDescent="0.45">
      <c r="A110" s="618"/>
      <c r="B110" s="215"/>
      <c r="C110" s="220"/>
      <c r="D110" s="221" t="s">
        <v>203</v>
      </c>
      <c r="E110" s="218"/>
      <c r="F110" s="218"/>
      <c r="G110" s="218"/>
      <c r="H110" s="218"/>
      <c r="I110" s="218"/>
      <c r="J110" s="264">
        <f>'Copia de Electricidad'!I110/1000</f>
        <v>0.2054</v>
      </c>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618"/>
      <c r="AM110" s="3"/>
      <c r="AN110" s="3"/>
      <c r="AO110" s="3"/>
      <c r="AP110" s="3"/>
      <c r="AQ110" s="3"/>
      <c r="AR110" s="3"/>
      <c r="AS110" s="3"/>
      <c r="AT110" s="3"/>
      <c r="AU110" s="3"/>
      <c r="AV110" s="3"/>
      <c r="AW110" s="3"/>
      <c r="AX110" s="3"/>
      <c r="AY110" s="3"/>
      <c r="AZ110" s="3"/>
      <c r="BA110" s="3"/>
      <c r="BB110" s="3"/>
      <c r="BC110" s="3"/>
      <c r="BD110" s="3"/>
      <c r="BE110" s="3"/>
    </row>
    <row r="111" spans="1:57" ht="14.25" customHeight="1" x14ac:dyDescent="0.45">
      <c r="A111" s="618"/>
      <c r="B111" s="215"/>
      <c r="C111" s="220"/>
      <c r="D111" s="221" t="s">
        <v>205</v>
      </c>
      <c r="E111" s="218"/>
      <c r="F111" s="218"/>
      <c r="G111" s="218"/>
      <c r="H111" s="218"/>
      <c r="I111" s="218"/>
      <c r="J111" s="218"/>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618"/>
      <c r="AM111" s="3"/>
      <c r="AN111" s="3"/>
      <c r="AO111" s="3"/>
      <c r="AP111" s="3"/>
      <c r="AQ111" s="3"/>
      <c r="AR111" s="3"/>
      <c r="AS111" s="3"/>
      <c r="AT111" s="3"/>
      <c r="AU111" s="3"/>
      <c r="AV111" s="3"/>
      <c r="AW111" s="3"/>
      <c r="AX111" s="3"/>
      <c r="AY111" s="3"/>
      <c r="AZ111" s="3"/>
      <c r="BA111" s="3"/>
      <c r="BB111" s="3"/>
      <c r="BC111" s="3"/>
      <c r="BD111" s="3"/>
      <c r="BE111" s="3"/>
    </row>
    <row r="112" spans="1:57" ht="14.25" customHeight="1" x14ac:dyDescent="0.45">
      <c r="A112" s="618"/>
      <c r="B112" s="215"/>
      <c r="C112" s="220"/>
      <c r="D112" s="221" t="s">
        <v>207</v>
      </c>
      <c r="E112" s="218"/>
      <c r="F112" s="218"/>
      <c r="G112" s="218"/>
      <c r="H112" s="218"/>
      <c r="I112" s="218"/>
      <c r="J112" s="218"/>
      <c r="K112" s="37">
        <f>'Copia de Electricidad'!J112/1000</f>
        <v>7.1999999999999998E-3</v>
      </c>
      <c r="L112" s="37">
        <f>'Copia de Electricidad'!K112/1000</f>
        <v>1.46E-2</v>
      </c>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618"/>
      <c r="AM112" s="3"/>
      <c r="AN112" s="3"/>
      <c r="AO112" s="3"/>
      <c r="AP112" s="3"/>
      <c r="AQ112" s="3"/>
      <c r="AR112" s="3"/>
      <c r="AS112" s="3"/>
      <c r="AT112" s="3"/>
      <c r="AU112" s="3"/>
      <c r="AV112" s="3"/>
      <c r="AW112" s="3"/>
      <c r="AX112" s="3"/>
      <c r="AY112" s="3"/>
      <c r="AZ112" s="3"/>
      <c r="BA112" s="3"/>
      <c r="BB112" s="3"/>
      <c r="BC112" s="3"/>
      <c r="BD112" s="3"/>
      <c r="BE112" s="3"/>
    </row>
    <row r="113" spans="1:39" ht="14.25" customHeight="1" x14ac:dyDescent="0.45">
      <c r="A113" s="618"/>
      <c r="B113" s="215"/>
      <c r="C113" s="220"/>
      <c r="D113" s="221" t="s">
        <v>209</v>
      </c>
      <c r="E113" s="218"/>
      <c r="F113" s="218"/>
      <c r="G113" s="218"/>
      <c r="H113" s="218"/>
      <c r="I113" s="218"/>
      <c r="J113" s="218"/>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618"/>
      <c r="AM113" s="3"/>
    </row>
    <row r="114" spans="1:39" ht="14.25" customHeight="1" x14ac:dyDescent="0.45">
      <c r="A114" s="618"/>
      <c r="B114" s="215"/>
      <c r="C114" s="220"/>
      <c r="D114" s="221" t="s">
        <v>211</v>
      </c>
      <c r="E114" s="218"/>
      <c r="F114" s="218"/>
      <c r="G114" s="218"/>
      <c r="H114" s="218"/>
      <c r="I114" s="218"/>
      <c r="J114" s="218"/>
      <c r="K114" s="29"/>
      <c r="L114" s="29"/>
      <c r="M114" s="29"/>
      <c r="N114" s="29"/>
      <c r="O114" s="29"/>
      <c r="P114" s="37"/>
      <c r="Q114" s="37">
        <f>'Copia de Electricidad'!P114/1000</f>
        <v>0.59560000000000002</v>
      </c>
      <c r="R114" s="218"/>
      <c r="S114" s="102">
        <f>'Copia de Electricidad'!R114/1000</f>
        <v>2.4</v>
      </c>
      <c r="T114" s="29"/>
      <c r="U114" s="29"/>
      <c r="V114" s="29"/>
      <c r="W114" s="29"/>
      <c r="X114" s="29"/>
      <c r="Y114" s="29"/>
      <c r="Z114" s="29"/>
      <c r="AA114" s="29"/>
      <c r="AB114" s="29"/>
      <c r="AC114" s="29"/>
      <c r="AD114" s="29"/>
      <c r="AE114" s="29"/>
      <c r="AF114" s="29"/>
      <c r="AG114" s="29"/>
      <c r="AH114" s="29"/>
      <c r="AI114" s="29"/>
      <c r="AJ114" s="29"/>
      <c r="AK114" s="29"/>
      <c r="AL114" s="618"/>
      <c r="AM114" s="3"/>
    </row>
    <row r="115" spans="1:39" ht="14.25" customHeight="1" x14ac:dyDescent="0.45">
      <c r="A115" s="618"/>
      <c r="B115" s="215"/>
      <c r="C115" s="220"/>
      <c r="D115" s="243" t="s">
        <v>212</v>
      </c>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618"/>
      <c r="AM115" s="3"/>
    </row>
    <row r="116" spans="1:39" ht="14.25" customHeight="1" x14ac:dyDescent="0.45">
      <c r="A116" s="618"/>
      <c r="B116" s="215"/>
      <c r="C116" s="220"/>
      <c r="D116" s="221" t="s">
        <v>201</v>
      </c>
      <c r="E116" s="218"/>
      <c r="F116" s="218"/>
      <c r="G116" s="218"/>
      <c r="H116" s="218"/>
      <c r="I116" s="218"/>
      <c r="J116" s="264">
        <f>'Copia de Electricidad'!I116/1000</f>
        <v>8.9999999999999993E-3</v>
      </c>
      <c r="K116" s="264">
        <f>'Copia de Electricidad'!J116/1000</f>
        <v>0.05</v>
      </c>
      <c r="L116" s="218"/>
      <c r="M116" s="218" t="s">
        <v>221</v>
      </c>
      <c r="N116" s="218"/>
      <c r="O116" s="218"/>
      <c r="P116" s="218"/>
      <c r="Q116" s="218"/>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618"/>
      <c r="AM116" s="3"/>
    </row>
    <row r="117" spans="1:39" ht="14.25" customHeight="1" x14ac:dyDescent="0.45">
      <c r="A117" s="618"/>
      <c r="B117" s="215"/>
      <c r="C117" s="220"/>
      <c r="D117" s="221" t="s">
        <v>203</v>
      </c>
      <c r="E117" s="218"/>
      <c r="F117" s="218"/>
      <c r="G117" s="218"/>
      <c r="H117" s="218"/>
      <c r="I117" s="218"/>
      <c r="J117" s="218"/>
      <c r="K117" s="218"/>
      <c r="L117" s="218"/>
      <c r="M117" s="218"/>
      <c r="N117" s="218"/>
      <c r="O117" s="264">
        <f>'Copia de Electricidad'!N117/1000</f>
        <v>0.19400000000000001</v>
      </c>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618"/>
      <c r="AM117" s="3"/>
    </row>
    <row r="118" spans="1:39" ht="14.25" customHeight="1" x14ac:dyDescent="0.45">
      <c r="A118" s="618"/>
      <c r="B118" s="215"/>
      <c r="C118" s="220"/>
      <c r="D118" s="221" t="s">
        <v>205</v>
      </c>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218"/>
      <c r="AH118" s="218"/>
      <c r="AI118" s="218"/>
      <c r="AJ118" s="218"/>
      <c r="AK118" s="218"/>
      <c r="AL118" s="618"/>
      <c r="AM118" s="3"/>
    </row>
    <row r="119" spans="1:39" ht="14.25" customHeight="1" x14ac:dyDescent="0.45">
      <c r="A119" s="618"/>
      <c r="B119" s="215"/>
      <c r="C119" s="220"/>
      <c r="D119" s="221" t="s">
        <v>207</v>
      </c>
      <c r="E119" s="218"/>
      <c r="F119" s="218"/>
      <c r="G119" s="218"/>
      <c r="H119" s="218"/>
      <c r="I119" s="264">
        <f>'Copia de Electricidad'!H119/1000</f>
        <v>0.03</v>
      </c>
      <c r="J119" s="218"/>
      <c r="K119" s="264">
        <f>'Copia de Electricidad'!J119/1000</f>
        <v>4.0000000000000001E-3</v>
      </c>
      <c r="L119" s="264">
        <f>'Copia de Electricidad'!K119/1000</f>
        <v>1.4579999999999999E-2</v>
      </c>
      <c r="M119" s="218"/>
      <c r="N119" s="218"/>
      <c r="O119" s="218"/>
      <c r="P119" s="218"/>
      <c r="Q119" s="218"/>
      <c r="R119" s="218"/>
      <c r="S119" s="218"/>
      <c r="T119" s="218"/>
      <c r="U119" s="218"/>
      <c r="V119" s="218"/>
      <c r="W119" s="218"/>
      <c r="X119" s="218"/>
      <c r="Y119" s="218"/>
      <c r="Z119" s="218"/>
      <c r="AA119" s="218"/>
      <c r="AB119" s="218"/>
      <c r="AC119" s="218"/>
      <c r="AD119" s="218"/>
      <c r="AE119" s="218"/>
      <c r="AF119" s="218"/>
      <c r="AG119" s="218"/>
      <c r="AH119" s="218"/>
      <c r="AI119" s="218"/>
      <c r="AJ119" s="218"/>
      <c r="AK119" s="218"/>
      <c r="AL119" s="618"/>
      <c r="AM119" s="3"/>
    </row>
    <row r="120" spans="1:39" ht="14.25" customHeight="1" x14ac:dyDescent="0.45">
      <c r="A120" s="618"/>
      <c r="B120" s="215"/>
      <c r="C120" s="220"/>
      <c r="D120" s="221" t="s">
        <v>209</v>
      </c>
      <c r="E120" s="218"/>
      <c r="F120" s="218"/>
      <c r="G120" s="218"/>
      <c r="H120" s="218"/>
      <c r="I120" s="218"/>
      <c r="J120" s="218"/>
      <c r="K120" s="218"/>
      <c r="L120" s="264">
        <f>'Copia de Electricidad'!K120/1000</f>
        <v>0.05</v>
      </c>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c r="AH120" s="218"/>
      <c r="AI120" s="218"/>
      <c r="AJ120" s="218"/>
      <c r="AK120" s="218"/>
      <c r="AL120" s="618"/>
      <c r="AM120" s="3"/>
    </row>
    <row r="121" spans="1:39" ht="14.25" customHeight="1" x14ac:dyDescent="0.45">
      <c r="A121" s="618"/>
      <c r="B121" s="215"/>
      <c r="C121" s="220"/>
      <c r="D121" s="221" t="s">
        <v>211</v>
      </c>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c r="AH121" s="218"/>
      <c r="AI121" s="218"/>
      <c r="AJ121" s="218"/>
      <c r="AK121" s="218"/>
      <c r="AL121" s="618"/>
      <c r="AM121" s="3"/>
    </row>
    <row r="122" spans="1:39" ht="14.25" customHeight="1" x14ac:dyDescent="0.45">
      <c r="A122" s="618"/>
      <c r="B122" s="215"/>
      <c r="C122" s="220"/>
      <c r="D122" s="221" t="s">
        <v>263</v>
      </c>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218"/>
      <c r="AH122" s="218"/>
      <c r="AI122" s="218"/>
      <c r="AJ122" s="218"/>
      <c r="AK122" s="218"/>
      <c r="AL122" s="618"/>
      <c r="AM122" s="3"/>
    </row>
    <row r="123" spans="1:39" ht="14.25" customHeight="1" x14ac:dyDescent="0.45">
      <c r="A123" s="618"/>
      <c r="B123" s="215"/>
      <c r="C123" s="220"/>
      <c r="D123" s="221" t="s">
        <v>264</v>
      </c>
      <c r="E123" s="218"/>
      <c r="F123" s="218"/>
      <c r="G123" s="218"/>
      <c r="H123" s="218"/>
      <c r="I123" s="218"/>
      <c r="J123" s="218"/>
      <c r="K123" s="264">
        <f>'Copia de Electricidad'!J123/1000</f>
        <v>0.2</v>
      </c>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18"/>
      <c r="AH123" s="218"/>
      <c r="AI123" s="218"/>
      <c r="AJ123" s="218"/>
      <c r="AK123" s="218"/>
      <c r="AL123" s="618"/>
      <c r="AM123" s="3"/>
    </row>
    <row r="124" spans="1:39" ht="14.25" customHeight="1" x14ac:dyDescent="0.45">
      <c r="A124" s="618"/>
      <c r="B124" s="215"/>
      <c r="C124" s="220"/>
      <c r="D124" s="221" t="s">
        <v>265</v>
      </c>
      <c r="E124" s="218"/>
      <c r="F124" s="218"/>
      <c r="G124" s="218"/>
      <c r="H124" s="218"/>
      <c r="I124" s="218"/>
      <c r="J124" s="264">
        <f>'Copia de Electricidad'!I124/1000</f>
        <v>0.05</v>
      </c>
      <c r="K124" s="264">
        <f>'Copia de Electricidad'!J124/1000</f>
        <v>0.11</v>
      </c>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218"/>
      <c r="AH124" s="218"/>
      <c r="AI124" s="218"/>
      <c r="AJ124" s="218"/>
      <c r="AK124" s="218"/>
      <c r="AL124" s="618"/>
      <c r="AM124" s="3"/>
    </row>
    <row r="125" spans="1:39" ht="14.25" customHeight="1" x14ac:dyDescent="0.45">
      <c r="A125" s="618"/>
      <c r="B125" s="215"/>
      <c r="C125" s="220"/>
      <c r="D125" s="221" t="s">
        <v>266</v>
      </c>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218"/>
      <c r="AH125" s="218"/>
      <c r="AI125" s="218"/>
      <c r="AJ125" s="218"/>
      <c r="AK125" s="218"/>
      <c r="AL125" s="618"/>
      <c r="AM125" s="3"/>
    </row>
    <row r="126" spans="1:39" ht="14.25" customHeight="1" x14ac:dyDescent="0.45">
      <c r="A126" s="618"/>
      <c r="B126" s="215"/>
      <c r="C126" s="220"/>
      <c r="D126" s="221" t="s">
        <v>267</v>
      </c>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618"/>
      <c r="AM126" s="3"/>
    </row>
    <row r="127" spans="1:39" ht="14.25" customHeight="1" x14ac:dyDescent="0.45">
      <c r="A127" s="618"/>
      <c r="B127" s="215"/>
      <c r="C127" s="220"/>
      <c r="D127" s="221" t="s">
        <v>268</v>
      </c>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218"/>
      <c r="AH127" s="218"/>
      <c r="AI127" s="218"/>
      <c r="AJ127" s="218"/>
      <c r="AK127" s="218"/>
      <c r="AL127" s="618"/>
      <c r="AM127" s="3"/>
    </row>
    <row r="128" spans="1:39" ht="14" customHeight="1" x14ac:dyDescent="0.45">
      <c r="A128" s="618"/>
      <c r="B128" s="215"/>
      <c r="C128" s="220"/>
      <c r="D128" s="265" t="s">
        <v>269</v>
      </c>
      <c r="E128" s="218"/>
      <c r="F128" s="218"/>
      <c r="G128" s="218"/>
      <c r="H128" s="218"/>
      <c r="I128" s="218"/>
      <c r="J128" s="218"/>
      <c r="K128" s="264">
        <f>'Copia de Electricidad'!J128/1000</f>
        <v>0.187</v>
      </c>
      <c r="L128" s="218"/>
      <c r="M128" s="264">
        <f>'Copia de Electricidad'!L128/1000</f>
        <v>0.4</v>
      </c>
      <c r="N128" s="218"/>
      <c r="O128" s="218"/>
      <c r="P128" s="218"/>
      <c r="Q128" s="218"/>
      <c r="R128" s="218"/>
      <c r="S128" s="218"/>
      <c r="T128" s="218"/>
      <c r="U128" s="218"/>
      <c r="V128" s="218"/>
      <c r="W128" s="218"/>
      <c r="X128" s="218"/>
      <c r="Y128" s="218"/>
      <c r="Z128" s="218"/>
      <c r="AA128" s="218"/>
      <c r="AB128" s="218"/>
      <c r="AC128" s="218"/>
      <c r="AD128" s="218"/>
      <c r="AE128" s="218"/>
      <c r="AF128" s="218"/>
      <c r="AG128" s="218"/>
      <c r="AH128" s="218"/>
      <c r="AI128" s="218"/>
      <c r="AJ128" s="218"/>
      <c r="AK128" s="218"/>
      <c r="AL128" s="618"/>
      <c r="AM128" s="3"/>
    </row>
    <row r="129" spans="1:58" ht="14.25" customHeight="1" x14ac:dyDescent="0.45">
      <c r="A129" s="618"/>
      <c r="B129" s="215"/>
      <c r="C129" s="220"/>
      <c r="D129" s="243" t="s">
        <v>270</v>
      </c>
      <c r="E129" s="218"/>
      <c r="F129" s="218"/>
      <c r="G129" s="218"/>
      <c r="H129" s="218"/>
      <c r="I129" s="218"/>
      <c r="J129" s="218"/>
      <c r="K129" s="218"/>
      <c r="L129" s="264"/>
      <c r="M129" s="218"/>
      <c r="N129" s="264">
        <f>'Copia de Electricidad'!M129/1000</f>
        <v>0.12</v>
      </c>
      <c r="O129" s="264">
        <f>'Copia de Electricidad'!N129/1000</f>
        <v>0.32</v>
      </c>
      <c r="P129" s="218"/>
      <c r="Q129" s="218"/>
      <c r="R129" s="218"/>
      <c r="S129" s="218"/>
      <c r="T129" s="218"/>
      <c r="U129" s="218"/>
      <c r="V129" s="218"/>
      <c r="W129" s="218"/>
      <c r="X129" s="218"/>
      <c r="Y129" s="218"/>
      <c r="Z129" s="218"/>
      <c r="AA129" s="218"/>
      <c r="AB129" s="218"/>
      <c r="AC129" s="218"/>
      <c r="AD129" s="218"/>
      <c r="AE129" s="218"/>
      <c r="AF129" s="218"/>
      <c r="AG129" s="218"/>
      <c r="AH129" s="218"/>
      <c r="AI129" s="218"/>
      <c r="AJ129" s="218"/>
      <c r="AK129" s="218"/>
      <c r="AL129" s="618"/>
      <c r="AM129" s="3"/>
      <c r="AN129" s="3"/>
      <c r="AO129" s="3"/>
      <c r="AP129" s="3"/>
      <c r="AQ129" s="3"/>
      <c r="AR129" s="3"/>
      <c r="AS129" s="3"/>
      <c r="AT129" s="3"/>
      <c r="AU129" s="3"/>
      <c r="AV129" s="3"/>
      <c r="AW129" s="3"/>
      <c r="AX129" s="3"/>
      <c r="AY129" s="3"/>
      <c r="AZ129" s="3"/>
      <c r="BA129" s="3"/>
      <c r="BB129" s="3"/>
      <c r="BC129" s="3"/>
      <c r="BD129" s="3"/>
      <c r="BE129" s="3"/>
      <c r="BF129" s="3"/>
    </row>
    <row r="130" spans="1:58" ht="14.25" customHeight="1" x14ac:dyDescent="0.45">
      <c r="A130" s="618"/>
      <c r="B130" s="215"/>
      <c r="C130" s="220"/>
      <c r="D130" s="221" t="s">
        <v>271</v>
      </c>
      <c r="E130" s="218"/>
      <c r="F130" s="218"/>
      <c r="G130" s="218"/>
      <c r="H130" s="218"/>
      <c r="I130" s="218"/>
      <c r="J130" s="218"/>
      <c r="K130" s="264">
        <f>'Copia de Electricidad'!J130/1000</f>
        <v>4.4810000000000003E-2</v>
      </c>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218"/>
      <c r="AH130" s="218"/>
      <c r="AI130" s="218"/>
      <c r="AJ130" s="218"/>
      <c r="AK130" s="218"/>
      <c r="AL130" s="618"/>
      <c r="AM130" s="3"/>
      <c r="AN130" s="3"/>
      <c r="AO130" s="3"/>
      <c r="AP130" s="3"/>
      <c r="AQ130" s="3"/>
      <c r="AR130" s="3"/>
      <c r="AS130" s="3"/>
      <c r="AT130" s="3"/>
      <c r="AU130" s="3"/>
      <c r="AV130" s="3"/>
      <c r="AW130" s="3"/>
      <c r="AX130" s="3"/>
      <c r="AY130" s="3"/>
      <c r="AZ130" s="3"/>
      <c r="BA130" s="3"/>
      <c r="BB130" s="3"/>
      <c r="BC130" s="3"/>
      <c r="BD130" s="3"/>
      <c r="BE130" s="3"/>
      <c r="BF130" s="3"/>
    </row>
    <row r="131" spans="1:58" ht="14.25" customHeight="1" x14ac:dyDescent="0.45">
      <c r="A131" s="618"/>
      <c r="B131" s="215"/>
      <c r="C131" s="220"/>
      <c r="D131" s="221" t="s">
        <v>272</v>
      </c>
      <c r="E131" s="218"/>
      <c r="F131" s="218"/>
      <c r="G131" s="218"/>
      <c r="H131" s="218"/>
      <c r="I131" s="218"/>
      <c r="J131" s="218"/>
      <c r="K131" s="264">
        <f>'Copia de Electricidad'!J131/1000</f>
        <v>0.14930000000000002</v>
      </c>
      <c r="L131" s="218"/>
      <c r="M131" s="264">
        <f>'Copia de Electricidad'!L131/1000</f>
        <v>0.13</v>
      </c>
      <c r="N131" s="218"/>
      <c r="O131" s="218"/>
      <c r="P131" s="218"/>
      <c r="Q131" s="218"/>
      <c r="R131" s="218"/>
      <c r="S131" s="218"/>
      <c r="T131" s="218"/>
      <c r="U131" s="218"/>
      <c r="V131" s="218"/>
      <c r="W131" s="218"/>
      <c r="X131" s="218"/>
      <c r="Y131" s="218"/>
      <c r="Z131" s="218"/>
      <c r="AA131" s="218"/>
      <c r="AB131" s="218"/>
      <c r="AC131" s="218"/>
      <c r="AD131" s="218"/>
      <c r="AE131" s="218"/>
      <c r="AF131" s="218"/>
      <c r="AG131" s="218"/>
      <c r="AH131" s="218"/>
      <c r="AI131" s="218"/>
      <c r="AJ131" s="218"/>
      <c r="AK131" s="218"/>
      <c r="AL131" s="618"/>
      <c r="AM131" s="3"/>
      <c r="AN131" s="3"/>
      <c r="AO131" s="3"/>
      <c r="AP131" s="3"/>
      <c r="AQ131" s="3"/>
      <c r="AR131" s="3"/>
      <c r="AS131" s="3"/>
      <c r="AT131" s="3"/>
      <c r="AU131" s="3"/>
      <c r="AV131" s="3"/>
      <c r="AW131" s="3"/>
      <c r="AX131" s="3"/>
      <c r="AY131" s="3"/>
      <c r="AZ131" s="3"/>
      <c r="BA131" s="3"/>
      <c r="BB131" s="3"/>
      <c r="BC131" s="3"/>
      <c r="BD131" s="3"/>
      <c r="BE131" s="3"/>
      <c r="BF131" s="3"/>
    </row>
    <row r="132" spans="1:58" ht="14.25" customHeight="1" x14ac:dyDescent="0.45">
      <c r="A132" s="618"/>
      <c r="B132" s="215"/>
      <c r="C132" s="220"/>
      <c r="D132" s="221" t="s">
        <v>273</v>
      </c>
      <c r="E132" s="218"/>
      <c r="F132" s="218"/>
      <c r="G132" s="218"/>
      <c r="H132" s="218"/>
      <c r="I132" s="218"/>
      <c r="J132" s="218"/>
      <c r="K132" s="264">
        <f>'Copia de Electricidad'!J132/1000</f>
        <v>0.31760000000000005</v>
      </c>
      <c r="L132" s="218"/>
      <c r="M132" s="264">
        <f>'Copia de Electricidad'!L132/1000</f>
        <v>0.27</v>
      </c>
      <c r="N132" s="218"/>
      <c r="O132" s="218"/>
      <c r="P132" s="218"/>
      <c r="Q132" s="218"/>
      <c r="R132" s="218"/>
      <c r="S132" s="218"/>
      <c r="T132" s="218"/>
      <c r="U132" s="218"/>
      <c r="V132" s="218"/>
      <c r="W132" s="218"/>
      <c r="X132" s="218"/>
      <c r="Y132" s="218"/>
      <c r="Z132" s="218"/>
      <c r="AA132" s="218"/>
      <c r="AB132" s="218"/>
      <c r="AC132" s="218"/>
      <c r="AD132" s="218"/>
      <c r="AE132" s="218"/>
      <c r="AF132" s="218"/>
      <c r="AG132" s="218"/>
      <c r="AH132" s="218"/>
      <c r="AI132" s="218"/>
      <c r="AJ132" s="218"/>
      <c r="AK132" s="218"/>
      <c r="AL132" s="618"/>
      <c r="AM132" s="3"/>
      <c r="AN132" s="3"/>
      <c r="AO132" s="3"/>
      <c r="AP132" s="3"/>
      <c r="AQ132" s="3"/>
      <c r="AR132" s="3"/>
      <c r="AS132" s="3"/>
      <c r="AT132" s="3"/>
      <c r="AU132" s="3"/>
      <c r="AV132" s="3"/>
      <c r="AW132" s="3"/>
      <c r="AX132" s="3"/>
      <c r="AY132" s="3"/>
      <c r="AZ132" s="3"/>
      <c r="BA132" s="3"/>
      <c r="BB132" s="3"/>
      <c r="BC132" s="3"/>
      <c r="BD132" s="3"/>
      <c r="BE132" s="3"/>
      <c r="BF132" s="3"/>
    </row>
    <row r="133" spans="1:58" ht="14.25" customHeight="1" x14ac:dyDescent="0.45">
      <c r="A133" s="618"/>
      <c r="B133" s="215"/>
      <c r="C133" s="220"/>
      <c r="D133" s="221" t="s">
        <v>274</v>
      </c>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c r="AA133" s="218"/>
      <c r="AB133" s="218"/>
      <c r="AC133" s="218"/>
      <c r="AD133" s="218"/>
      <c r="AE133" s="218"/>
      <c r="AF133" s="218"/>
      <c r="AG133" s="218"/>
      <c r="AH133" s="218"/>
      <c r="AI133" s="218"/>
      <c r="AJ133" s="218"/>
      <c r="AK133" s="218"/>
      <c r="AL133" s="618"/>
      <c r="AM133" s="3"/>
      <c r="AN133" s="3"/>
      <c r="AO133" s="3"/>
      <c r="AP133" s="3"/>
      <c r="AQ133" s="3"/>
      <c r="AR133" s="3"/>
      <c r="AS133" s="3"/>
      <c r="AT133" s="3"/>
      <c r="AU133" s="3"/>
      <c r="AV133" s="3"/>
      <c r="AW133" s="3"/>
      <c r="AX133" s="3"/>
      <c r="AY133" s="3"/>
      <c r="AZ133" s="3"/>
      <c r="BA133" s="3"/>
      <c r="BB133" s="3"/>
      <c r="BC133" s="3"/>
      <c r="BD133" s="3"/>
      <c r="BE133" s="3"/>
      <c r="BF133" s="3"/>
    </row>
    <row r="134" spans="1:58" ht="14.25" customHeight="1" x14ac:dyDescent="0.45">
      <c r="A134" s="618"/>
      <c r="B134" s="215"/>
      <c r="C134" s="220"/>
      <c r="D134" s="221"/>
      <c r="E134" s="218"/>
      <c r="F134" s="218"/>
      <c r="G134" s="218"/>
      <c r="H134" s="218"/>
      <c r="I134" s="218"/>
      <c r="J134" s="218"/>
      <c r="K134" s="264"/>
      <c r="L134" s="218"/>
      <c r="M134" s="218"/>
      <c r="N134" s="264"/>
      <c r="O134" s="218"/>
      <c r="P134" s="218"/>
      <c r="Q134" s="218"/>
      <c r="R134" s="218"/>
      <c r="S134" s="218"/>
      <c r="T134" s="218"/>
      <c r="U134" s="218"/>
      <c r="V134" s="218"/>
      <c r="W134" s="218"/>
      <c r="X134" s="218"/>
      <c r="Y134" s="218"/>
      <c r="Z134" s="218"/>
      <c r="AA134" s="218"/>
      <c r="AB134" s="218"/>
      <c r="AC134" s="218"/>
      <c r="AD134" s="218"/>
      <c r="AE134" s="218"/>
      <c r="AF134" s="218"/>
      <c r="AG134" s="218"/>
      <c r="AH134" s="218"/>
      <c r="AI134" s="218"/>
      <c r="AJ134" s="218"/>
      <c r="AK134" s="218"/>
      <c r="AL134" s="618"/>
      <c r="AM134" s="3"/>
      <c r="AN134" s="3"/>
      <c r="AO134" s="3"/>
      <c r="AP134" s="3"/>
      <c r="AQ134" s="3"/>
      <c r="AR134" s="3"/>
      <c r="AS134" s="3"/>
      <c r="AT134" s="3"/>
      <c r="AU134" s="3"/>
      <c r="AV134" s="3"/>
      <c r="AW134" s="3"/>
      <c r="AX134" s="3"/>
      <c r="AY134" s="3"/>
      <c r="AZ134" s="3"/>
      <c r="BA134" s="3"/>
      <c r="BB134" s="3"/>
      <c r="BC134" s="3"/>
      <c r="BD134" s="3"/>
      <c r="BE134" s="3"/>
      <c r="BF134" s="3"/>
    </row>
    <row r="135" spans="1:58" ht="14.25" customHeight="1" x14ac:dyDescent="0.45">
      <c r="A135" s="618"/>
      <c r="B135" s="215"/>
      <c r="C135" s="220"/>
      <c r="D135" s="221"/>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c r="AC135" s="218"/>
      <c r="AD135" s="218"/>
      <c r="AE135" s="218"/>
      <c r="AF135" s="218"/>
      <c r="AG135" s="218"/>
      <c r="AH135" s="218"/>
      <c r="AI135" s="218"/>
      <c r="AJ135" s="218"/>
      <c r="AK135" s="218"/>
      <c r="AL135" s="618"/>
      <c r="AM135" s="3"/>
      <c r="AN135" s="3"/>
      <c r="AO135" s="3"/>
      <c r="AP135" s="3"/>
      <c r="AQ135" s="3"/>
      <c r="AR135" s="3"/>
      <c r="AS135" s="3"/>
      <c r="AT135" s="3"/>
      <c r="AU135" s="3"/>
      <c r="AV135" s="3"/>
      <c r="AW135" s="3"/>
      <c r="AX135" s="3"/>
      <c r="AY135" s="3"/>
      <c r="AZ135" s="3"/>
      <c r="BA135" s="3"/>
      <c r="BB135" s="3"/>
      <c r="BC135" s="3"/>
      <c r="BD135" s="3"/>
      <c r="BE135" s="3"/>
      <c r="BF135" s="3"/>
    </row>
    <row r="136" spans="1:58" ht="14.25" customHeight="1" x14ac:dyDescent="0.45">
      <c r="A136" s="618"/>
      <c r="B136" s="215"/>
      <c r="C136" s="220"/>
      <c r="D136" s="221" t="s">
        <v>275</v>
      </c>
      <c r="E136" s="218">
        <f t="shared" ref="E136:K136" si="0">SUM(E105:E107,E109:E114,E116:E121,E122:E127,E128:E133)</f>
        <v>0</v>
      </c>
      <c r="F136" s="218">
        <f t="shared" si="0"/>
        <v>0</v>
      </c>
      <c r="G136" s="218">
        <f t="shared" si="0"/>
        <v>0</v>
      </c>
      <c r="H136" s="218">
        <f t="shared" si="0"/>
        <v>0</v>
      </c>
      <c r="I136" s="264">
        <f t="shared" si="0"/>
        <v>7.9000000000000001E-2</v>
      </c>
      <c r="J136" s="264">
        <f t="shared" si="0"/>
        <v>0.26440000000000002</v>
      </c>
      <c r="K136" s="264">
        <f t="shared" si="0"/>
        <v>1.0699100000000001</v>
      </c>
      <c r="L136" s="264">
        <f>SUM(L105:L107,L109:L114,L116:L121,L122:L127,L128:L135)</f>
        <v>7.918E-2</v>
      </c>
      <c r="M136" s="264">
        <f t="shared" ref="M136:R136" si="1">SUM(M105:M107,M109:M114,M116:M121,M122:M127,M128:M133)</f>
        <v>0.8</v>
      </c>
      <c r="N136" s="264">
        <f t="shared" si="1"/>
        <v>0.22</v>
      </c>
      <c r="O136" s="264">
        <f t="shared" si="1"/>
        <v>0.56400000000000006</v>
      </c>
      <c r="P136" s="264">
        <f t="shared" si="1"/>
        <v>0</v>
      </c>
      <c r="Q136" s="264">
        <f t="shared" si="1"/>
        <v>0.59560000000000002</v>
      </c>
      <c r="R136" s="264">
        <f t="shared" si="1"/>
        <v>0</v>
      </c>
      <c r="S136" s="218"/>
      <c r="T136" s="218"/>
      <c r="U136" s="218"/>
      <c r="V136" s="218"/>
      <c r="W136" s="218"/>
      <c r="X136" s="218"/>
      <c r="Y136" s="218"/>
      <c r="Z136" s="218"/>
      <c r="AA136" s="218"/>
      <c r="AB136" s="218"/>
      <c r="AC136" s="218"/>
      <c r="AD136" s="218"/>
      <c r="AE136" s="218"/>
      <c r="AF136" s="218"/>
      <c r="AG136" s="218"/>
      <c r="AH136" s="218"/>
      <c r="AI136" s="218"/>
      <c r="AJ136" s="218"/>
      <c r="AK136" s="218"/>
      <c r="AL136" s="618"/>
      <c r="AM136" s="3"/>
      <c r="AN136" s="3"/>
      <c r="AO136" s="3"/>
      <c r="AP136" s="3"/>
      <c r="AQ136" s="3"/>
      <c r="AR136" s="3"/>
      <c r="AS136" s="3"/>
      <c r="AT136" s="3"/>
      <c r="AU136" s="3"/>
      <c r="AV136" s="3"/>
      <c r="AW136" s="3"/>
      <c r="AX136" s="3"/>
      <c r="AY136" s="3"/>
      <c r="AZ136" s="3"/>
      <c r="BA136" s="3"/>
      <c r="BB136" s="3"/>
      <c r="BC136" s="3"/>
      <c r="BD136" s="3"/>
      <c r="BE136" s="3"/>
      <c r="BF136" s="3"/>
    </row>
    <row r="137" spans="1:58" ht="14.25" customHeight="1" x14ac:dyDescent="0.45">
      <c r="A137" s="618"/>
      <c r="B137" s="215"/>
      <c r="C137" s="220"/>
      <c r="D137" s="221"/>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c r="AD137" s="218"/>
      <c r="AE137" s="218"/>
      <c r="AF137" s="218"/>
      <c r="AG137" s="218"/>
      <c r="AH137" s="218"/>
      <c r="AI137" s="218"/>
      <c r="AJ137" s="218"/>
      <c r="AK137" s="218"/>
      <c r="AL137" s="618"/>
      <c r="AM137" s="3"/>
      <c r="AN137" s="3"/>
      <c r="AO137" s="3"/>
      <c r="AP137" s="3"/>
      <c r="AQ137" s="3"/>
      <c r="AR137" s="3"/>
      <c r="AS137" s="3"/>
      <c r="AT137" s="3"/>
      <c r="AU137" s="3"/>
      <c r="AV137" s="3"/>
      <c r="AW137" s="3"/>
      <c r="AX137" s="3"/>
      <c r="AY137" s="3"/>
      <c r="AZ137" s="3"/>
      <c r="BA137" s="3"/>
      <c r="BB137" s="3"/>
      <c r="BC137" s="3"/>
      <c r="BD137" s="3"/>
      <c r="BE137" s="3"/>
      <c r="BF137" s="3"/>
    </row>
    <row r="138" spans="1:58" ht="14.25" customHeight="1" x14ac:dyDescent="0.45">
      <c r="A138" s="618"/>
      <c r="B138" s="215"/>
      <c r="C138" s="220"/>
      <c r="D138" s="243" t="s">
        <v>219</v>
      </c>
      <c r="E138" s="123">
        <v>2018</v>
      </c>
      <c r="F138" s="123">
        <v>2019</v>
      </c>
      <c r="G138" s="123">
        <v>2020</v>
      </c>
      <c r="H138" s="123">
        <v>2021</v>
      </c>
      <c r="I138" s="141">
        <v>2022</v>
      </c>
      <c r="J138" s="141">
        <v>2023</v>
      </c>
      <c r="K138" s="141">
        <v>2024</v>
      </c>
      <c r="L138" s="141">
        <v>2025</v>
      </c>
      <c r="M138" s="141">
        <v>2026</v>
      </c>
      <c r="N138" s="141">
        <v>2027</v>
      </c>
      <c r="O138" s="141">
        <v>2028</v>
      </c>
      <c r="P138" s="141">
        <v>2029</v>
      </c>
      <c r="Q138" s="141">
        <v>2030</v>
      </c>
      <c r="R138" s="141">
        <v>2031</v>
      </c>
      <c r="S138" s="141">
        <v>2032</v>
      </c>
      <c r="T138" s="141">
        <v>2033</v>
      </c>
      <c r="U138" s="141">
        <v>2034</v>
      </c>
      <c r="V138" s="141">
        <v>2035</v>
      </c>
      <c r="W138" s="141">
        <v>2036</v>
      </c>
      <c r="X138" s="141">
        <v>2037</v>
      </c>
      <c r="Y138" s="141">
        <v>2038</v>
      </c>
      <c r="Z138" s="141">
        <v>2039</v>
      </c>
      <c r="AA138" s="141">
        <v>2040</v>
      </c>
      <c r="AB138" s="141">
        <v>2041</v>
      </c>
      <c r="AC138" s="141">
        <v>2042</v>
      </c>
      <c r="AD138" s="141">
        <v>2043</v>
      </c>
      <c r="AE138" s="141">
        <v>2044</v>
      </c>
      <c r="AF138" s="141">
        <v>2045</v>
      </c>
      <c r="AG138" s="141">
        <v>2046</v>
      </c>
      <c r="AH138" s="141">
        <v>2047</v>
      </c>
      <c r="AI138" s="141">
        <v>2048</v>
      </c>
      <c r="AJ138" s="141">
        <v>2049</v>
      </c>
      <c r="AK138" s="142">
        <v>2050</v>
      </c>
      <c r="AL138" s="141">
        <v>2051</v>
      </c>
      <c r="AM138" s="141">
        <v>2052</v>
      </c>
      <c r="AN138" s="141">
        <v>2053</v>
      </c>
      <c r="AO138" s="141">
        <v>2054</v>
      </c>
      <c r="AP138" s="141">
        <v>2055</v>
      </c>
      <c r="AQ138" s="141">
        <v>2056</v>
      </c>
      <c r="AR138" s="141">
        <v>2057</v>
      </c>
      <c r="AS138" s="141">
        <v>2058</v>
      </c>
      <c r="AT138" s="142">
        <v>2059</v>
      </c>
      <c r="AU138" s="141">
        <v>2060</v>
      </c>
      <c r="AV138" s="141">
        <v>2061</v>
      </c>
      <c r="AW138" s="141">
        <v>2062</v>
      </c>
      <c r="AX138" s="141">
        <v>2063</v>
      </c>
      <c r="AY138" s="141">
        <v>2064</v>
      </c>
      <c r="AZ138" s="141">
        <v>2065</v>
      </c>
      <c r="BA138" s="141">
        <v>2066</v>
      </c>
      <c r="BB138" s="141">
        <v>2067</v>
      </c>
      <c r="BC138" s="142">
        <v>2068</v>
      </c>
      <c r="BD138" s="141">
        <v>2069</v>
      </c>
      <c r="BE138" s="141">
        <v>2070</v>
      </c>
      <c r="BF138" s="3"/>
    </row>
    <row r="139" spans="1:58" ht="14.25" customHeight="1" x14ac:dyDescent="0.45">
      <c r="A139" s="618"/>
      <c r="B139" s="215"/>
      <c r="C139" s="220"/>
      <c r="D139" s="224" t="s">
        <v>220</v>
      </c>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c r="AC139" s="218"/>
      <c r="AD139" s="218"/>
      <c r="AE139" s="218"/>
      <c r="AF139" s="218"/>
      <c r="AG139" s="218"/>
      <c r="AH139" s="218"/>
      <c r="AI139" s="218"/>
      <c r="AJ139" s="218"/>
      <c r="AK139" s="218"/>
      <c r="AL139" s="618"/>
      <c r="AM139" s="3"/>
      <c r="AN139" s="3"/>
      <c r="AO139" s="3"/>
      <c r="AP139" s="3"/>
      <c r="AQ139" s="3"/>
      <c r="AR139" s="3"/>
      <c r="AS139" s="3"/>
      <c r="AT139" s="3"/>
      <c r="AU139" s="3"/>
      <c r="AV139" s="3"/>
      <c r="AW139" s="3"/>
      <c r="AX139" s="3"/>
      <c r="AY139" s="3"/>
      <c r="AZ139" s="3"/>
      <c r="BA139" s="3"/>
      <c r="BB139" s="3"/>
      <c r="BC139" s="3"/>
      <c r="BD139" s="3"/>
      <c r="BE139" s="3"/>
      <c r="BF139" s="3"/>
    </row>
    <row r="140" spans="1:58" ht="14.25" customHeight="1" x14ac:dyDescent="0.45">
      <c r="A140" s="618"/>
      <c r="B140" s="215"/>
      <c r="C140" s="220"/>
      <c r="D140" s="224" t="s">
        <v>171</v>
      </c>
      <c r="E140" s="218"/>
      <c r="F140" s="218"/>
      <c r="G140" s="218"/>
      <c r="H140" s="218"/>
      <c r="I140" s="218"/>
      <c r="J140" s="29"/>
      <c r="K140" s="218"/>
      <c r="L140" s="218"/>
      <c r="M140" s="218"/>
      <c r="N140" s="218"/>
      <c r="O140" s="218"/>
      <c r="P140" s="218"/>
      <c r="Q140" s="218"/>
      <c r="R140" s="218"/>
      <c r="S140" s="218"/>
      <c r="T140" s="218"/>
      <c r="U140" s="218"/>
      <c r="V140" s="218"/>
      <c r="W140" s="218"/>
      <c r="X140" s="218"/>
      <c r="Y140" s="218"/>
      <c r="Z140" s="218"/>
      <c r="AA140" s="218"/>
      <c r="AB140" s="218"/>
      <c r="AC140" s="218"/>
      <c r="AD140" s="218"/>
      <c r="AE140" s="218"/>
      <c r="AF140" s="218"/>
      <c r="AG140" s="218"/>
      <c r="AH140" s="218"/>
      <c r="AI140" s="218"/>
      <c r="AJ140" s="218"/>
      <c r="AK140" s="218"/>
      <c r="AL140" s="618"/>
      <c r="AM140" s="3"/>
      <c r="AN140" s="3"/>
      <c r="AO140" s="3"/>
      <c r="AP140" s="3"/>
      <c r="AQ140" s="3"/>
      <c r="AR140" s="3"/>
      <c r="AS140" s="3"/>
      <c r="AT140" s="3"/>
      <c r="AU140" s="3"/>
      <c r="AV140" s="3"/>
      <c r="AW140" s="3"/>
      <c r="AX140" s="3"/>
      <c r="AY140" s="3"/>
      <c r="AZ140" s="3"/>
      <c r="BA140" s="3"/>
      <c r="BB140" s="3"/>
      <c r="BC140" s="3"/>
      <c r="BD140" s="3"/>
      <c r="BE140" s="3"/>
      <c r="BF140" s="3"/>
    </row>
    <row r="141" spans="1:58" ht="14.25" customHeight="1" x14ac:dyDescent="0.45">
      <c r="A141" s="618"/>
      <c r="B141" s="215"/>
      <c r="C141" s="220" t="s">
        <v>222</v>
      </c>
      <c r="D141" s="247" t="s">
        <v>223</v>
      </c>
      <c r="E141" s="29"/>
      <c r="F141" s="29"/>
      <c r="G141" s="29"/>
      <c r="H141" s="29"/>
      <c r="I141" s="29"/>
      <c r="J141" s="29"/>
      <c r="K141" s="264">
        <f>(5.6+6.75)/1000</f>
        <v>1.235E-2</v>
      </c>
      <c r="L141" s="264">
        <f>(2.75)/1000</f>
        <v>2.7499999999999998E-3</v>
      </c>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618"/>
      <c r="AM141" s="3"/>
      <c r="AN141" s="3"/>
      <c r="AO141" s="3"/>
      <c r="AP141" s="3"/>
      <c r="AQ141" s="3"/>
      <c r="AR141" s="3"/>
      <c r="AS141" s="3"/>
      <c r="AT141" s="3"/>
      <c r="AU141" s="3"/>
      <c r="AV141" s="3"/>
      <c r="AW141" s="3"/>
      <c r="AX141" s="3"/>
      <c r="AY141" s="3"/>
      <c r="AZ141" s="3"/>
      <c r="BA141" s="3"/>
      <c r="BB141" s="3"/>
      <c r="BC141" s="3"/>
      <c r="BD141" s="3"/>
      <c r="BE141" s="3"/>
      <c r="BF141" s="3"/>
    </row>
    <row r="142" spans="1:58" ht="14.25" customHeight="1" x14ac:dyDescent="0.45">
      <c r="A142" s="618"/>
      <c r="B142" s="215"/>
      <c r="C142" s="220"/>
      <c r="D142" s="224" t="s">
        <v>172</v>
      </c>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618"/>
      <c r="AM142" s="3"/>
      <c r="AN142" s="3"/>
      <c r="AO142" s="3"/>
      <c r="AP142" s="3"/>
      <c r="AQ142" s="3"/>
      <c r="AR142" s="3"/>
      <c r="AS142" s="3"/>
      <c r="AT142" s="3"/>
      <c r="AU142" s="3"/>
      <c r="AV142" s="3"/>
      <c r="AW142" s="3"/>
      <c r="AX142" s="3"/>
      <c r="AY142" s="3"/>
      <c r="AZ142" s="3"/>
      <c r="BA142" s="3"/>
      <c r="BB142" s="3"/>
      <c r="BC142" s="3"/>
      <c r="BD142" s="3"/>
      <c r="BE142" s="3"/>
      <c r="BF142" s="3"/>
    </row>
    <row r="143" spans="1:58" ht="14.25" customHeight="1" x14ac:dyDescent="0.45">
      <c r="A143" s="618"/>
      <c r="B143" s="215"/>
      <c r="C143" s="220"/>
      <c r="D143" s="228" t="s">
        <v>224</v>
      </c>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618"/>
      <c r="AM143" s="3"/>
      <c r="AN143" s="3"/>
      <c r="AO143" s="3"/>
      <c r="AP143" s="3"/>
      <c r="AQ143" s="3"/>
      <c r="AR143" s="3"/>
      <c r="AS143" s="3"/>
      <c r="AT143" s="3"/>
      <c r="AU143" s="3"/>
      <c r="AV143" s="3"/>
      <c r="AW143" s="3"/>
      <c r="AX143" s="3"/>
      <c r="AY143" s="3"/>
      <c r="AZ143" s="3"/>
      <c r="BA143" s="3"/>
      <c r="BB143" s="3"/>
      <c r="BC143" s="3"/>
      <c r="BD143" s="3"/>
      <c r="BE143" s="3"/>
      <c r="BF143" s="3"/>
    </row>
    <row r="144" spans="1:58" ht="14.25" customHeight="1" x14ac:dyDescent="0.45">
      <c r="A144" s="618"/>
      <c r="B144" s="215"/>
      <c r="C144" s="220"/>
      <c r="D144" s="247" t="s">
        <v>225</v>
      </c>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618"/>
      <c r="AM144" s="3"/>
      <c r="AN144" s="3"/>
      <c r="AO144" s="3"/>
      <c r="AP144" s="3"/>
      <c r="AQ144" s="3"/>
      <c r="AR144" s="3"/>
      <c r="AS144" s="3"/>
      <c r="AT144" s="3"/>
      <c r="AU144" s="3"/>
      <c r="AV144" s="3"/>
      <c r="AW144" s="3"/>
      <c r="AX144" s="3"/>
      <c r="AY144" s="3"/>
      <c r="AZ144" s="3"/>
      <c r="BA144" s="3"/>
      <c r="BB144" s="3"/>
      <c r="BC144" s="3"/>
      <c r="BD144" s="3"/>
      <c r="BE144" s="3"/>
      <c r="BF144" s="3"/>
    </row>
    <row r="145" spans="1:58" ht="14.25" customHeight="1" x14ac:dyDescent="0.45">
      <c r="A145" s="618"/>
      <c r="B145" s="215"/>
      <c r="C145" s="220" t="s">
        <v>226</v>
      </c>
      <c r="D145" s="221" t="s">
        <v>227</v>
      </c>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618"/>
      <c r="AM145" s="3"/>
      <c r="AN145" s="3"/>
      <c r="AO145" s="3"/>
      <c r="AP145" s="3"/>
      <c r="AQ145" s="3"/>
      <c r="AR145" s="3"/>
      <c r="AS145" s="3"/>
      <c r="AT145" s="3"/>
      <c r="AU145" s="3"/>
      <c r="AV145" s="3"/>
      <c r="AW145" s="3"/>
      <c r="AX145" s="3"/>
      <c r="AY145" s="3"/>
      <c r="AZ145" s="3"/>
      <c r="BA145" s="3"/>
      <c r="BB145" s="3"/>
      <c r="BC145" s="3"/>
      <c r="BD145" s="3"/>
      <c r="BE145" s="3"/>
      <c r="BF145" s="3"/>
    </row>
    <row r="146" spans="1:58" ht="14.25" customHeight="1" x14ac:dyDescent="0.45">
      <c r="A146" s="618"/>
      <c r="B146" s="215"/>
      <c r="C146" s="220" t="s">
        <v>228</v>
      </c>
      <c r="D146" s="221" t="s">
        <v>229</v>
      </c>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618"/>
      <c r="AM146" s="3"/>
      <c r="AN146" s="3"/>
      <c r="AO146" s="3"/>
      <c r="AP146" s="3"/>
      <c r="AQ146" s="3"/>
      <c r="AR146" s="3"/>
      <c r="AS146" s="3"/>
      <c r="AT146" s="3"/>
      <c r="AU146" s="3"/>
      <c r="AV146" s="3"/>
      <c r="AW146" s="3"/>
      <c r="AX146" s="3"/>
      <c r="AY146" s="3"/>
      <c r="AZ146" s="3"/>
      <c r="BA146" s="3"/>
      <c r="BB146" s="3"/>
      <c r="BC146" s="3"/>
      <c r="BD146" s="3"/>
      <c r="BE146" s="3"/>
      <c r="BF146" s="3"/>
    </row>
    <row r="147" spans="1:58" ht="14.25" customHeight="1" x14ac:dyDescent="0.45">
      <c r="A147" s="618"/>
      <c r="B147" s="215"/>
      <c r="C147" s="220"/>
      <c r="D147" s="247" t="s">
        <v>230</v>
      </c>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618"/>
      <c r="AM147" s="3"/>
      <c r="AN147" s="3"/>
      <c r="AO147" s="3"/>
      <c r="AP147" s="3"/>
      <c r="AQ147" s="3"/>
      <c r="AR147" s="3"/>
      <c r="AS147" s="3"/>
      <c r="AT147" s="3"/>
      <c r="AU147" s="3"/>
      <c r="AV147" s="3"/>
      <c r="AW147" s="3"/>
      <c r="AX147" s="3"/>
      <c r="AY147" s="3"/>
      <c r="AZ147" s="3"/>
      <c r="BA147" s="3"/>
      <c r="BB147" s="3"/>
      <c r="BC147" s="3"/>
      <c r="BD147" s="3"/>
      <c r="BE147" s="3"/>
      <c r="BF147" s="3"/>
    </row>
    <row r="148" spans="1:58" ht="14.25" customHeight="1" x14ac:dyDescent="0.45">
      <c r="A148" s="618"/>
      <c r="B148" s="215"/>
      <c r="C148" s="220" t="s">
        <v>231</v>
      </c>
      <c r="D148" s="221" t="s">
        <v>227</v>
      </c>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618"/>
      <c r="AM148" s="3"/>
      <c r="AN148" s="3"/>
      <c r="AO148" s="3"/>
      <c r="AP148" s="3"/>
      <c r="AQ148" s="3"/>
      <c r="AR148" s="3"/>
      <c r="AS148" s="3"/>
      <c r="AT148" s="3"/>
      <c r="AU148" s="3"/>
      <c r="AV148" s="3"/>
      <c r="AW148" s="3"/>
      <c r="AX148" s="3"/>
      <c r="AY148" s="3"/>
      <c r="AZ148" s="3"/>
      <c r="BA148" s="3"/>
      <c r="BB148" s="3"/>
      <c r="BC148" s="3"/>
      <c r="BD148" s="3"/>
      <c r="BE148" s="3"/>
      <c r="BF148" s="3"/>
    </row>
    <row r="149" spans="1:58" ht="14.25" customHeight="1" x14ac:dyDescent="0.45">
      <c r="A149" s="618"/>
      <c r="B149" s="215"/>
      <c r="C149" s="220" t="s">
        <v>232</v>
      </c>
      <c r="D149" s="221" t="s">
        <v>229</v>
      </c>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618"/>
      <c r="AM149" s="3"/>
      <c r="AN149" s="3"/>
      <c r="AO149" s="3"/>
      <c r="AP149" s="3"/>
      <c r="AQ149" s="3"/>
      <c r="AR149" s="3"/>
      <c r="AS149" s="3"/>
      <c r="AT149" s="3"/>
      <c r="AU149" s="3"/>
      <c r="AV149" s="3"/>
      <c r="AW149" s="3"/>
      <c r="AX149" s="3"/>
      <c r="AY149" s="3"/>
      <c r="AZ149" s="3"/>
      <c r="BA149" s="3"/>
      <c r="BB149" s="3"/>
      <c r="BC149" s="3"/>
      <c r="BD149" s="3"/>
      <c r="BE149" s="3"/>
      <c r="BF149" s="3"/>
    </row>
    <row r="150" spans="1:58" ht="14.25" customHeight="1" x14ac:dyDescent="0.45">
      <c r="A150" s="618"/>
      <c r="B150" s="215"/>
      <c r="C150" s="220"/>
      <c r="D150" s="224" t="s">
        <v>178</v>
      </c>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618"/>
      <c r="AM150" s="3"/>
      <c r="AN150" s="3"/>
      <c r="AO150" s="3"/>
      <c r="AP150" s="3"/>
      <c r="AQ150" s="3"/>
      <c r="AR150" s="3"/>
      <c r="AS150" s="3"/>
      <c r="AT150" s="3"/>
      <c r="AU150" s="3"/>
      <c r="AV150" s="3"/>
      <c r="AW150" s="3"/>
      <c r="AX150" s="3"/>
      <c r="AY150" s="3"/>
      <c r="AZ150" s="3"/>
      <c r="BA150" s="3"/>
      <c r="BB150" s="3"/>
      <c r="BC150" s="3"/>
      <c r="BD150" s="3"/>
      <c r="BE150" s="3"/>
      <c r="BF150" s="3"/>
    </row>
    <row r="151" spans="1:58" ht="14.25" customHeight="1" x14ac:dyDescent="0.45">
      <c r="A151" s="618"/>
      <c r="B151" s="215"/>
      <c r="C151" s="220" t="s">
        <v>233</v>
      </c>
      <c r="D151" s="247" t="s">
        <v>223</v>
      </c>
      <c r="E151" s="29"/>
      <c r="F151" s="29"/>
      <c r="G151" s="29"/>
      <c r="H151" s="29"/>
      <c r="I151" s="29"/>
      <c r="J151" s="37">
        <f>(1+0.8+0.5+0.09+0.08)/1000</f>
        <v>2.4699999999999995E-3</v>
      </c>
      <c r="K151" s="37">
        <f>(2.5+4)/1000</f>
        <v>6.4999999999999997E-3</v>
      </c>
      <c r="L151" s="37">
        <f>(1.5+0.5)/1000</f>
        <v>2E-3</v>
      </c>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618"/>
      <c r="AM151" s="3"/>
      <c r="AN151" s="3"/>
      <c r="AO151" s="3"/>
      <c r="AP151" s="3"/>
      <c r="AQ151" s="3"/>
      <c r="AR151" s="3"/>
      <c r="AS151" s="3"/>
      <c r="AT151" s="3"/>
      <c r="AU151" s="3"/>
      <c r="AV151" s="3"/>
      <c r="AW151" s="3"/>
      <c r="AX151" s="3"/>
      <c r="AY151" s="3"/>
      <c r="AZ151" s="3"/>
      <c r="BA151" s="3"/>
      <c r="BB151" s="3"/>
      <c r="BC151" s="3"/>
      <c r="BD151" s="3"/>
      <c r="BE151" s="3"/>
      <c r="BF151" s="3"/>
    </row>
    <row r="152" spans="1:58" ht="14.25" customHeight="1" x14ac:dyDescent="0.45">
      <c r="A152" s="618"/>
      <c r="B152" s="215"/>
      <c r="C152" s="220" t="s">
        <v>234</v>
      </c>
      <c r="D152" s="247" t="s">
        <v>225</v>
      </c>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618"/>
      <c r="AM152" s="3"/>
      <c r="AN152" s="3"/>
      <c r="AO152" s="3"/>
      <c r="AP152" s="3"/>
      <c r="AQ152" s="3"/>
      <c r="AR152" s="3"/>
      <c r="AS152" s="3"/>
      <c r="AT152" s="3"/>
      <c r="AU152" s="3"/>
      <c r="AV152" s="3"/>
      <c r="AW152" s="3"/>
      <c r="AX152" s="3"/>
      <c r="AY152" s="3"/>
      <c r="AZ152" s="3"/>
      <c r="BA152" s="3"/>
      <c r="BB152" s="3"/>
      <c r="BC152" s="3"/>
      <c r="BD152" s="3"/>
      <c r="BE152" s="3"/>
      <c r="BF152" s="3"/>
    </row>
    <row r="153" spans="1:58" ht="14.25" customHeight="1" x14ac:dyDescent="0.45">
      <c r="A153" s="618"/>
      <c r="B153" s="215"/>
      <c r="C153" s="220"/>
      <c r="D153" s="224" t="s">
        <v>179</v>
      </c>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618"/>
      <c r="AM153" s="3"/>
      <c r="AN153" s="3"/>
      <c r="AO153" s="3"/>
      <c r="AP153" s="3"/>
      <c r="AQ153" s="3"/>
      <c r="AR153" s="3"/>
      <c r="AS153" s="3"/>
      <c r="AT153" s="3"/>
      <c r="AU153" s="3"/>
      <c r="AV153" s="3"/>
      <c r="AW153" s="3"/>
      <c r="AX153" s="3"/>
      <c r="AY153" s="3"/>
      <c r="AZ153" s="3"/>
      <c r="BA153" s="3"/>
      <c r="BB153" s="3"/>
      <c r="BC153" s="3"/>
      <c r="BD153" s="3"/>
      <c r="BE153" s="3"/>
      <c r="BF153" s="3"/>
    </row>
    <row r="154" spans="1:58" ht="14.25" customHeight="1" x14ac:dyDescent="0.45">
      <c r="A154" s="618"/>
      <c r="B154" s="215"/>
      <c r="C154" s="220"/>
      <c r="D154" s="228" t="s">
        <v>180</v>
      </c>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618"/>
      <c r="AM154" s="3"/>
      <c r="AN154" s="3"/>
      <c r="AO154" s="3"/>
      <c r="AP154" s="3"/>
      <c r="AQ154" s="3"/>
      <c r="AR154" s="3"/>
      <c r="AS154" s="3"/>
      <c r="AT154" s="3"/>
      <c r="AU154" s="3"/>
      <c r="AV154" s="3"/>
      <c r="AW154" s="3"/>
      <c r="AX154" s="3"/>
      <c r="AY154" s="3"/>
      <c r="AZ154" s="3"/>
      <c r="BA154" s="3"/>
      <c r="BB154" s="3"/>
      <c r="BC154" s="3"/>
      <c r="BD154" s="3"/>
      <c r="BE154" s="3"/>
      <c r="BF154" s="3"/>
    </row>
    <row r="155" spans="1:58" ht="14.25" customHeight="1" x14ac:dyDescent="0.45">
      <c r="A155" s="618"/>
      <c r="B155" s="215"/>
      <c r="C155" s="220"/>
      <c r="D155" s="247" t="s">
        <v>225</v>
      </c>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c r="AA155" s="218"/>
      <c r="AB155" s="218"/>
      <c r="AC155" s="218"/>
      <c r="AD155" s="218"/>
      <c r="AE155" s="218"/>
      <c r="AF155" s="218"/>
      <c r="AG155" s="218"/>
      <c r="AH155" s="218"/>
      <c r="AI155" s="218"/>
      <c r="AJ155" s="218"/>
      <c r="AK155" s="218"/>
      <c r="AL155" s="618"/>
      <c r="AM155" s="3"/>
      <c r="AN155" s="3"/>
      <c r="AO155" s="3"/>
      <c r="AP155" s="3"/>
      <c r="AQ155" s="3"/>
      <c r="AR155" s="3"/>
      <c r="AS155" s="3"/>
      <c r="AT155" s="3"/>
      <c r="AU155" s="3"/>
      <c r="AV155" s="3"/>
      <c r="AW155" s="3"/>
      <c r="AX155" s="3"/>
      <c r="AY155" s="3"/>
      <c r="AZ155" s="3"/>
      <c r="BA155" s="3"/>
      <c r="BB155" s="3"/>
      <c r="BC155" s="3"/>
      <c r="BD155" s="3"/>
      <c r="BE155" s="3"/>
      <c r="BF155" s="3"/>
    </row>
    <row r="156" spans="1:58" ht="14.25" customHeight="1" x14ac:dyDescent="0.45">
      <c r="A156" s="618"/>
      <c r="B156" s="215"/>
      <c r="C156" s="220" t="s">
        <v>235</v>
      </c>
      <c r="D156" s="221" t="s">
        <v>236</v>
      </c>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c r="AA156" s="218"/>
      <c r="AB156" s="218"/>
      <c r="AC156" s="218"/>
      <c r="AD156" s="218"/>
      <c r="AE156" s="218"/>
      <c r="AF156" s="218"/>
      <c r="AG156" s="218"/>
      <c r="AH156" s="218"/>
      <c r="AI156" s="218"/>
      <c r="AJ156" s="218"/>
      <c r="AK156" s="218"/>
      <c r="AL156" s="618"/>
      <c r="AM156" s="3"/>
      <c r="AN156" s="3"/>
      <c r="AO156" s="3"/>
      <c r="AP156" s="3"/>
      <c r="AQ156" s="3"/>
      <c r="AR156" s="3"/>
      <c r="AS156" s="3"/>
      <c r="AT156" s="3"/>
      <c r="AU156" s="3"/>
      <c r="AV156" s="3"/>
      <c r="AW156" s="3"/>
      <c r="AX156" s="3"/>
      <c r="AY156" s="3"/>
      <c r="AZ156" s="3"/>
      <c r="BA156" s="3"/>
      <c r="BB156" s="3"/>
      <c r="BC156" s="3"/>
      <c r="BD156" s="3"/>
      <c r="BE156" s="3"/>
      <c r="BF156" s="3"/>
    </row>
    <row r="157" spans="1:58" ht="14.25" customHeight="1" x14ac:dyDescent="0.45">
      <c r="A157" s="618"/>
      <c r="B157" s="215"/>
      <c r="C157" s="220"/>
      <c r="D157" s="247" t="s">
        <v>223</v>
      </c>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c r="AA157" s="218"/>
      <c r="AB157" s="218"/>
      <c r="AC157" s="218"/>
      <c r="AD157" s="218"/>
      <c r="AE157" s="218"/>
      <c r="AF157" s="218"/>
      <c r="AG157" s="218"/>
      <c r="AH157" s="218"/>
      <c r="AI157" s="218"/>
      <c r="AJ157" s="218"/>
      <c r="AK157" s="218"/>
      <c r="AL157" s="618"/>
      <c r="AM157" s="3"/>
      <c r="AN157" s="3"/>
      <c r="AO157" s="3"/>
      <c r="AP157" s="3"/>
      <c r="AQ157" s="3"/>
      <c r="AR157" s="3"/>
      <c r="AS157" s="3"/>
      <c r="AT157" s="3"/>
      <c r="AU157" s="3"/>
      <c r="AV157" s="3"/>
      <c r="AW157" s="3"/>
      <c r="AX157" s="3"/>
      <c r="AY157" s="3"/>
      <c r="AZ157" s="3"/>
      <c r="BA157" s="3"/>
      <c r="BB157" s="3"/>
      <c r="BC157" s="3"/>
      <c r="BD157" s="3"/>
      <c r="BE157" s="3"/>
      <c r="BF157" s="3"/>
    </row>
    <row r="158" spans="1:58" ht="14.25" customHeight="1" x14ac:dyDescent="0.45">
      <c r="A158" s="618"/>
      <c r="B158" s="215"/>
      <c r="C158" s="220" t="s">
        <v>237</v>
      </c>
      <c r="D158" s="221" t="s">
        <v>236</v>
      </c>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c r="AA158" s="218"/>
      <c r="AB158" s="218"/>
      <c r="AC158" s="218"/>
      <c r="AD158" s="218"/>
      <c r="AE158" s="218"/>
      <c r="AF158" s="218"/>
      <c r="AG158" s="218"/>
      <c r="AH158" s="218"/>
      <c r="AI158" s="218"/>
      <c r="AJ158" s="218"/>
      <c r="AK158" s="218"/>
      <c r="AL158" s="618"/>
      <c r="AM158" s="3"/>
      <c r="AN158" s="3"/>
      <c r="AO158" s="3"/>
      <c r="AP158" s="3"/>
      <c r="AQ158" s="3"/>
      <c r="AR158" s="3"/>
      <c r="AS158" s="3"/>
      <c r="AT158" s="3"/>
      <c r="AU158" s="3"/>
      <c r="AV158" s="3"/>
      <c r="AW158" s="3"/>
      <c r="AX158" s="3"/>
      <c r="AY158" s="3"/>
      <c r="AZ158" s="3"/>
      <c r="BA158" s="3"/>
      <c r="BB158" s="3"/>
      <c r="BC158" s="3"/>
      <c r="BD158" s="3"/>
      <c r="BE158" s="3"/>
      <c r="BF158" s="3"/>
    </row>
    <row r="159" spans="1:58" ht="14.25" customHeight="1" x14ac:dyDescent="0.45">
      <c r="A159" s="618"/>
      <c r="B159" s="215"/>
      <c r="C159" s="220"/>
      <c r="D159" s="247" t="s">
        <v>238</v>
      </c>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c r="AD159" s="218"/>
      <c r="AE159" s="218"/>
      <c r="AF159" s="218"/>
      <c r="AG159" s="218"/>
      <c r="AH159" s="218"/>
      <c r="AI159" s="218"/>
      <c r="AJ159" s="218"/>
      <c r="AK159" s="218"/>
      <c r="AL159" s="618"/>
      <c r="AM159" s="3"/>
      <c r="AN159" s="3"/>
      <c r="AO159" s="3"/>
      <c r="AP159" s="3"/>
      <c r="AQ159" s="3"/>
      <c r="AR159" s="3"/>
      <c r="AS159" s="3"/>
      <c r="AT159" s="3"/>
      <c r="AU159" s="3"/>
      <c r="AV159" s="3"/>
      <c r="AW159" s="3"/>
      <c r="AX159" s="3"/>
      <c r="AY159" s="3"/>
      <c r="AZ159" s="3"/>
      <c r="BA159" s="3"/>
      <c r="BB159" s="3"/>
      <c r="BC159" s="3"/>
      <c r="BD159" s="3"/>
      <c r="BE159" s="3"/>
      <c r="BF159" s="3"/>
    </row>
    <row r="160" spans="1:58" ht="14.25" customHeight="1" x14ac:dyDescent="0.45">
      <c r="A160" s="618"/>
      <c r="B160" s="215"/>
      <c r="C160" s="220" t="s">
        <v>239</v>
      </c>
      <c r="D160" s="221" t="s">
        <v>240</v>
      </c>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c r="AD160" s="218"/>
      <c r="AE160" s="218"/>
      <c r="AF160" s="218"/>
      <c r="AG160" s="218"/>
      <c r="AH160" s="218"/>
      <c r="AI160" s="218"/>
      <c r="AJ160" s="218"/>
      <c r="AK160" s="218"/>
      <c r="AL160" s="618"/>
      <c r="AM160" s="3"/>
      <c r="AN160" s="3"/>
      <c r="AO160" s="3"/>
      <c r="AP160" s="3"/>
      <c r="AQ160" s="3"/>
      <c r="AR160" s="3"/>
      <c r="AS160" s="3"/>
      <c r="AT160" s="3"/>
      <c r="AU160" s="3"/>
      <c r="AV160" s="3"/>
      <c r="AW160" s="3"/>
      <c r="AX160" s="3"/>
      <c r="AY160" s="3"/>
      <c r="AZ160" s="3"/>
      <c r="BA160" s="3"/>
      <c r="BB160" s="3"/>
      <c r="BC160" s="3"/>
      <c r="BD160" s="3"/>
      <c r="BE160" s="3"/>
      <c r="BF160" s="3"/>
    </row>
    <row r="161" spans="1:58" ht="14.25" customHeight="1" x14ac:dyDescent="0.45">
      <c r="A161" s="618"/>
      <c r="B161" s="215"/>
      <c r="C161" s="220" t="s">
        <v>241</v>
      </c>
      <c r="D161" s="221" t="s">
        <v>236</v>
      </c>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c r="AD161" s="218"/>
      <c r="AE161" s="218"/>
      <c r="AF161" s="218"/>
      <c r="AG161" s="218"/>
      <c r="AH161" s="218"/>
      <c r="AI161" s="218"/>
      <c r="AJ161" s="218"/>
      <c r="AK161" s="218"/>
      <c r="AL161" s="618"/>
      <c r="AM161" s="3"/>
      <c r="AN161" s="3"/>
      <c r="AO161" s="3"/>
      <c r="AP161" s="3"/>
      <c r="AQ161" s="3"/>
      <c r="AR161" s="3"/>
      <c r="AS161" s="3"/>
      <c r="AT161" s="3"/>
      <c r="AU161" s="3"/>
      <c r="AV161" s="3"/>
      <c r="AW161" s="3"/>
      <c r="AX161" s="3"/>
      <c r="AY161" s="3"/>
      <c r="AZ161" s="3"/>
      <c r="BA161" s="3"/>
      <c r="BB161" s="3"/>
      <c r="BC161" s="3"/>
      <c r="BD161" s="3"/>
      <c r="BE161" s="3"/>
      <c r="BF161" s="3"/>
    </row>
    <row r="162" spans="1:58" ht="14.25" customHeight="1" x14ac:dyDescent="0.45">
      <c r="A162" s="618"/>
      <c r="B162" s="215"/>
      <c r="C162" s="220" t="s">
        <v>242</v>
      </c>
      <c r="D162" s="221" t="s">
        <v>243</v>
      </c>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c r="AD162" s="218"/>
      <c r="AE162" s="218"/>
      <c r="AF162" s="218"/>
      <c r="AG162" s="218"/>
      <c r="AH162" s="218"/>
      <c r="AI162" s="218"/>
      <c r="AJ162" s="218"/>
      <c r="AK162" s="218"/>
      <c r="AL162" s="618"/>
      <c r="AM162" s="3"/>
      <c r="AN162" s="3"/>
      <c r="AO162" s="3"/>
      <c r="AP162" s="3"/>
      <c r="AQ162" s="3"/>
      <c r="AR162" s="3"/>
      <c r="AS162" s="3"/>
      <c r="AT162" s="3"/>
      <c r="AU162" s="3"/>
      <c r="AV162" s="3"/>
      <c r="AW162" s="3"/>
      <c r="AX162" s="3"/>
      <c r="AY162" s="3"/>
      <c r="AZ162" s="3"/>
      <c r="BA162" s="3"/>
      <c r="BB162" s="3"/>
      <c r="BC162" s="3"/>
      <c r="BD162" s="3"/>
      <c r="BE162" s="3"/>
      <c r="BF162" s="3"/>
    </row>
    <row r="163" spans="1:58" ht="14.25" customHeight="1" x14ac:dyDescent="0.45">
      <c r="A163" s="618"/>
      <c r="B163" s="215"/>
      <c r="C163" s="220" t="s">
        <v>244</v>
      </c>
      <c r="D163" s="221" t="s">
        <v>245</v>
      </c>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18"/>
      <c r="AH163" s="218"/>
      <c r="AI163" s="218"/>
      <c r="AJ163" s="218"/>
      <c r="AK163" s="218"/>
      <c r="AL163" s="618"/>
      <c r="AM163" s="3"/>
      <c r="AN163" s="3"/>
      <c r="AO163" s="3"/>
      <c r="AP163" s="3"/>
      <c r="AQ163" s="3"/>
      <c r="AR163" s="3"/>
      <c r="AS163" s="3"/>
      <c r="AT163" s="3"/>
      <c r="AU163" s="3"/>
      <c r="AV163" s="3"/>
      <c r="AW163" s="3"/>
      <c r="AX163" s="3"/>
      <c r="AY163" s="3"/>
      <c r="AZ163" s="3"/>
      <c r="BA163" s="3"/>
      <c r="BB163" s="3"/>
      <c r="BC163" s="3"/>
      <c r="BD163" s="3"/>
      <c r="BE163" s="3"/>
      <c r="BF163" s="3"/>
    </row>
    <row r="164" spans="1:58" ht="14.25" customHeight="1" x14ac:dyDescent="0.45">
      <c r="A164" s="618"/>
      <c r="B164" s="215"/>
      <c r="C164" s="220"/>
      <c r="D164" s="228" t="s">
        <v>188</v>
      </c>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218"/>
      <c r="AG164" s="218"/>
      <c r="AH164" s="218"/>
      <c r="AI164" s="218"/>
      <c r="AJ164" s="218"/>
      <c r="AK164" s="218"/>
      <c r="AL164" s="618"/>
      <c r="AM164" s="3"/>
      <c r="AN164" s="3"/>
      <c r="AO164" s="3"/>
      <c r="AP164" s="3"/>
      <c r="AQ164" s="3"/>
      <c r="AR164" s="3"/>
      <c r="AS164" s="3"/>
      <c r="AT164" s="3"/>
      <c r="AU164" s="3"/>
      <c r="AV164" s="3"/>
      <c r="AW164" s="3"/>
      <c r="AX164" s="3"/>
      <c r="AY164" s="3"/>
      <c r="AZ164" s="3"/>
      <c r="BA164" s="3"/>
      <c r="BB164" s="3"/>
      <c r="BC164" s="3"/>
      <c r="BD164" s="3"/>
      <c r="BE164" s="3"/>
      <c r="BF164" s="3"/>
    </row>
    <row r="165" spans="1:58" ht="14.25" customHeight="1" x14ac:dyDescent="0.45">
      <c r="A165" s="618"/>
      <c r="B165" s="215"/>
      <c r="C165" s="220"/>
      <c r="D165" s="247" t="s">
        <v>238</v>
      </c>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c r="AD165" s="218"/>
      <c r="AE165" s="218"/>
      <c r="AF165" s="218"/>
      <c r="AG165" s="218"/>
      <c r="AH165" s="218"/>
      <c r="AI165" s="218"/>
      <c r="AJ165" s="218"/>
      <c r="AK165" s="218"/>
      <c r="AL165" s="618"/>
      <c r="AM165" s="3"/>
      <c r="AN165" s="3"/>
      <c r="AO165" s="3"/>
      <c r="AP165" s="3"/>
      <c r="AQ165" s="3"/>
      <c r="AR165" s="3"/>
      <c r="AS165" s="3"/>
      <c r="AT165" s="3"/>
      <c r="AU165" s="3"/>
      <c r="AV165" s="3"/>
      <c r="AW165" s="3"/>
      <c r="AX165" s="3"/>
      <c r="AY165" s="3"/>
      <c r="AZ165" s="3"/>
      <c r="BA165" s="3"/>
      <c r="BB165" s="3"/>
      <c r="BC165" s="3"/>
      <c r="BD165" s="3"/>
      <c r="BE165" s="3"/>
      <c r="BF165" s="3"/>
    </row>
    <row r="166" spans="1:58" ht="14.25" customHeight="1" x14ac:dyDescent="0.45">
      <c r="A166" s="618"/>
      <c r="B166" s="215"/>
      <c r="C166" s="220" t="s">
        <v>246</v>
      </c>
      <c r="D166" s="221" t="s">
        <v>236</v>
      </c>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c r="AD166" s="218"/>
      <c r="AE166" s="218"/>
      <c r="AF166" s="218"/>
      <c r="AG166" s="218"/>
      <c r="AH166" s="218"/>
      <c r="AI166" s="218"/>
      <c r="AJ166" s="218"/>
      <c r="AK166" s="218"/>
      <c r="AL166" s="618"/>
      <c r="AM166" s="3"/>
      <c r="AN166" s="3"/>
      <c r="AO166" s="3"/>
      <c r="AP166" s="3"/>
      <c r="AQ166" s="3"/>
      <c r="AR166" s="3"/>
      <c r="AS166" s="3"/>
      <c r="AT166" s="3"/>
      <c r="AU166" s="3"/>
      <c r="AV166" s="3"/>
      <c r="AW166" s="3"/>
      <c r="AX166" s="3"/>
      <c r="AY166" s="3"/>
      <c r="AZ166" s="3"/>
      <c r="BA166" s="3"/>
      <c r="BB166" s="3"/>
      <c r="BC166" s="3"/>
      <c r="BD166" s="3"/>
      <c r="BE166" s="3"/>
      <c r="BF166" s="3"/>
    </row>
    <row r="167" spans="1:58" ht="14.25" customHeight="1" x14ac:dyDescent="0.45">
      <c r="A167" s="618"/>
      <c r="B167" s="215"/>
      <c r="C167" s="220" t="s">
        <v>247</v>
      </c>
      <c r="D167" s="221" t="s">
        <v>248</v>
      </c>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c r="AD167" s="218"/>
      <c r="AE167" s="218"/>
      <c r="AF167" s="218"/>
      <c r="AG167" s="218"/>
      <c r="AH167" s="218"/>
      <c r="AI167" s="218"/>
      <c r="AJ167" s="218"/>
      <c r="AK167" s="218"/>
      <c r="AL167" s="618"/>
      <c r="AM167" s="3"/>
      <c r="AN167" s="3"/>
      <c r="AO167" s="3"/>
      <c r="AP167" s="3"/>
      <c r="AQ167" s="3"/>
      <c r="AR167" s="3"/>
      <c r="AS167" s="3"/>
      <c r="AT167" s="3"/>
      <c r="AU167" s="3"/>
      <c r="AV167" s="3"/>
      <c r="AW167" s="3"/>
      <c r="AX167" s="3"/>
      <c r="AY167" s="3"/>
      <c r="AZ167" s="3"/>
      <c r="BA167" s="3"/>
      <c r="BB167" s="3"/>
      <c r="BC167" s="3"/>
      <c r="BD167" s="3"/>
      <c r="BE167" s="3"/>
      <c r="BF167" s="3"/>
    </row>
    <row r="168" spans="1:58" ht="14.25" customHeight="1" x14ac:dyDescent="0.45">
      <c r="A168" s="618"/>
      <c r="B168" s="215"/>
      <c r="C168" s="220" t="s">
        <v>249</v>
      </c>
      <c r="D168" s="221" t="s">
        <v>240</v>
      </c>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c r="AD168" s="218"/>
      <c r="AE168" s="218"/>
      <c r="AF168" s="218"/>
      <c r="AG168" s="218"/>
      <c r="AH168" s="218"/>
      <c r="AI168" s="218"/>
      <c r="AJ168" s="218"/>
      <c r="AK168" s="218"/>
      <c r="AL168" s="618"/>
      <c r="AM168" s="3"/>
      <c r="AN168" s="3"/>
      <c r="AO168" s="3"/>
      <c r="AP168" s="3"/>
      <c r="AQ168" s="3"/>
      <c r="AR168" s="3"/>
      <c r="AS168" s="3"/>
      <c r="AT168" s="3"/>
      <c r="AU168" s="3"/>
      <c r="AV168" s="3"/>
      <c r="AW168" s="3"/>
      <c r="AX168" s="3"/>
      <c r="AY168" s="3"/>
      <c r="AZ168" s="3"/>
      <c r="BA168" s="3"/>
      <c r="BB168" s="3"/>
      <c r="BC168" s="3"/>
      <c r="BD168" s="3"/>
      <c r="BE168" s="3"/>
      <c r="BF168" s="3"/>
    </row>
    <row r="169" spans="1:58" ht="14.25" customHeight="1" x14ac:dyDescent="0.45">
      <c r="A169" s="618"/>
      <c r="B169" s="215"/>
      <c r="C169" s="220"/>
      <c r="D169" s="228" t="s">
        <v>193</v>
      </c>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618"/>
      <c r="AM169" s="3"/>
      <c r="AN169" s="3"/>
      <c r="AO169" s="3"/>
      <c r="AP169" s="3"/>
      <c r="AQ169" s="3"/>
      <c r="AR169" s="3"/>
      <c r="AS169" s="3"/>
      <c r="AT169" s="3"/>
      <c r="AU169" s="3"/>
      <c r="AV169" s="3"/>
      <c r="AW169" s="3"/>
      <c r="AX169" s="3"/>
      <c r="AY169" s="3"/>
      <c r="AZ169" s="3"/>
      <c r="BA169" s="3"/>
      <c r="BB169" s="3"/>
      <c r="BC169" s="3"/>
      <c r="BD169" s="3"/>
      <c r="BE169" s="3"/>
      <c r="BF169" s="3"/>
    </row>
    <row r="170" spans="1:58" ht="14.25" customHeight="1" x14ac:dyDescent="0.45">
      <c r="A170" s="618"/>
      <c r="B170" s="215"/>
      <c r="C170" s="220"/>
      <c r="D170" s="247" t="s">
        <v>225</v>
      </c>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618"/>
      <c r="AM170" s="3"/>
      <c r="AN170" s="3"/>
      <c r="AO170" s="3"/>
      <c r="AP170" s="3"/>
      <c r="AQ170" s="3"/>
      <c r="AR170" s="3"/>
      <c r="AS170" s="3"/>
      <c r="AT170" s="3"/>
      <c r="AU170" s="3"/>
      <c r="AV170" s="3"/>
      <c r="AW170" s="3"/>
      <c r="AX170" s="3"/>
      <c r="AY170" s="3"/>
      <c r="AZ170" s="3"/>
      <c r="BA170" s="3"/>
      <c r="BB170" s="3"/>
      <c r="BC170" s="3"/>
      <c r="BD170" s="3"/>
      <c r="BE170" s="3"/>
      <c r="BF170" s="3"/>
    </row>
    <row r="171" spans="1:58" ht="14.25" customHeight="1" x14ac:dyDescent="0.45">
      <c r="A171" s="618"/>
      <c r="B171" s="215"/>
      <c r="C171" s="220" t="s">
        <v>250</v>
      </c>
      <c r="D171" s="221" t="s">
        <v>236</v>
      </c>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618"/>
      <c r="AM171" s="3"/>
      <c r="AN171" s="3"/>
      <c r="AO171" s="3"/>
      <c r="AP171" s="3"/>
      <c r="AQ171" s="3"/>
      <c r="AR171" s="3"/>
      <c r="AS171" s="3"/>
      <c r="AT171" s="3"/>
      <c r="AU171" s="3"/>
      <c r="AV171" s="3"/>
      <c r="AW171" s="3"/>
      <c r="AX171" s="3"/>
      <c r="AY171" s="3"/>
      <c r="AZ171" s="3"/>
      <c r="BA171" s="3"/>
      <c r="BB171" s="3"/>
      <c r="BC171" s="3"/>
      <c r="BD171" s="3"/>
      <c r="BE171" s="3"/>
      <c r="BF171" s="3"/>
    </row>
    <row r="172" spans="1:58" ht="14.25" customHeight="1" x14ac:dyDescent="0.45">
      <c r="A172" s="618"/>
      <c r="B172" s="215"/>
      <c r="C172" s="220"/>
      <c r="D172" s="247" t="s">
        <v>230</v>
      </c>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618"/>
      <c r="AM172" s="3"/>
      <c r="AN172" s="3"/>
      <c r="AO172" s="3"/>
      <c r="AP172" s="3"/>
      <c r="AQ172" s="3"/>
      <c r="AR172" s="3"/>
      <c r="AS172" s="3"/>
      <c r="AT172" s="3"/>
      <c r="AU172" s="3"/>
      <c r="AV172" s="3"/>
      <c r="AW172" s="3"/>
      <c r="AX172" s="3"/>
      <c r="AY172" s="3"/>
      <c r="AZ172" s="3"/>
      <c r="BA172" s="3"/>
      <c r="BB172" s="3"/>
      <c r="BC172" s="3"/>
      <c r="BD172" s="3"/>
      <c r="BE172" s="3"/>
      <c r="BF172" s="3"/>
    </row>
    <row r="173" spans="1:58" ht="14.25" customHeight="1" x14ac:dyDescent="0.45">
      <c r="A173" s="618"/>
      <c r="B173" s="215"/>
      <c r="C173" s="220" t="s">
        <v>251</v>
      </c>
      <c r="D173" s="221" t="s">
        <v>236</v>
      </c>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618"/>
      <c r="AM173" s="3"/>
      <c r="AN173" s="3"/>
      <c r="AO173" s="3"/>
      <c r="AP173" s="3"/>
      <c r="AQ173" s="3"/>
      <c r="AR173" s="3"/>
      <c r="AS173" s="3"/>
      <c r="AT173" s="3"/>
      <c r="AU173" s="3"/>
      <c r="AV173" s="3"/>
      <c r="AW173" s="3"/>
      <c r="AX173" s="3"/>
      <c r="AY173" s="3"/>
      <c r="AZ173" s="3"/>
      <c r="BA173" s="3"/>
      <c r="BB173" s="3"/>
      <c r="BC173" s="3"/>
      <c r="BD173" s="3"/>
      <c r="BE173" s="3"/>
      <c r="BF173" s="3"/>
    </row>
    <row r="174" spans="1:58" ht="14.25" customHeight="1" x14ac:dyDescent="0.45">
      <c r="A174" s="618"/>
      <c r="B174" s="215"/>
      <c r="C174" s="220"/>
      <c r="D174" s="247" t="s">
        <v>238</v>
      </c>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618"/>
      <c r="AM174" s="3"/>
      <c r="AN174" s="3"/>
      <c r="AO174" s="3"/>
      <c r="AP174" s="3"/>
      <c r="AQ174" s="3"/>
      <c r="AR174" s="3"/>
      <c r="AS174" s="3"/>
      <c r="AT174" s="3"/>
      <c r="AU174" s="3"/>
      <c r="AV174" s="3"/>
      <c r="AW174" s="3"/>
      <c r="AX174" s="3"/>
      <c r="AY174" s="3"/>
      <c r="AZ174" s="3"/>
      <c r="BA174" s="3"/>
      <c r="BB174" s="3"/>
      <c r="BC174" s="3"/>
      <c r="BD174" s="3"/>
      <c r="BE174" s="3"/>
      <c r="BF174" s="3"/>
    </row>
    <row r="175" spans="1:58" ht="14.25" customHeight="1" x14ac:dyDescent="0.45">
      <c r="A175" s="618"/>
      <c r="B175" s="215"/>
      <c r="C175" s="220" t="s">
        <v>252</v>
      </c>
      <c r="D175" s="221" t="s">
        <v>245</v>
      </c>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618"/>
      <c r="AM175" s="3"/>
      <c r="AN175" s="3"/>
      <c r="AO175" s="3"/>
      <c r="AP175" s="3"/>
      <c r="AQ175" s="3"/>
      <c r="AR175" s="3"/>
      <c r="AS175" s="3"/>
      <c r="AT175" s="3"/>
      <c r="AU175" s="3"/>
      <c r="AV175" s="3"/>
      <c r="AW175" s="3"/>
      <c r="AX175" s="3"/>
      <c r="AY175" s="3"/>
      <c r="AZ175" s="3"/>
      <c r="BA175" s="3"/>
      <c r="BB175" s="3"/>
      <c r="BC175" s="3"/>
      <c r="BD175" s="3"/>
      <c r="BE175" s="3"/>
      <c r="BF175" s="3"/>
    </row>
    <row r="176" spans="1:58" ht="14.25" customHeight="1" x14ac:dyDescent="0.45">
      <c r="A176" s="618"/>
      <c r="B176" s="215"/>
      <c r="C176" s="220"/>
      <c r="D176" s="224" t="s">
        <v>253</v>
      </c>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618"/>
      <c r="AM176" s="3"/>
      <c r="AN176" s="3"/>
      <c r="AO176" s="3"/>
      <c r="AP176" s="3"/>
      <c r="AQ176" s="3"/>
      <c r="AR176" s="3"/>
      <c r="AS176" s="3"/>
      <c r="AT176" s="3"/>
      <c r="AU176" s="3"/>
      <c r="AV176" s="3"/>
      <c r="AW176" s="3"/>
      <c r="AX176" s="3"/>
      <c r="AY176" s="3"/>
      <c r="AZ176" s="3"/>
      <c r="BA176" s="3"/>
      <c r="BB176" s="3"/>
      <c r="BC176" s="3"/>
      <c r="BD176" s="3"/>
      <c r="BE176" s="3"/>
      <c r="BF176" s="3"/>
    </row>
    <row r="177" spans="1:58" ht="14.25" customHeight="1" x14ac:dyDescent="0.45">
      <c r="A177" s="618"/>
      <c r="B177" s="618"/>
      <c r="C177" s="618"/>
      <c r="D177" s="618"/>
      <c r="E177" s="618"/>
      <c r="F177" s="618"/>
      <c r="G177" s="618"/>
      <c r="H177" s="618"/>
      <c r="I177" s="618"/>
      <c r="J177" s="618"/>
      <c r="K177" s="618"/>
      <c r="L177" s="618"/>
      <c r="M177" s="618"/>
      <c r="N177" s="618"/>
      <c r="O177" s="618"/>
      <c r="P177" s="618"/>
      <c r="Q177" s="618"/>
      <c r="R177" s="618"/>
      <c r="S177" s="618"/>
      <c r="T177" s="618"/>
      <c r="U177" s="618"/>
      <c r="V177" s="618"/>
      <c r="W177" s="618"/>
      <c r="X177" s="618"/>
      <c r="Y177" s="618"/>
      <c r="Z177" s="618"/>
      <c r="AA177" s="618"/>
      <c r="AB177" s="618"/>
      <c r="AC177" s="618"/>
      <c r="AD177" s="618"/>
      <c r="AE177" s="618"/>
      <c r="AF177" s="618"/>
      <c r="AG177" s="618"/>
      <c r="AH177" s="618"/>
      <c r="AI177" s="618"/>
      <c r="AJ177" s="618"/>
      <c r="AK177" s="618"/>
      <c r="AL177" s="618"/>
      <c r="AM177" s="3"/>
      <c r="AN177" s="3"/>
      <c r="AO177" s="3"/>
      <c r="AP177" s="3"/>
      <c r="AQ177" s="3"/>
      <c r="AR177" s="3"/>
      <c r="AS177" s="3"/>
      <c r="AT177" s="3"/>
      <c r="AU177" s="3"/>
      <c r="AV177" s="3"/>
      <c r="AW177" s="3"/>
      <c r="AX177" s="3"/>
      <c r="AY177" s="3"/>
      <c r="AZ177" s="3"/>
      <c r="BA177" s="3"/>
      <c r="BB177" s="3"/>
      <c r="BC177" s="3"/>
      <c r="BD177" s="3"/>
      <c r="BE177" s="3"/>
      <c r="BF177" s="3"/>
    </row>
    <row r="178" spans="1:58" ht="14.25" customHeight="1" x14ac:dyDescent="0.45">
      <c r="A178" s="618"/>
      <c r="B178" s="26"/>
      <c r="C178" s="211"/>
      <c r="D178" s="263" t="s">
        <v>276</v>
      </c>
      <c r="E178" s="123">
        <v>2018</v>
      </c>
      <c r="F178" s="123">
        <v>2019</v>
      </c>
      <c r="G178" s="123">
        <v>2020</v>
      </c>
      <c r="H178" s="123">
        <v>2021</v>
      </c>
      <c r="I178" s="141">
        <v>2022</v>
      </c>
      <c r="J178" s="141">
        <v>2023</v>
      </c>
      <c r="K178" s="141">
        <v>2024</v>
      </c>
      <c r="L178" s="141">
        <v>2025</v>
      </c>
      <c r="M178" s="141">
        <v>2026</v>
      </c>
      <c r="N178" s="141">
        <v>2027</v>
      </c>
      <c r="O178" s="141">
        <v>2028</v>
      </c>
      <c r="P178" s="141">
        <v>2029</v>
      </c>
      <c r="Q178" s="141">
        <v>2030</v>
      </c>
      <c r="R178" s="141">
        <v>2031</v>
      </c>
      <c r="S178" s="141">
        <v>2032</v>
      </c>
      <c r="T178" s="141">
        <v>2033</v>
      </c>
      <c r="U178" s="141">
        <v>2034</v>
      </c>
      <c r="V178" s="141">
        <v>2035</v>
      </c>
      <c r="W178" s="141">
        <v>2036</v>
      </c>
      <c r="X178" s="141">
        <v>2037</v>
      </c>
      <c r="Y178" s="141">
        <v>2038</v>
      </c>
      <c r="Z178" s="141">
        <v>2039</v>
      </c>
      <c r="AA178" s="141">
        <v>2040</v>
      </c>
      <c r="AB178" s="141">
        <v>2041</v>
      </c>
      <c r="AC178" s="141">
        <v>2042</v>
      </c>
      <c r="AD178" s="141">
        <v>2043</v>
      </c>
      <c r="AE178" s="141">
        <v>2044</v>
      </c>
      <c r="AF178" s="141">
        <v>2045</v>
      </c>
      <c r="AG178" s="141">
        <v>2046</v>
      </c>
      <c r="AH178" s="141">
        <v>2047</v>
      </c>
      <c r="AI178" s="141">
        <v>2048</v>
      </c>
      <c r="AJ178" s="141">
        <v>2049</v>
      </c>
      <c r="AK178" s="142">
        <v>2050</v>
      </c>
      <c r="AL178" s="141">
        <v>2051</v>
      </c>
      <c r="AM178" s="141">
        <v>2052</v>
      </c>
      <c r="AN178" s="141">
        <v>2053</v>
      </c>
      <c r="AO178" s="141">
        <v>2054</v>
      </c>
      <c r="AP178" s="141">
        <v>2055</v>
      </c>
      <c r="AQ178" s="141">
        <v>2056</v>
      </c>
      <c r="AR178" s="141">
        <v>2057</v>
      </c>
      <c r="AS178" s="141">
        <v>2058</v>
      </c>
      <c r="AT178" s="142">
        <v>2059</v>
      </c>
      <c r="AU178" s="141">
        <v>2060</v>
      </c>
      <c r="AV178" s="141">
        <v>2061</v>
      </c>
      <c r="AW178" s="141">
        <v>2062</v>
      </c>
      <c r="AX178" s="141">
        <v>2063</v>
      </c>
      <c r="AY178" s="141">
        <v>2064</v>
      </c>
      <c r="AZ178" s="141">
        <v>2065</v>
      </c>
      <c r="BA178" s="141">
        <v>2066</v>
      </c>
      <c r="BB178" s="141">
        <v>2067</v>
      </c>
      <c r="BC178" s="142">
        <v>2068</v>
      </c>
      <c r="BD178" s="141">
        <v>2069</v>
      </c>
      <c r="BE178" s="141">
        <v>2070</v>
      </c>
      <c r="BF178" s="3"/>
    </row>
    <row r="179" spans="1:58" ht="14.25" customHeight="1" x14ac:dyDescent="0.45">
      <c r="A179" s="618"/>
      <c r="B179" s="215"/>
      <c r="C179" s="220"/>
      <c r="D179" s="221" t="s">
        <v>220</v>
      </c>
      <c r="E179" s="636" t="s">
        <v>277</v>
      </c>
      <c r="F179" s="266"/>
      <c r="G179" s="266"/>
      <c r="H179" s="266"/>
      <c r="I179" s="266"/>
      <c r="J179" s="266"/>
      <c r="K179" s="266"/>
      <c r="L179" s="266"/>
      <c r="M179" s="266"/>
      <c r="N179" s="266"/>
      <c r="O179" s="266"/>
      <c r="P179" s="266"/>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19"/>
      <c r="AL179" s="618"/>
      <c r="AM179" s="3"/>
      <c r="AN179" s="3"/>
      <c r="AO179" s="3"/>
      <c r="AP179" s="3"/>
      <c r="AQ179" s="3"/>
      <c r="AR179" s="3"/>
      <c r="AS179" s="3"/>
      <c r="AT179" s="3"/>
      <c r="AU179" s="3"/>
      <c r="AV179" s="3"/>
      <c r="AW179" s="3"/>
      <c r="AX179" s="3"/>
      <c r="AY179" s="3"/>
      <c r="AZ179" s="3"/>
      <c r="BA179" s="3"/>
      <c r="BB179" s="3"/>
      <c r="BC179" s="3"/>
      <c r="BD179" s="3"/>
      <c r="BE179" s="3"/>
      <c r="BF179" s="3"/>
    </row>
    <row r="180" spans="1:58" ht="14.25" customHeight="1" x14ac:dyDescent="0.45">
      <c r="A180" s="618"/>
      <c r="B180" s="215"/>
      <c r="C180" s="220"/>
      <c r="D180" s="221" t="s">
        <v>261</v>
      </c>
      <c r="E180" s="621"/>
      <c r="F180" s="26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19"/>
      <c r="AL180" s="618"/>
      <c r="AM180" s="3"/>
      <c r="AN180" s="3"/>
      <c r="AO180" s="3"/>
      <c r="AP180" s="3"/>
      <c r="AQ180" s="3"/>
      <c r="AR180" s="3"/>
      <c r="AS180" s="3"/>
      <c r="AT180" s="3"/>
      <c r="AU180" s="3"/>
      <c r="AV180" s="3"/>
      <c r="AW180" s="3"/>
      <c r="AX180" s="3"/>
      <c r="AY180" s="3"/>
      <c r="AZ180" s="3"/>
      <c r="BA180" s="3"/>
      <c r="BB180" s="3"/>
      <c r="BC180" s="3"/>
      <c r="BD180" s="3"/>
      <c r="BE180" s="3"/>
      <c r="BF180" s="3"/>
    </row>
    <row r="181" spans="1:58" ht="14.25" customHeight="1" x14ac:dyDescent="0.45">
      <c r="A181" s="618"/>
      <c r="B181" s="215"/>
      <c r="C181" s="220"/>
      <c r="D181" s="221" t="s">
        <v>262</v>
      </c>
      <c r="E181" s="621"/>
      <c r="F181" s="266"/>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19"/>
      <c r="AL181" s="618"/>
      <c r="AM181" s="3"/>
      <c r="AN181" s="3"/>
      <c r="AO181" s="3"/>
      <c r="AP181" s="3"/>
      <c r="AQ181" s="3"/>
      <c r="AR181" s="3"/>
      <c r="AS181" s="3"/>
      <c r="AT181" s="3"/>
      <c r="AU181" s="3"/>
      <c r="AV181" s="3"/>
      <c r="AW181" s="3"/>
      <c r="AX181" s="3"/>
      <c r="AY181" s="3"/>
      <c r="AZ181" s="3"/>
      <c r="BA181" s="3"/>
      <c r="BB181" s="3"/>
      <c r="BC181" s="3"/>
      <c r="BD181" s="3"/>
      <c r="BE181" s="3"/>
      <c r="BF181" s="3"/>
    </row>
    <row r="182" spans="1:58" ht="14.25" customHeight="1" x14ac:dyDescent="0.45">
      <c r="A182" s="618"/>
      <c r="B182" s="215"/>
      <c r="C182" s="220"/>
      <c r="D182" s="221" t="s">
        <v>199</v>
      </c>
      <c r="E182" s="621"/>
      <c r="F182" s="266"/>
      <c r="G182" s="266"/>
      <c r="H182" s="266"/>
      <c r="I182" s="266"/>
      <c r="J182" s="266"/>
      <c r="K182" s="266"/>
      <c r="L182" s="266"/>
      <c r="M182" s="266"/>
      <c r="N182" s="266"/>
      <c r="O182" s="266"/>
      <c r="P182" s="266"/>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19"/>
      <c r="AL182" s="618"/>
      <c r="AM182" s="3"/>
      <c r="AN182" s="3"/>
      <c r="AO182" s="3"/>
      <c r="AP182" s="3"/>
      <c r="AQ182" s="3"/>
      <c r="AR182" s="3"/>
      <c r="AS182" s="3"/>
      <c r="AT182" s="3"/>
      <c r="AU182" s="3"/>
      <c r="AV182" s="3"/>
      <c r="AW182" s="3"/>
      <c r="AX182" s="3"/>
      <c r="AY182" s="3"/>
      <c r="AZ182" s="3"/>
      <c r="BA182" s="3"/>
      <c r="BB182" s="3"/>
      <c r="BC182" s="3"/>
      <c r="BD182" s="3"/>
      <c r="BE182" s="3"/>
      <c r="BF182" s="3"/>
    </row>
    <row r="183" spans="1:58" ht="14.25" customHeight="1" x14ac:dyDescent="0.45">
      <c r="A183" s="618"/>
      <c r="B183" s="215"/>
      <c r="C183" s="220"/>
      <c r="D183" s="221" t="s">
        <v>212</v>
      </c>
      <c r="E183" s="621"/>
      <c r="F183" s="266"/>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19"/>
      <c r="AL183" s="618"/>
      <c r="AM183" s="3"/>
      <c r="AN183" s="3"/>
      <c r="AO183" s="3"/>
      <c r="AP183" s="3"/>
      <c r="AQ183" s="3"/>
      <c r="AR183" s="3"/>
      <c r="AS183" s="3"/>
      <c r="AT183" s="3"/>
      <c r="AU183" s="3"/>
      <c r="AV183" s="3"/>
      <c r="AW183" s="3"/>
      <c r="AX183" s="3"/>
      <c r="AY183" s="3"/>
      <c r="AZ183" s="3"/>
      <c r="BA183" s="3"/>
      <c r="BB183" s="3"/>
      <c r="BC183" s="3"/>
      <c r="BD183" s="3"/>
      <c r="BE183" s="3"/>
      <c r="BF183" s="3"/>
    </row>
    <row r="184" spans="1:58" ht="14.25" customHeight="1" x14ac:dyDescent="0.45">
      <c r="A184" s="618"/>
      <c r="B184" s="215"/>
      <c r="C184" s="220"/>
      <c r="D184" s="221" t="s">
        <v>263</v>
      </c>
      <c r="E184" s="621"/>
      <c r="F184" s="266"/>
      <c r="G184" s="266"/>
      <c r="H184" s="266"/>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19"/>
      <c r="AL184" s="618"/>
      <c r="AM184" s="3"/>
      <c r="AN184" s="3"/>
      <c r="AO184" s="3"/>
      <c r="AP184" s="3"/>
      <c r="AQ184" s="3"/>
      <c r="AR184" s="3"/>
      <c r="AS184" s="3"/>
      <c r="AT184" s="3"/>
      <c r="AU184" s="3"/>
      <c r="AV184" s="3"/>
      <c r="AW184" s="3"/>
      <c r="AX184" s="3"/>
      <c r="AY184" s="3"/>
      <c r="AZ184" s="3"/>
      <c r="BA184" s="3"/>
      <c r="BB184" s="3"/>
      <c r="BC184" s="3"/>
      <c r="BD184" s="3"/>
      <c r="BE184" s="3"/>
      <c r="BF184" s="3"/>
    </row>
    <row r="185" spans="1:58" ht="14.25" customHeight="1" x14ac:dyDescent="0.45">
      <c r="A185" s="618"/>
      <c r="B185" s="215"/>
      <c r="C185" s="220"/>
      <c r="D185" s="221" t="s">
        <v>264</v>
      </c>
      <c r="E185" s="621"/>
      <c r="F185" s="266"/>
      <c r="G185" s="266"/>
      <c r="H185" s="266"/>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19"/>
      <c r="AL185" s="618"/>
      <c r="AM185" s="3"/>
      <c r="AN185" s="3"/>
      <c r="AO185" s="3"/>
      <c r="AP185" s="3"/>
      <c r="AQ185" s="3"/>
      <c r="AR185" s="3"/>
      <c r="AS185" s="3"/>
      <c r="AT185" s="3"/>
      <c r="AU185" s="3"/>
      <c r="AV185" s="3"/>
      <c r="AW185" s="3"/>
      <c r="AX185" s="3"/>
      <c r="AY185" s="3"/>
      <c r="AZ185" s="3"/>
      <c r="BA185" s="3"/>
      <c r="BB185" s="3"/>
      <c r="BC185" s="3"/>
      <c r="BD185" s="3"/>
      <c r="BE185" s="3"/>
      <c r="BF185" s="3"/>
    </row>
    <row r="186" spans="1:58" ht="14.25" customHeight="1" x14ac:dyDescent="0.45">
      <c r="A186" s="618"/>
      <c r="B186" s="215"/>
      <c r="C186" s="220"/>
      <c r="D186" s="221" t="s">
        <v>265</v>
      </c>
      <c r="E186" s="621"/>
      <c r="F186" s="266"/>
      <c r="G186" s="266"/>
      <c r="H186" s="266"/>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19"/>
      <c r="AL186" s="618"/>
      <c r="AM186" s="3"/>
      <c r="AN186" s="3"/>
      <c r="AO186" s="3"/>
      <c r="AP186" s="3"/>
      <c r="AQ186" s="3"/>
      <c r="AR186" s="3"/>
      <c r="AS186" s="3"/>
      <c r="AT186" s="3"/>
      <c r="AU186" s="3"/>
      <c r="AV186" s="3"/>
      <c r="AW186" s="3"/>
      <c r="AX186" s="3"/>
      <c r="AY186" s="3"/>
      <c r="AZ186" s="3"/>
      <c r="BA186" s="3"/>
      <c r="BB186" s="3"/>
      <c r="BC186" s="3"/>
      <c r="BD186" s="3"/>
      <c r="BE186" s="3"/>
      <c r="BF186" s="3"/>
    </row>
    <row r="187" spans="1:58" ht="14.25" customHeight="1" x14ac:dyDescent="0.45">
      <c r="A187" s="618"/>
      <c r="B187" s="215"/>
      <c r="C187" s="220"/>
      <c r="D187" s="221" t="s">
        <v>266</v>
      </c>
      <c r="E187" s="621"/>
      <c r="F187" s="266"/>
      <c r="G187" s="266"/>
      <c r="H187" s="266"/>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19"/>
      <c r="AL187" s="618"/>
      <c r="AM187" s="3"/>
      <c r="AN187" s="3"/>
      <c r="AO187" s="3"/>
      <c r="AP187" s="3"/>
      <c r="AQ187" s="3"/>
      <c r="AR187" s="3"/>
      <c r="AS187" s="3"/>
      <c r="AT187" s="3"/>
      <c r="AU187" s="3"/>
      <c r="AV187" s="3"/>
      <c r="AW187" s="3"/>
      <c r="AX187" s="3"/>
      <c r="AY187" s="3"/>
      <c r="AZ187" s="3"/>
      <c r="BA187" s="3"/>
      <c r="BB187" s="3"/>
      <c r="BC187" s="3"/>
      <c r="BD187" s="3"/>
      <c r="BE187" s="3"/>
      <c r="BF187" s="3"/>
    </row>
    <row r="188" spans="1:58" ht="14.25" customHeight="1" x14ac:dyDescent="0.45">
      <c r="A188" s="618"/>
      <c r="B188" s="215"/>
      <c r="C188" s="220"/>
      <c r="D188" s="221" t="s">
        <v>267</v>
      </c>
      <c r="E188" s="621"/>
      <c r="F188" s="266"/>
      <c r="G188" s="266"/>
      <c r="H188" s="266"/>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19"/>
      <c r="AL188" s="618"/>
      <c r="AM188" s="3"/>
      <c r="AN188" s="3"/>
      <c r="AO188" s="3"/>
      <c r="AP188" s="3"/>
      <c r="AQ188" s="3"/>
      <c r="AR188" s="3"/>
      <c r="AS188" s="3"/>
      <c r="AT188" s="3"/>
      <c r="AU188" s="3"/>
      <c r="AV188" s="3"/>
      <c r="AW188" s="3"/>
      <c r="AX188" s="3"/>
      <c r="AY188" s="3"/>
      <c r="AZ188" s="3"/>
      <c r="BA188" s="3"/>
      <c r="BB188" s="3"/>
      <c r="BC188" s="3"/>
      <c r="BD188" s="3"/>
      <c r="BE188" s="3"/>
      <c r="BF188" s="3"/>
    </row>
    <row r="189" spans="1:58" ht="14.25" customHeight="1" x14ac:dyDescent="0.45">
      <c r="A189" s="618"/>
      <c r="B189" s="215"/>
      <c r="C189" s="220"/>
      <c r="D189" s="221" t="s">
        <v>268</v>
      </c>
      <c r="E189" s="621"/>
      <c r="F189" s="266"/>
      <c r="G189" s="266"/>
      <c r="H189" s="266"/>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19"/>
      <c r="AL189" s="618"/>
      <c r="AM189" s="3"/>
      <c r="AN189" s="3"/>
      <c r="AO189" s="3"/>
      <c r="AP189" s="3"/>
      <c r="AQ189" s="3"/>
      <c r="AR189" s="3"/>
      <c r="AS189" s="3"/>
      <c r="AT189" s="3"/>
      <c r="AU189" s="3"/>
      <c r="AV189" s="3"/>
      <c r="AW189" s="3"/>
      <c r="AX189" s="3"/>
      <c r="AY189" s="3"/>
      <c r="AZ189" s="3"/>
      <c r="BA189" s="3"/>
      <c r="BB189" s="3"/>
      <c r="BC189" s="3"/>
      <c r="BD189" s="3"/>
      <c r="BE189" s="3"/>
      <c r="BF189" s="3"/>
    </row>
    <row r="190" spans="1:58" ht="14.25" customHeight="1" x14ac:dyDescent="0.45">
      <c r="A190" s="618"/>
      <c r="B190" s="215"/>
      <c r="C190" s="220"/>
      <c r="D190" s="221"/>
      <c r="E190" s="621"/>
      <c r="F190" s="26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19"/>
      <c r="AL190" s="618"/>
      <c r="AM190" s="3"/>
      <c r="AN190" s="3"/>
      <c r="AO190" s="3"/>
      <c r="AP190" s="3"/>
      <c r="AQ190" s="3"/>
      <c r="AR190" s="3"/>
      <c r="AS190" s="3"/>
      <c r="AT190" s="3"/>
      <c r="AU190" s="3"/>
      <c r="AV190" s="3"/>
      <c r="AW190" s="3"/>
      <c r="AX190" s="3"/>
      <c r="AY190" s="3"/>
      <c r="AZ190" s="3"/>
      <c r="BA190" s="3"/>
      <c r="BB190" s="3"/>
      <c r="BC190" s="3"/>
      <c r="BD190" s="3"/>
      <c r="BE190" s="3"/>
      <c r="BF190" s="3"/>
    </row>
    <row r="191" spans="1:58" ht="14.25" customHeight="1" x14ac:dyDescent="0.45">
      <c r="A191" s="618"/>
      <c r="B191" s="258"/>
      <c r="C191" s="259"/>
      <c r="D191" s="267" t="s">
        <v>275</v>
      </c>
      <c r="E191" s="637"/>
      <c r="F191" s="261"/>
      <c r="G191" s="261"/>
      <c r="H191" s="268"/>
      <c r="I191" s="268"/>
      <c r="J191" s="268"/>
      <c r="K191" s="268"/>
      <c r="L191" s="268"/>
      <c r="M191" s="268"/>
      <c r="N191" s="268"/>
      <c r="O191" s="268"/>
      <c r="P191" s="268"/>
      <c r="Q191" s="268"/>
      <c r="R191" s="268"/>
      <c r="S191" s="268"/>
      <c r="T191" s="268"/>
      <c r="U191" s="268"/>
      <c r="V191" s="268"/>
      <c r="W191" s="268"/>
      <c r="X191" s="268"/>
      <c r="Y191" s="268"/>
      <c r="Z191" s="268"/>
      <c r="AA191" s="268"/>
      <c r="AB191" s="268"/>
      <c r="AC191" s="268"/>
      <c r="AD191" s="268"/>
      <c r="AE191" s="268"/>
      <c r="AF191" s="268"/>
      <c r="AG191" s="268"/>
      <c r="AH191" s="268"/>
      <c r="AI191" s="268"/>
      <c r="AJ191" s="268"/>
      <c r="AK191" s="269"/>
      <c r="AL191" s="618"/>
      <c r="AM191" s="3"/>
      <c r="AN191" s="3"/>
      <c r="AO191" s="3"/>
      <c r="AP191" s="3"/>
      <c r="AQ191" s="3"/>
      <c r="AR191" s="3"/>
      <c r="AS191" s="3"/>
      <c r="AT191" s="3"/>
      <c r="AU191" s="3"/>
      <c r="AV191" s="3"/>
      <c r="AW191" s="3"/>
      <c r="AX191" s="3"/>
      <c r="AY191" s="3"/>
      <c r="AZ191" s="3"/>
      <c r="BA191" s="3"/>
      <c r="BB191" s="3"/>
      <c r="BC191" s="3"/>
      <c r="BD191" s="3"/>
      <c r="BE191" s="3"/>
      <c r="BF191" s="3"/>
    </row>
    <row r="192" spans="1:58" ht="14.25" customHeight="1" x14ac:dyDescent="0.45">
      <c r="A192" s="618"/>
      <c r="B192" s="618"/>
      <c r="C192" s="618"/>
      <c r="D192" s="618"/>
      <c r="E192" s="618"/>
      <c r="F192" s="618"/>
      <c r="G192" s="618"/>
      <c r="H192" s="618"/>
      <c r="I192" s="618"/>
      <c r="J192" s="618"/>
      <c r="K192" s="618"/>
      <c r="L192" s="618"/>
      <c r="M192" s="618"/>
      <c r="N192" s="618"/>
      <c r="O192" s="618"/>
      <c r="P192" s="618"/>
      <c r="Q192" s="618"/>
      <c r="R192" s="618"/>
      <c r="S192" s="618"/>
      <c r="T192" s="618"/>
      <c r="U192" s="618"/>
      <c r="V192" s="618"/>
      <c r="W192" s="618"/>
      <c r="X192" s="618"/>
      <c r="Y192" s="618"/>
      <c r="Z192" s="618"/>
      <c r="AA192" s="618"/>
      <c r="AB192" s="618"/>
      <c r="AC192" s="618"/>
      <c r="AD192" s="618"/>
      <c r="AE192" s="618"/>
      <c r="AF192" s="618"/>
      <c r="AG192" s="618"/>
      <c r="AH192" s="618"/>
      <c r="AI192" s="618"/>
      <c r="AJ192" s="618"/>
      <c r="AK192" s="618"/>
      <c r="AL192" s="618"/>
      <c r="AM192" s="3"/>
      <c r="AN192" s="3"/>
      <c r="AO192" s="3"/>
      <c r="AP192" s="3"/>
      <c r="AQ192" s="3"/>
      <c r="AR192" s="3"/>
      <c r="AS192" s="3"/>
      <c r="AT192" s="3"/>
      <c r="AU192" s="3"/>
      <c r="AV192" s="3"/>
      <c r="AW192" s="3"/>
      <c r="AX192" s="3"/>
      <c r="AY192" s="3"/>
      <c r="AZ192" s="3"/>
      <c r="BA192" s="3"/>
      <c r="BB192" s="3"/>
      <c r="BC192" s="3"/>
      <c r="BD192" s="3"/>
      <c r="BE192" s="3"/>
      <c r="BF192" s="3"/>
    </row>
    <row r="193" spans="1:58" ht="15.75" customHeight="1" x14ac:dyDescent="0.45">
      <c r="A193" s="618"/>
      <c r="B193" s="26"/>
      <c r="C193" s="211"/>
      <c r="D193" s="270" t="s">
        <v>278</v>
      </c>
      <c r="E193" s="271" t="s">
        <v>279</v>
      </c>
      <c r="F193" s="272" t="s">
        <v>280</v>
      </c>
      <c r="G193" s="618"/>
      <c r="H193" s="618"/>
      <c r="I193" s="618"/>
      <c r="J193" s="618"/>
      <c r="K193" s="618"/>
      <c r="L193" s="618"/>
      <c r="M193" s="618"/>
      <c r="N193" s="618"/>
      <c r="O193" s="618"/>
      <c r="P193" s="618"/>
      <c r="Q193" s="618"/>
      <c r="R193" s="618"/>
      <c r="S193" s="618"/>
      <c r="T193" s="618"/>
      <c r="U193" s="618"/>
      <c r="V193" s="618"/>
      <c r="W193" s="618"/>
      <c r="X193" s="618"/>
      <c r="Y193" s="618"/>
      <c r="Z193" s="618"/>
      <c r="AA193" s="618"/>
      <c r="AB193" s="618"/>
      <c r="AC193" s="618"/>
      <c r="AD193" s="618"/>
      <c r="AE193" s="618"/>
      <c r="AF193" s="618"/>
      <c r="AG193" s="618"/>
      <c r="AH193" s="618"/>
      <c r="AI193" s="618"/>
      <c r="AJ193" s="618"/>
      <c r="AK193" s="618"/>
      <c r="AL193" s="618"/>
      <c r="AM193" s="3"/>
      <c r="AN193" s="3"/>
      <c r="AO193" s="3"/>
      <c r="AP193" s="3"/>
      <c r="AQ193" s="3"/>
      <c r="AR193" s="3"/>
      <c r="AS193" s="3"/>
      <c r="AT193" s="3"/>
      <c r="AU193" s="3"/>
      <c r="AV193" s="3"/>
      <c r="AW193" s="3"/>
      <c r="AX193" s="3"/>
      <c r="AY193" s="3"/>
      <c r="AZ193" s="3"/>
      <c r="BA193" s="3"/>
      <c r="BB193" s="3"/>
      <c r="BC193" s="3"/>
      <c r="BD193" s="3"/>
      <c r="BE193" s="3"/>
      <c r="BF193" s="3"/>
    </row>
    <row r="194" spans="1:58" ht="14.25" customHeight="1" x14ac:dyDescent="0.45">
      <c r="A194" s="618"/>
      <c r="B194" s="215"/>
      <c r="C194" s="220"/>
      <c r="D194" s="221" t="s">
        <v>166</v>
      </c>
      <c r="E194" s="273">
        <v>20</v>
      </c>
      <c r="F194" s="274">
        <f t="shared" ref="F194:F203" si="2">E194+2018</f>
        <v>2038</v>
      </c>
      <c r="G194" s="618"/>
      <c r="H194" s="618"/>
      <c r="I194" s="618"/>
      <c r="J194" s="618"/>
      <c r="K194" s="618"/>
      <c r="L194" s="618"/>
      <c r="M194" s="618"/>
      <c r="N194" s="618"/>
      <c r="O194" s="618"/>
      <c r="P194" s="618"/>
      <c r="Q194" s="618"/>
      <c r="R194" s="618"/>
      <c r="S194" s="618"/>
      <c r="T194" s="618"/>
      <c r="U194" s="618"/>
      <c r="V194" s="618"/>
      <c r="W194" s="618"/>
      <c r="X194" s="618"/>
      <c r="Y194" s="618"/>
      <c r="Z194" s="618"/>
      <c r="AA194" s="618"/>
      <c r="AB194" s="618"/>
      <c r="AC194" s="618"/>
      <c r="AD194" s="618"/>
      <c r="AE194" s="618"/>
      <c r="AF194" s="618"/>
      <c r="AG194" s="618"/>
      <c r="AH194" s="618"/>
      <c r="AI194" s="618"/>
      <c r="AJ194" s="618"/>
      <c r="AK194" s="618"/>
      <c r="AL194" s="618"/>
      <c r="AM194" s="3"/>
      <c r="AN194" s="3"/>
      <c r="AO194" s="3"/>
      <c r="AP194" s="3"/>
      <c r="AQ194" s="3"/>
      <c r="AR194" s="3"/>
      <c r="AS194" s="3"/>
      <c r="AT194" s="3"/>
      <c r="AU194" s="3"/>
      <c r="AV194" s="3"/>
      <c r="AW194" s="3"/>
      <c r="AX194" s="3"/>
      <c r="AY194" s="3"/>
      <c r="AZ194" s="3"/>
      <c r="BA194" s="3"/>
      <c r="BB194" s="3"/>
      <c r="BC194" s="3"/>
      <c r="BD194" s="3"/>
      <c r="BE194" s="3"/>
      <c r="BF194" s="3"/>
    </row>
    <row r="195" spans="1:58" ht="14.25" customHeight="1" x14ac:dyDescent="0.45">
      <c r="A195" s="618"/>
      <c r="B195" s="215"/>
      <c r="C195" s="220"/>
      <c r="D195" s="221" t="s">
        <v>281</v>
      </c>
      <c r="E195" s="273">
        <v>15</v>
      </c>
      <c r="F195" s="274">
        <f t="shared" si="2"/>
        <v>2033</v>
      </c>
      <c r="G195" s="618"/>
      <c r="H195" s="618"/>
      <c r="I195" s="618"/>
      <c r="J195" s="618"/>
      <c r="K195" s="618"/>
      <c r="L195" s="618"/>
      <c r="M195" s="618"/>
      <c r="N195" s="618"/>
      <c r="O195" s="618"/>
      <c r="P195" s="618"/>
      <c r="Q195" s="618"/>
      <c r="R195" s="618"/>
      <c r="S195" s="618"/>
      <c r="T195" s="618"/>
      <c r="U195" s="618"/>
      <c r="V195" s="618"/>
      <c r="W195" s="618"/>
      <c r="X195" s="618"/>
      <c r="Y195" s="618"/>
      <c r="Z195" s="618"/>
      <c r="AA195" s="618"/>
      <c r="AB195" s="618"/>
      <c r="AC195" s="618"/>
      <c r="AD195" s="618"/>
      <c r="AE195" s="618"/>
      <c r="AF195" s="618"/>
      <c r="AG195" s="618"/>
      <c r="AH195" s="618"/>
      <c r="AI195" s="618"/>
      <c r="AJ195" s="618"/>
      <c r="AK195" s="618"/>
      <c r="AL195" s="618"/>
      <c r="AM195" s="3"/>
      <c r="AN195" s="3"/>
      <c r="AO195" s="3"/>
      <c r="AP195" s="3"/>
      <c r="AQ195" s="3"/>
      <c r="AR195" s="3"/>
      <c r="AS195" s="3"/>
      <c r="AT195" s="3"/>
      <c r="AU195" s="3"/>
      <c r="AV195" s="3"/>
      <c r="AW195" s="3"/>
      <c r="AX195" s="3"/>
      <c r="AY195" s="3"/>
      <c r="AZ195" s="3"/>
      <c r="BA195" s="3"/>
      <c r="BB195" s="3"/>
      <c r="BC195" s="3"/>
      <c r="BD195" s="3"/>
      <c r="BE195" s="3"/>
      <c r="BF195" s="3"/>
    </row>
    <row r="196" spans="1:58" ht="14.25" customHeight="1" x14ac:dyDescent="0.45">
      <c r="A196" s="618"/>
      <c r="B196" s="215"/>
      <c r="C196" s="220"/>
      <c r="D196" s="221" t="s">
        <v>282</v>
      </c>
      <c r="E196" s="275">
        <v>50</v>
      </c>
      <c r="F196" s="276">
        <f t="shared" si="2"/>
        <v>2068</v>
      </c>
      <c r="G196" s="618"/>
      <c r="H196" s="618"/>
      <c r="I196" s="618"/>
      <c r="J196" s="618"/>
      <c r="K196" s="618"/>
      <c r="L196" s="618"/>
      <c r="M196" s="618"/>
      <c r="N196" s="618"/>
      <c r="O196" s="618"/>
      <c r="P196" s="618"/>
      <c r="Q196" s="618"/>
      <c r="R196" s="618"/>
      <c r="S196" s="618"/>
      <c r="T196" s="618"/>
      <c r="U196" s="618"/>
      <c r="V196" s="618"/>
      <c r="W196" s="618"/>
      <c r="X196" s="618"/>
      <c r="Y196" s="618"/>
      <c r="Z196" s="618"/>
      <c r="AA196" s="618"/>
      <c r="AB196" s="618"/>
      <c r="AC196" s="618"/>
      <c r="AD196" s="618"/>
      <c r="AE196" s="618"/>
      <c r="AF196" s="618"/>
      <c r="AG196" s="618"/>
      <c r="AH196" s="618"/>
      <c r="AI196" s="618"/>
      <c r="AJ196" s="618"/>
      <c r="AK196" s="618"/>
      <c r="AL196" s="618"/>
      <c r="AM196" s="3"/>
      <c r="AN196" s="3"/>
      <c r="AO196" s="3"/>
      <c r="AP196" s="3"/>
      <c r="AQ196" s="3"/>
      <c r="AR196" s="3"/>
      <c r="AS196" s="3"/>
      <c r="AT196" s="3"/>
      <c r="AU196" s="3"/>
      <c r="AV196" s="3"/>
      <c r="AW196" s="3"/>
      <c r="AX196" s="3"/>
      <c r="AY196" s="3"/>
      <c r="AZ196" s="3"/>
      <c r="BA196" s="3"/>
      <c r="BB196" s="3"/>
      <c r="BC196" s="3"/>
      <c r="BD196" s="3"/>
      <c r="BE196" s="3"/>
      <c r="BF196" s="3"/>
    </row>
    <row r="197" spans="1:58" ht="14.25" customHeight="1" x14ac:dyDescent="0.45">
      <c r="A197" s="618"/>
      <c r="B197" s="215"/>
      <c r="C197" s="220"/>
      <c r="D197" s="221" t="s">
        <v>283</v>
      </c>
      <c r="E197" s="275">
        <v>50</v>
      </c>
      <c r="F197" s="276">
        <f t="shared" si="2"/>
        <v>2068</v>
      </c>
      <c r="G197" s="618"/>
      <c r="H197" s="618"/>
      <c r="I197" s="618"/>
      <c r="J197" s="618" t="s">
        <v>284</v>
      </c>
      <c r="K197" s="618"/>
      <c r="L197" s="618"/>
      <c r="M197" s="618"/>
      <c r="N197" s="618"/>
      <c r="O197" s="618"/>
      <c r="P197" s="618"/>
      <c r="Q197" s="618"/>
      <c r="R197" s="618"/>
      <c r="S197" s="618"/>
      <c r="T197" s="618"/>
      <c r="U197" s="618"/>
      <c r="V197" s="618"/>
      <c r="W197" s="618"/>
      <c r="X197" s="618"/>
      <c r="Y197" s="618"/>
      <c r="Z197" s="618"/>
      <c r="AA197" s="618"/>
      <c r="AB197" s="618"/>
      <c r="AC197" s="618"/>
      <c r="AD197" s="618"/>
      <c r="AE197" s="618"/>
      <c r="AF197" s="618"/>
      <c r="AG197" s="618"/>
      <c r="AH197" s="618"/>
      <c r="AI197" s="618"/>
      <c r="AJ197" s="618"/>
      <c r="AK197" s="618"/>
      <c r="AL197" s="618"/>
      <c r="AM197" s="3"/>
      <c r="AN197" s="3"/>
      <c r="AO197" s="3"/>
      <c r="AP197" s="3"/>
      <c r="AQ197" s="3"/>
      <c r="AR197" s="3"/>
      <c r="AS197" s="3"/>
      <c r="AT197" s="3"/>
      <c r="AU197" s="3"/>
      <c r="AV197" s="3"/>
      <c r="AW197" s="3"/>
      <c r="AX197" s="3"/>
      <c r="AY197" s="3"/>
      <c r="AZ197" s="3"/>
      <c r="BA197" s="3"/>
      <c r="BB197" s="3"/>
      <c r="BC197" s="3"/>
      <c r="BD197" s="3"/>
      <c r="BE197" s="3"/>
      <c r="BF197" s="3"/>
    </row>
    <row r="198" spans="1:58" ht="14.25" customHeight="1" x14ac:dyDescent="0.45">
      <c r="A198" s="618"/>
      <c r="B198" s="215"/>
      <c r="C198" s="220"/>
      <c r="D198" s="221" t="s">
        <v>285</v>
      </c>
      <c r="E198" s="275">
        <v>50</v>
      </c>
      <c r="F198" s="276">
        <f t="shared" si="2"/>
        <v>2068</v>
      </c>
      <c r="G198" s="618"/>
      <c r="H198" s="618"/>
      <c r="I198" s="618"/>
      <c r="J198" s="618"/>
      <c r="K198" s="618"/>
      <c r="L198" s="618"/>
      <c r="M198" s="618"/>
      <c r="N198" s="618"/>
      <c r="O198" s="618"/>
      <c r="P198" s="618"/>
      <c r="Q198" s="618"/>
      <c r="R198" s="618"/>
      <c r="S198" s="618"/>
      <c r="T198" s="618"/>
      <c r="U198" s="618"/>
      <c r="V198" s="618"/>
      <c r="W198" s="618"/>
      <c r="X198" s="618"/>
      <c r="Y198" s="618"/>
      <c r="Z198" s="618"/>
      <c r="AA198" s="618"/>
      <c r="AB198" s="618"/>
      <c r="AC198" s="618"/>
      <c r="AD198" s="618"/>
      <c r="AE198" s="618"/>
      <c r="AF198" s="618"/>
      <c r="AG198" s="618"/>
      <c r="AH198" s="618"/>
      <c r="AI198" s="618"/>
      <c r="AJ198" s="618"/>
      <c r="AK198" s="618"/>
      <c r="AL198" s="618"/>
      <c r="AM198" s="3"/>
      <c r="AN198" s="3"/>
      <c r="AO198" s="3"/>
      <c r="AP198" s="3"/>
      <c r="AQ198" s="3"/>
      <c r="AR198" s="3"/>
      <c r="AS198" s="3"/>
      <c r="AT198" s="3"/>
      <c r="AU198" s="3"/>
      <c r="AV198" s="3"/>
      <c r="AW198" s="3"/>
      <c r="AX198" s="3"/>
      <c r="AY198" s="3"/>
      <c r="AZ198" s="3"/>
      <c r="BA198" s="3"/>
      <c r="BB198" s="3"/>
      <c r="BC198" s="3"/>
      <c r="BD198" s="3"/>
      <c r="BE198" s="3"/>
      <c r="BF198" s="3"/>
    </row>
    <row r="199" spans="1:58" ht="14.25" customHeight="1" x14ac:dyDescent="0.45">
      <c r="A199" s="618"/>
      <c r="B199" s="215"/>
      <c r="C199" s="220"/>
      <c r="D199" s="221" t="s">
        <v>286</v>
      </c>
      <c r="E199" s="273">
        <v>15</v>
      </c>
      <c r="F199" s="274">
        <f t="shared" si="2"/>
        <v>2033</v>
      </c>
      <c r="G199" s="618"/>
      <c r="H199" s="618"/>
      <c r="I199" s="618"/>
      <c r="J199" s="618"/>
      <c r="K199" s="618"/>
      <c r="L199" s="618"/>
      <c r="M199" s="618"/>
      <c r="N199" s="618"/>
      <c r="O199" s="618"/>
      <c r="P199" s="618"/>
      <c r="Q199" s="618"/>
      <c r="R199" s="618"/>
      <c r="S199" s="618"/>
      <c r="T199" s="618"/>
      <c r="U199" s="618"/>
      <c r="V199" s="618"/>
      <c r="W199" s="618"/>
      <c r="X199" s="618"/>
      <c r="Y199" s="618"/>
      <c r="Z199" s="618"/>
      <c r="AA199" s="618"/>
      <c r="AB199" s="618"/>
      <c r="AC199" s="618"/>
      <c r="AD199" s="618"/>
      <c r="AE199" s="618"/>
      <c r="AF199" s="618"/>
      <c r="AG199" s="618"/>
      <c r="AH199" s="618"/>
      <c r="AI199" s="618"/>
      <c r="AJ199" s="618"/>
      <c r="AK199" s="618"/>
      <c r="AL199" s="618"/>
      <c r="AM199" s="3"/>
      <c r="AN199" s="3"/>
      <c r="AO199" s="3"/>
      <c r="AP199" s="3"/>
      <c r="AQ199" s="3"/>
      <c r="AR199" s="3"/>
      <c r="AS199" s="3"/>
      <c r="AT199" s="3"/>
      <c r="AU199" s="3"/>
      <c r="AV199" s="3"/>
      <c r="AW199" s="3"/>
      <c r="AX199" s="3"/>
      <c r="AY199" s="3"/>
      <c r="AZ199" s="3"/>
      <c r="BA199" s="3"/>
      <c r="BB199" s="3"/>
      <c r="BC199" s="3"/>
      <c r="BD199" s="3"/>
      <c r="BE199" s="3"/>
      <c r="BF199" s="3"/>
    </row>
    <row r="200" spans="1:58" ht="14.25" customHeight="1" x14ac:dyDescent="0.45">
      <c r="A200" s="618"/>
      <c r="B200" s="215"/>
      <c r="C200" s="220"/>
      <c r="D200" s="221" t="s">
        <v>287</v>
      </c>
      <c r="E200" s="273">
        <v>25</v>
      </c>
      <c r="F200" s="274">
        <f t="shared" si="2"/>
        <v>2043</v>
      </c>
      <c r="G200" s="618"/>
      <c r="H200" s="618"/>
      <c r="I200" s="618"/>
      <c r="J200" s="618"/>
      <c r="K200" s="618"/>
      <c r="L200" s="618"/>
      <c r="M200" s="618"/>
      <c r="N200" s="618"/>
      <c r="O200" s="618"/>
      <c r="P200" s="618"/>
      <c r="Q200" s="618"/>
      <c r="R200" s="618"/>
      <c r="S200" s="618"/>
      <c r="T200" s="618"/>
      <c r="U200" s="618"/>
      <c r="V200" s="618"/>
      <c r="W200" s="618"/>
      <c r="X200" s="618"/>
      <c r="Y200" s="618"/>
      <c r="Z200" s="618"/>
      <c r="AA200" s="618"/>
      <c r="AB200" s="618"/>
      <c r="AC200" s="618"/>
      <c r="AD200" s="618"/>
      <c r="AE200" s="618"/>
      <c r="AF200" s="618"/>
      <c r="AG200" s="618"/>
      <c r="AH200" s="618"/>
      <c r="AI200" s="618"/>
      <c r="AJ200" s="618"/>
      <c r="AK200" s="618"/>
      <c r="AL200" s="618"/>
      <c r="AM200" s="3"/>
      <c r="AN200" s="3"/>
      <c r="AO200" s="3"/>
      <c r="AP200" s="3"/>
      <c r="AQ200" s="3"/>
      <c r="AR200" s="3"/>
      <c r="AS200" s="3"/>
      <c r="AT200" s="3"/>
      <c r="AU200" s="3"/>
      <c r="AV200" s="3"/>
      <c r="AW200" s="3"/>
      <c r="AX200" s="3"/>
      <c r="AY200" s="3"/>
      <c r="AZ200" s="3"/>
      <c r="BA200" s="3"/>
      <c r="BB200" s="3"/>
      <c r="BC200" s="3"/>
      <c r="BD200" s="3"/>
      <c r="BE200" s="3"/>
      <c r="BF200" s="3"/>
    </row>
    <row r="201" spans="1:58" ht="14.25" customHeight="1" x14ac:dyDescent="0.45">
      <c r="A201" s="618"/>
      <c r="B201" s="215"/>
      <c r="C201" s="220"/>
      <c r="D201" s="221" t="s">
        <v>288</v>
      </c>
      <c r="E201" s="275">
        <v>25</v>
      </c>
      <c r="F201" s="276">
        <f t="shared" si="2"/>
        <v>2043</v>
      </c>
      <c r="G201" s="618"/>
      <c r="H201" s="618"/>
      <c r="I201" s="618"/>
      <c r="J201" s="618"/>
      <c r="K201" s="618"/>
      <c r="L201" s="618"/>
      <c r="M201" s="618"/>
      <c r="N201" s="618"/>
      <c r="O201" s="618"/>
      <c r="P201" s="618"/>
      <c r="Q201" s="618"/>
      <c r="R201" s="618"/>
      <c r="S201" s="618"/>
      <c r="T201" s="618"/>
      <c r="U201" s="618"/>
      <c r="V201" s="618"/>
      <c r="W201" s="618"/>
      <c r="X201" s="618"/>
      <c r="Y201" s="618"/>
      <c r="Z201" s="618"/>
      <c r="AA201" s="618"/>
      <c r="AB201" s="618"/>
      <c r="AC201" s="618"/>
      <c r="AD201" s="618"/>
      <c r="AE201" s="618"/>
      <c r="AF201" s="618"/>
      <c r="AG201" s="618"/>
      <c r="AH201" s="618"/>
      <c r="AI201" s="618"/>
      <c r="AJ201" s="618"/>
      <c r="AK201" s="618"/>
      <c r="AL201" s="618"/>
      <c r="AM201" s="3"/>
      <c r="AN201" s="3"/>
      <c r="AO201" s="3"/>
      <c r="AP201" s="3"/>
      <c r="AQ201" s="3"/>
      <c r="AR201" s="3"/>
      <c r="AS201" s="3"/>
      <c r="AT201" s="3"/>
      <c r="AU201" s="3"/>
      <c r="AV201" s="3"/>
      <c r="AW201" s="3"/>
      <c r="AX201" s="3"/>
      <c r="AY201" s="3"/>
      <c r="AZ201" s="3"/>
      <c r="BA201" s="3"/>
      <c r="BB201" s="3"/>
      <c r="BC201" s="3"/>
      <c r="BD201" s="3"/>
      <c r="BE201" s="3"/>
      <c r="BF201" s="3"/>
    </row>
    <row r="202" spans="1:58" ht="14.25" customHeight="1" x14ac:dyDescent="0.45">
      <c r="A202" s="618"/>
      <c r="B202" s="215"/>
      <c r="C202" s="220"/>
      <c r="D202" s="221" t="s">
        <v>289</v>
      </c>
      <c r="E202" s="273">
        <v>40</v>
      </c>
      <c r="F202" s="274">
        <f t="shared" si="2"/>
        <v>2058</v>
      </c>
      <c r="G202" s="618"/>
      <c r="H202" s="618"/>
      <c r="I202" s="618"/>
      <c r="J202" s="618"/>
      <c r="K202" s="618"/>
      <c r="L202" s="618"/>
      <c r="M202" s="618"/>
      <c r="N202" s="618"/>
      <c r="O202" s="618"/>
      <c r="P202" s="618"/>
      <c r="Q202" s="618"/>
      <c r="R202" s="618"/>
      <c r="S202" s="618"/>
      <c r="T202" s="618"/>
      <c r="U202" s="618"/>
      <c r="V202" s="618"/>
      <c r="W202" s="618"/>
      <c r="X202" s="618"/>
      <c r="Y202" s="618"/>
      <c r="Z202" s="618"/>
      <c r="AA202" s="618"/>
      <c r="AB202" s="618"/>
      <c r="AC202" s="618"/>
      <c r="AD202" s="618"/>
      <c r="AE202" s="618"/>
      <c r="AF202" s="618"/>
      <c r="AG202" s="618"/>
      <c r="AH202" s="618"/>
      <c r="AI202" s="618"/>
      <c r="AJ202" s="618"/>
      <c r="AK202" s="618"/>
      <c r="AL202" s="618"/>
      <c r="AM202" s="3"/>
      <c r="AN202" s="3"/>
      <c r="AO202" s="3"/>
      <c r="AP202" s="3"/>
      <c r="AQ202" s="3"/>
      <c r="AR202" s="3"/>
      <c r="AS202" s="3"/>
      <c r="AT202" s="3"/>
      <c r="AU202" s="3"/>
      <c r="AV202" s="3"/>
      <c r="AW202" s="3"/>
      <c r="AX202" s="3"/>
      <c r="AY202" s="3"/>
      <c r="AZ202" s="3"/>
      <c r="BA202" s="3"/>
      <c r="BB202" s="3"/>
      <c r="BC202" s="3"/>
      <c r="BD202" s="3"/>
      <c r="BE202" s="3"/>
      <c r="BF202" s="3"/>
    </row>
    <row r="203" spans="1:58" ht="14.25" customHeight="1" x14ac:dyDescent="0.45">
      <c r="A203" s="618"/>
      <c r="B203" s="215"/>
      <c r="C203" s="220"/>
      <c r="D203" s="221" t="s">
        <v>290</v>
      </c>
      <c r="E203" s="273">
        <v>30</v>
      </c>
      <c r="F203" s="274">
        <f t="shared" si="2"/>
        <v>2048</v>
      </c>
      <c r="G203" s="618"/>
      <c r="H203" s="618"/>
      <c r="I203" s="618"/>
      <c r="J203" s="618"/>
      <c r="K203" s="618"/>
      <c r="L203" s="618"/>
      <c r="M203" s="618"/>
      <c r="N203" s="618"/>
      <c r="O203" s="618"/>
      <c r="P203" s="618"/>
      <c r="Q203" s="618"/>
      <c r="R203" s="618"/>
      <c r="S203" s="618"/>
      <c r="T203" s="618"/>
      <c r="U203" s="618"/>
      <c r="V203" s="618"/>
      <c r="W203" s="618"/>
      <c r="X203" s="618"/>
      <c r="Y203" s="618"/>
      <c r="Z203" s="618"/>
      <c r="AA203" s="618"/>
      <c r="AB203" s="618"/>
      <c r="AC203" s="618"/>
      <c r="AD203" s="618"/>
      <c r="AE203" s="618"/>
      <c r="AF203" s="618"/>
      <c r="AG203" s="618"/>
      <c r="AH203" s="618"/>
      <c r="AI203" s="618"/>
      <c r="AJ203" s="618"/>
      <c r="AK203" s="618"/>
      <c r="AL203" s="618"/>
      <c r="AM203" s="3"/>
      <c r="AN203" s="3"/>
      <c r="AO203" s="3"/>
      <c r="AP203" s="3"/>
      <c r="AQ203" s="3"/>
      <c r="AR203" s="3"/>
      <c r="AS203" s="3"/>
      <c r="AT203" s="3"/>
      <c r="AU203" s="3"/>
      <c r="AV203" s="3"/>
      <c r="AW203" s="3"/>
      <c r="AX203" s="3"/>
      <c r="AY203" s="3"/>
      <c r="AZ203" s="3"/>
      <c r="BA203" s="3"/>
      <c r="BB203" s="3"/>
      <c r="BC203" s="3"/>
      <c r="BD203" s="3"/>
      <c r="BE203" s="3"/>
      <c r="BF203" s="3"/>
    </row>
    <row r="204" spans="1:58" ht="14.25" customHeight="1" x14ac:dyDescent="0.45">
      <c r="A204" s="618"/>
      <c r="B204" s="215"/>
      <c r="C204" s="220"/>
      <c r="D204" s="221" t="s">
        <v>291</v>
      </c>
      <c r="E204" s="273" t="s">
        <v>221</v>
      </c>
      <c r="F204" s="274"/>
      <c r="G204" s="618"/>
      <c r="H204" s="618"/>
      <c r="I204" s="618"/>
      <c r="J204" s="618"/>
      <c r="K204" s="618"/>
      <c r="L204" s="618"/>
      <c r="M204" s="618"/>
      <c r="N204" s="618"/>
      <c r="O204" s="618"/>
      <c r="P204" s="618"/>
      <c r="Q204" s="618"/>
      <c r="R204" s="618"/>
      <c r="S204" s="618"/>
      <c r="T204" s="618"/>
      <c r="U204" s="618"/>
      <c r="V204" s="618"/>
      <c r="W204" s="618"/>
      <c r="X204" s="618"/>
      <c r="Y204" s="618"/>
      <c r="Z204" s="618"/>
      <c r="AA204" s="618"/>
      <c r="AB204" s="618"/>
      <c r="AC204" s="618"/>
      <c r="AD204" s="618"/>
      <c r="AE204" s="618"/>
      <c r="AF204" s="618"/>
      <c r="AG204" s="618"/>
      <c r="AH204" s="618"/>
      <c r="AI204" s="618"/>
      <c r="AJ204" s="618"/>
      <c r="AK204" s="618"/>
      <c r="AL204" s="618"/>
      <c r="AM204" s="3"/>
      <c r="AN204" s="3"/>
      <c r="AO204" s="3"/>
      <c r="AP204" s="3"/>
      <c r="AQ204" s="3"/>
      <c r="AR204" s="3"/>
      <c r="AS204" s="3"/>
      <c r="AT204" s="3"/>
      <c r="AU204" s="3"/>
      <c r="AV204" s="3"/>
      <c r="AW204" s="3"/>
      <c r="AX204" s="3"/>
      <c r="AY204" s="3"/>
      <c r="AZ204" s="3"/>
      <c r="BA204" s="3"/>
      <c r="BB204" s="3"/>
      <c r="BC204" s="3"/>
      <c r="BD204" s="3"/>
      <c r="BE204" s="3"/>
      <c r="BF204" s="3"/>
    </row>
    <row r="205" spans="1:58" ht="14.25" customHeight="1" x14ac:dyDescent="0.45">
      <c r="A205" s="618"/>
      <c r="B205" s="215"/>
      <c r="C205" s="220"/>
      <c r="D205" s="221" t="s">
        <v>292</v>
      </c>
      <c r="E205" s="273">
        <v>25</v>
      </c>
      <c r="F205" s="274">
        <f>E205+2018</f>
        <v>2043</v>
      </c>
      <c r="G205" s="618"/>
      <c r="H205" s="618"/>
      <c r="I205" s="618"/>
      <c r="J205" s="618"/>
      <c r="K205" s="618"/>
      <c r="L205" s="618"/>
      <c r="M205" s="618"/>
      <c r="N205" s="618"/>
      <c r="O205" s="618"/>
      <c r="P205" s="618"/>
      <c r="Q205" s="618"/>
      <c r="R205" s="618"/>
      <c r="S205" s="618"/>
      <c r="T205" s="618"/>
      <c r="U205" s="618"/>
      <c r="V205" s="618"/>
      <c r="W205" s="618"/>
      <c r="X205" s="618"/>
      <c r="Y205" s="618"/>
      <c r="Z205" s="618"/>
      <c r="AA205" s="618"/>
      <c r="AB205" s="618"/>
      <c r="AC205" s="618"/>
      <c r="AD205" s="618"/>
      <c r="AE205" s="618"/>
      <c r="AF205" s="618"/>
      <c r="AG205" s="618"/>
      <c r="AH205" s="618"/>
      <c r="AI205" s="618"/>
      <c r="AJ205" s="618"/>
      <c r="AK205" s="618"/>
      <c r="AL205" s="618"/>
      <c r="AM205" s="3"/>
      <c r="AN205" s="3"/>
      <c r="AO205" s="3"/>
      <c r="AP205" s="3"/>
      <c r="AQ205" s="3"/>
      <c r="AR205" s="3"/>
      <c r="AS205" s="3"/>
      <c r="AT205" s="3"/>
      <c r="AU205" s="3"/>
      <c r="AV205" s="3"/>
      <c r="AW205" s="3"/>
      <c r="AX205" s="3"/>
      <c r="AY205" s="3"/>
      <c r="AZ205" s="3"/>
      <c r="BA205" s="3"/>
      <c r="BB205" s="3"/>
      <c r="BC205" s="3"/>
      <c r="BD205" s="3"/>
      <c r="BE205" s="3"/>
      <c r="BF205" s="3"/>
    </row>
    <row r="206" spans="1:58" ht="14.25" customHeight="1" x14ac:dyDescent="0.45">
      <c r="A206" s="618"/>
      <c r="B206" s="215"/>
      <c r="C206" s="220"/>
      <c r="D206" s="221" t="s">
        <v>293</v>
      </c>
      <c r="E206" s="273">
        <v>21</v>
      </c>
      <c r="F206" s="274">
        <f>E206+2018</f>
        <v>2039</v>
      </c>
      <c r="G206" s="618"/>
      <c r="H206" s="618"/>
      <c r="I206" s="618"/>
      <c r="J206" s="618"/>
      <c r="K206" s="618"/>
      <c r="L206" s="618"/>
      <c r="M206" s="618"/>
      <c r="N206" s="618"/>
      <c r="O206" s="618"/>
      <c r="P206" s="618"/>
      <c r="Q206" s="618"/>
      <c r="R206" s="618"/>
      <c r="S206" s="618"/>
      <c r="T206" s="618"/>
      <c r="U206" s="618"/>
      <c r="V206" s="618"/>
      <c r="W206" s="618"/>
      <c r="X206" s="618"/>
      <c r="Y206" s="618"/>
      <c r="Z206" s="618"/>
      <c r="AA206" s="618"/>
      <c r="AB206" s="618"/>
      <c r="AC206" s="618"/>
      <c r="AD206" s="618"/>
      <c r="AE206" s="618"/>
      <c r="AF206" s="618"/>
      <c r="AG206" s="618"/>
      <c r="AH206" s="618"/>
      <c r="AI206" s="618"/>
      <c r="AJ206" s="618"/>
      <c r="AK206" s="618"/>
      <c r="AL206" s="618"/>
      <c r="AM206" s="3"/>
      <c r="AN206" s="3"/>
      <c r="AO206" s="3"/>
      <c r="AP206" s="3"/>
      <c r="AQ206" s="3"/>
      <c r="AR206" s="3"/>
      <c r="AS206" s="3"/>
      <c r="AT206" s="3"/>
      <c r="AU206" s="3"/>
      <c r="AV206" s="3"/>
      <c r="AW206" s="3"/>
      <c r="AX206" s="3"/>
      <c r="AY206" s="3"/>
      <c r="AZ206" s="3"/>
      <c r="BA206" s="3"/>
      <c r="BB206" s="3"/>
      <c r="BC206" s="3"/>
      <c r="BD206" s="3"/>
      <c r="BE206" s="3"/>
      <c r="BF206" s="3"/>
    </row>
    <row r="207" spans="1:58" ht="14.25" customHeight="1" x14ac:dyDescent="0.45">
      <c r="A207" s="618"/>
      <c r="B207" s="215"/>
      <c r="C207" s="220"/>
      <c r="D207" s="221" t="s">
        <v>294</v>
      </c>
      <c r="E207" s="273">
        <v>20</v>
      </c>
      <c r="F207" s="274">
        <f>E207+2018</f>
        <v>2038</v>
      </c>
      <c r="G207" s="618"/>
      <c r="H207" s="618"/>
      <c r="I207" s="618"/>
      <c r="J207" s="618"/>
      <c r="K207" s="618"/>
      <c r="L207" s="618"/>
      <c r="M207" s="618"/>
      <c r="N207" s="618"/>
      <c r="O207" s="618"/>
      <c r="P207" s="618"/>
      <c r="Q207" s="618"/>
      <c r="R207" s="618"/>
      <c r="S207" s="618"/>
      <c r="T207" s="618"/>
      <c r="U207" s="618"/>
      <c r="V207" s="618"/>
      <c r="W207" s="618"/>
      <c r="X207" s="618"/>
      <c r="Y207" s="618"/>
      <c r="Z207" s="618"/>
      <c r="AA207" s="618"/>
      <c r="AB207" s="618"/>
      <c r="AC207" s="618"/>
      <c r="AD207" s="618"/>
      <c r="AE207" s="618"/>
      <c r="AF207" s="618"/>
      <c r="AG207" s="618"/>
      <c r="AH207" s="618"/>
      <c r="AI207" s="618"/>
      <c r="AJ207" s="618"/>
      <c r="AK207" s="618"/>
      <c r="AL207" s="618"/>
      <c r="AM207" s="3"/>
      <c r="AN207" s="3"/>
      <c r="AO207" s="3"/>
      <c r="AP207" s="3"/>
      <c r="AQ207" s="3"/>
      <c r="AR207" s="3"/>
      <c r="AS207" s="3"/>
      <c r="AT207" s="3"/>
      <c r="AU207" s="3"/>
      <c r="AV207" s="3"/>
      <c r="AW207" s="3"/>
      <c r="AX207" s="3"/>
      <c r="AY207" s="3"/>
      <c r="AZ207" s="3"/>
      <c r="BA207" s="3"/>
      <c r="BB207" s="3"/>
      <c r="BC207" s="3"/>
      <c r="BD207" s="3"/>
      <c r="BE207" s="3"/>
      <c r="BF207" s="3"/>
    </row>
    <row r="208" spans="1:58" ht="14.25" customHeight="1" x14ac:dyDescent="0.45">
      <c r="A208" s="618"/>
      <c r="B208" s="215"/>
      <c r="C208" s="220"/>
      <c r="D208" s="221" t="s">
        <v>295</v>
      </c>
      <c r="E208" s="273">
        <v>20</v>
      </c>
      <c r="F208" s="274">
        <f>E208+2018</f>
        <v>2038</v>
      </c>
      <c r="G208" s="618"/>
      <c r="H208" s="618"/>
      <c r="I208" s="618"/>
      <c r="J208" s="618"/>
      <c r="K208" s="618"/>
      <c r="L208" s="618"/>
      <c r="M208" s="618"/>
      <c r="N208" s="618"/>
      <c r="O208" s="618"/>
      <c r="P208" s="618"/>
      <c r="Q208" s="618"/>
      <c r="R208" s="618"/>
      <c r="S208" s="618"/>
      <c r="T208" s="618"/>
      <c r="U208" s="618"/>
      <c r="V208" s="618"/>
      <c r="W208" s="618"/>
      <c r="X208" s="618"/>
      <c r="Y208" s="618"/>
      <c r="Z208" s="618"/>
      <c r="AA208" s="618"/>
      <c r="AB208" s="618"/>
      <c r="AC208" s="618"/>
      <c r="AD208" s="618"/>
      <c r="AE208" s="618"/>
      <c r="AF208" s="618"/>
      <c r="AG208" s="618"/>
      <c r="AH208" s="618"/>
      <c r="AI208" s="618"/>
      <c r="AJ208" s="618"/>
      <c r="AK208" s="618"/>
      <c r="AL208" s="618"/>
      <c r="AM208" s="3"/>
      <c r="AN208" s="3"/>
      <c r="AO208" s="3"/>
      <c r="AP208" s="3"/>
      <c r="AQ208" s="3"/>
      <c r="AR208" s="3"/>
      <c r="AS208" s="3"/>
      <c r="AT208" s="3"/>
      <c r="AU208" s="3"/>
      <c r="AV208" s="3"/>
      <c r="AW208" s="3"/>
      <c r="AX208" s="3"/>
      <c r="AY208" s="3"/>
      <c r="AZ208" s="3"/>
      <c r="BA208" s="3"/>
      <c r="BB208" s="3"/>
      <c r="BC208" s="3"/>
      <c r="BD208" s="3"/>
      <c r="BE208" s="3"/>
      <c r="BF208" s="3"/>
    </row>
    <row r="209" spans="1:58" ht="14.25" customHeight="1" x14ac:dyDescent="0.45">
      <c r="A209" s="618"/>
      <c r="B209" s="258"/>
      <c r="C209" s="259"/>
      <c r="D209" s="267" t="s">
        <v>296</v>
      </c>
      <c r="E209" s="277">
        <v>30</v>
      </c>
      <c r="F209" s="278">
        <f>E209+2018</f>
        <v>2048</v>
      </c>
      <c r="G209" s="618"/>
      <c r="H209" s="618"/>
      <c r="I209" s="618"/>
      <c r="J209" s="618"/>
      <c r="K209" s="618"/>
      <c r="L209" s="618"/>
      <c r="M209" s="618"/>
      <c r="N209" s="618"/>
      <c r="O209" s="618"/>
      <c r="P209" s="618"/>
      <c r="Q209" s="618"/>
      <c r="R209" s="618"/>
      <c r="S209" s="618"/>
      <c r="T209" s="618"/>
      <c r="U209" s="618"/>
      <c r="V209" s="618"/>
      <c r="W209" s="618"/>
      <c r="X209" s="618"/>
      <c r="Y209" s="618"/>
      <c r="Z209" s="618"/>
      <c r="AA209" s="618"/>
      <c r="AB209" s="618"/>
      <c r="AC209" s="618"/>
      <c r="AD209" s="618"/>
      <c r="AE209" s="618"/>
      <c r="AF209" s="618"/>
      <c r="AG209" s="618"/>
      <c r="AH209" s="618"/>
      <c r="AI209" s="618"/>
      <c r="AJ209" s="618"/>
      <c r="AK209" s="618"/>
      <c r="AL209" s="618"/>
      <c r="AM209" s="3"/>
      <c r="AN209" s="3"/>
      <c r="AO209" s="3"/>
      <c r="AP209" s="3"/>
      <c r="AQ209" s="3"/>
      <c r="AR209" s="3"/>
      <c r="AS209" s="3"/>
      <c r="AT209" s="3"/>
      <c r="AU209" s="3"/>
      <c r="AV209" s="3"/>
      <c r="AW209" s="3"/>
      <c r="AX209" s="3"/>
      <c r="AY209" s="3"/>
      <c r="AZ209" s="3"/>
      <c r="BA209" s="3"/>
      <c r="BB209" s="3"/>
      <c r="BC209" s="3"/>
      <c r="BD209" s="3"/>
      <c r="BE209" s="3"/>
      <c r="BF209" s="3"/>
    </row>
    <row r="210" spans="1:58" ht="14.25" customHeight="1" x14ac:dyDescent="0.45">
      <c r="A210" s="618"/>
      <c r="B210" s="618"/>
      <c r="C210" s="618"/>
      <c r="D210" s="618"/>
      <c r="E210" s="618"/>
      <c r="F210" s="618"/>
      <c r="G210" s="618"/>
      <c r="H210" s="618"/>
      <c r="I210" s="19" t="s">
        <v>297</v>
      </c>
      <c r="J210" s="3"/>
      <c r="K210" s="3"/>
      <c r="L210" s="618"/>
      <c r="M210" s="618"/>
      <c r="N210" s="618"/>
      <c r="O210" s="618"/>
      <c r="P210" s="618"/>
      <c r="Q210" s="618"/>
      <c r="R210" s="618"/>
      <c r="S210" s="618"/>
      <c r="T210" s="618"/>
      <c r="U210" s="618"/>
      <c r="V210" s="618"/>
      <c r="W210" s="618"/>
      <c r="X210" s="618"/>
      <c r="Y210" s="618"/>
      <c r="Z210" s="618"/>
      <c r="AA210" s="618"/>
      <c r="AB210" s="618"/>
      <c r="AC210" s="618"/>
      <c r="AD210" s="618"/>
      <c r="AE210" s="618"/>
      <c r="AF210" s="618"/>
      <c r="AG210" s="618"/>
      <c r="AH210" s="618"/>
      <c r="AI210" s="618"/>
      <c r="AJ210" s="618"/>
      <c r="AK210" s="618"/>
      <c r="AL210" s="618"/>
      <c r="AM210" s="3"/>
      <c r="AN210" s="3"/>
      <c r="AO210" s="3"/>
      <c r="AP210" s="3"/>
      <c r="AQ210" s="3"/>
      <c r="AR210" s="3"/>
      <c r="AS210" s="3"/>
      <c r="AT210" s="3"/>
      <c r="AU210" s="3"/>
      <c r="AV210" s="3"/>
      <c r="AW210" s="3"/>
      <c r="AX210" s="3"/>
      <c r="AY210" s="3"/>
      <c r="AZ210" s="3"/>
      <c r="BA210" s="3"/>
      <c r="BB210" s="3"/>
      <c r="BC210" s="3"/>
      <c r="BD210" s="3"/>
      <c r="BE210" s="3"/>
      <c r="BF210" s="3"/>
    </row>
    <row r="211" spans="1:58" ht="14.25" customHeight="1" x14ac:dyDescent="0.45">
      <c r="A211" s="618"/>
      <c r="B211" s="26"/>
      <c r="C211" s="211"/>
      <c r="D211" s="270" t="s">
        <v>298</v>
      </c>
      <c r="E211" s="279"/>
      <c r="F211" s="618"/>
      <c r="G211" s="618"/>
      <c r="H211" s="618"/>
      <c r="I211" s="38" t="s">
        <v>168</v>
      </c>
      <c r="J211" s="33">
        <f>E218</f>
        <v>0.01</v>
      </c>
      <c r="K211" s="618"/>
      <c r="L211" s="618"/>
      <c r="M211" s="618"/>
      <c r="N211" s="618"/>
      <c r="O211" s="618"/>
      <c r="P211" s="618"/>
      <c r="Q211" s="618"/>
      <c r="R211" s="618"/>
      <c r="S211" s="618"/>
      <c r="T211" s="618"/>
      <c r="U211" s="618"/>
      <c r="V211" s="618"/>
      <c r="W211" s="618"/>
      <c r="X211" s="618"/>
      <c r="Y211" s="618"/>
      <c r="Z211" s="618"/>
      <c r="AA211" s="618"/>
      <c r="AB211" s="618"/>
      <c r="AC211" s="618"/>
      <c r="AD211" s="618"/>
      <c r="AE211" s="618"/>
      <c r="AF211" s="618"/>
      <c r="AG211" s="618"/>
      <c r="AH211" s="618"/>
      <c r="AI211" s="618"/>
      <c r="AJ211" s="618"/>
      <c r="AK211" s="618"/>
      <c r="AL211" s="618"/>
      <c r="AM211" s="3"/>
      <c r="AN211" s="3"/>
      <c r="AO211" s="3"/>
      <c r="AP211" s="3"/>
      <c r="AQ211" s="3"/>
      <c r="AR211" s="3"/>
      <c r="AS211" s="3"/>
      <c r="AT211" s="3"/>
      <c r="AU211" s="3"/>
      <c r="AV211" s="3"/>
      <c r="AW211" s="3"/>
      <c r="AX211" s="3"/>
      <c r="AY211" s="3"/>
      <c r="AZ211" s="3"/>
      <c r="BA211" s="3"/>
      <c r="BB211" s="3"/>
      <c r="BC211" s="3"/>
      <c r="BD211" s="3"/>
      <c r="BE211" s="3"/>
      <c r="BF211" s="3"/>
    </row>
    <row r="212" spans="1:58" ht="14.25" customHeight="1" x14ac:dyDescent="0.45">
      <c r="A212" s="618"/>
      <c r="B212" s="215"/>
      <c r="C212" s="220"/>
      <c r="D212" s="243" t="s">
        <v>220</v>
      </c>
      <c r="E212" s="233"/>
      <c r="F212" s="618"/>
      <c r="G212" s="618"/>
      <c r="H212" s="618"/>
      <c r="I212" s="39" t="s">
        <v>299</v>
      </c>
      <c r="J212" s="33">
        <f>E213+E215+E216+E219+E220+E221+E222</f>
        <v>0.98730000000000007</v>
      </c>
      <c r="K212" s="618"/>
      <c r="L212" s="618"/>
      <c r="M212" s="618"/>
      <c r="N212" s="618"/>
      <c r="O212" s="618"/>
      <c r="P212" s="618"/>
      <c r="Q212" s="618"/>
      <c r="R212" s="618"/>
      <c r="S212" s="618"/>
      <c r="T212" s="618"/>
      <c r="U212" s="618"/>
      <c r="V212" s="618"/>
      <c r="W212" s="618"/>
      <c r="X212" s="618"/>
      <c r="Y212" s="618"/>
      <c r="Z212" s="618"/>
      <c r="AA212" s="618"/>
      <c r="AB212" s="618"/>
      <c r="AC212" s="618"/>
      <c r="AD212" s="618"/>
      <c r="AE212" s="618"/>
      <c r="AF212" s="618"/>
      <c r="AG212" s="618"/>
      <c r="AH212" s="618"/>
      <c r="AI212" s="618"/>
      <c r="AJ212" s="618"/>
      <c r="AK212" s="618"/>
      <c r="AL212" s="618"/>
      <c r="AM212" s="3"/>
      <c r="AN212" s="3"/>
      <c r="AO212" s="3"/>
      <c r="AP212" s="3"/>
      <c r="AQ212" s="3"/>
      <c r="AR212" s="3"/>
      <c r="AS212" s="3"/>
      <c r="AT212" s="3"/>
      <c r="AU212" s="3"/>
      <c r="AV212" s="3"/>
      <c r="AW212" s="3"/>
      <c r="AX212" s="3"/>
      <c r="AY212" s="3"/>
      <c r="AZ212" s="3"/>
      <c r="BA212" s="3"/>
      <c r="BB212" s="3"/>
      <c r="BC212" s="3"/>
      <c r="BD212" s="3"/>
      <c r="BE212" s="3"/>
      <c r="BF212" s="3"/>
    </row>
    <row r="213" spans="1:58" ht="14.25" customHeight="1" x14ac:dyDescent="0.45">
      <c r="A213" s="1"/>
      <c r="B213" s="215"/>
      <c r="C213" s="39" t="s">
        <v>299</v>
      </c>
      <c r="D213" s="221" t="s">
        <v>300</v>
      </c>
      <c r="E213" s="280">
        <f>'Copia de Electricidad'!D172/1000</f>
        <v>0.73</v>
      </c>
      <c r="F213" s="3"/>
      <c r="G213" s="618"/>
      <c r="H213" s="618"/>
      <c r="I213" s="38" t="s">
        <v>198</v>
      </c>
      <c r="J213" s="33">
        <f>E214</f>
        <v>9.2999999999999999E-2</v>
      </c>
      <c r="K213" s="618"/>
      <c r="L213" s="618"/>
      <c r="M213" s="618"/>
      <c r="N213" s="618"/>
      <c r="O213" s="618"/>
      <c r="P213" s="618"/>
      <c r="Q213" s="618"/>
      <c r="R213" s="618"/>
      <c r="S213" s="618"/>
      <c r="T213" s="618"/>
      <c r="U213" s="618"/>
      <c r="V213" s="618"/>
      <c r="W213" s="618"/>
      <c r="X213" s="618"/>
      <c r="Y213" s="618"/>
      <c r="Z213" s="618"/>
      <c r="AA213" s="618"/>
      <c r="AB213" s="618"/>
      <c r="AC213" s="618"/>
      <c r="AD213" s="618"/>
      <c r="AE213" s="618"/>
      <c r="AF213" s="618"/>
      <c r="AG213" s="618"/>
      <c r="AH213" s="618"/>
      <c r="AI213" s="618"/>
      <c r="AJ213" s="618"/>
      <c r="AK213" s="618"/>
      <c r="AL213" s="618"/>
      <c r="AM213" s="3"/>
      <c r="AN213" s="3"/>
      <c r="AO213" s="3"/>
      <c r="AP213" s="3"/>
      <c r="AQ213" s="3"/>
      <c r="AR213" s="3"/>
      <c r="AS213" s="3"/>
      <c r="AT213" s="3"/>
      <c r="AU213" s="3"/>
      <c r="AV213" s="3"/>
      <c r="AW213" s="3"/>
      <c r="AX213" s="3"/>
      <c r="AY213" s="3"/>
      <c r="AZ213" s="3"/>
      <c r="BA213" s="3"/>
      <c r="BB213" s="3"/>
      <c r="BC213" s="3"/>
      <c r="BD213" s="3"/>
      <c r="BE213" s="3"/>
      <c r="BF213" s="3"/>
    </row>
    <row r="214" spans="1:58" ht="14.25" customHeight="1" x14ac:dyDescent="0.45">
      <c r="A214" s="1"/>
      <c r="B214" s="215"/>
      <c r="C214" s="38" t="s">
        <v>198</v>
      </c>
      <c r="D214" s="221" t="s">
        <v>301</v>
      </c>
      <c r="E214" s="280">
        <f>'Copia de Electricidad'!D173/1000</f>
        <v>9.2999999999999999E-2</v>
      </c>
      <c r="F214" s="3"/>
      <c r="G214" s="618"/>
      <c r="H214" s="618"/>
      <c r="I214" s="39" t="s">
        <v>186</v>
      </c>
      <c r="J214" s="33">
        <f>E217</f>
        <v>7.0000000000000007E-2</v>
      </c>
      <c r="K214" s="618"/>
      <c r="L214" s="618"/>
      <c r="M214" s="618"/>
      <c r="N214" s="618"/>
      <c r="O214" s="618"/>
      <c r="P214" s="618"/>
      <c r="Q214" s="618"/>
      <c r="R214" s="618"/>
      <c r="S214" s="618"/>
      <c r="T214" s="618"/>
      <c r="U214" s="618"/>
      <c r="V214" s="618"/>
      <c r="W214" s="618"/>
      <c r="X214" s="618"/>
      <c r="Y214" s="618"/>
      <c r="Z214" s="618"/>
      <c r="AA214" s="618"/>
      <c r="AB214" s="618"/>
      <c r="AC214" s="618"/>
      <c r="AD214" s="618"/>
      <c r="AE214" s="618"/>
      <c r="AF214" s="618"/>
      <c r="AG214" s="618"/>
      <c r="AH214" s="618"/>
      <c r="AI214" s="618"/>
      <c r="AJ214" s="618"/>
      <c r="AK214" s="618"/>
      <c r="AL214" s="618"/>
      <c r="AM214" s="3"/>
      <c r="AN214" s="3"/>
      <c r="AO214" s="3"/>
      <c r="AP214" s="3"/>
      <c r="AQ214" s="3"/>
      <c r="AR214" s="3"/>
      <c r="AS214" s="3"/>
      <c r="AT214" s="3"/>
      <c r="AU214" s="3"/>
      <c r="AV214" s="3"/>
      <c r="AW214" s="3"/>
      <c r="AX214" s="3"/>
      <c r="AY214" s="3"/>
      <c r="AZ214" s="3"/>
      <c r="BA214" s="3"/>
      <c r="BB214" s="3"/>
      <c r="BC214" s="3"/>
      <c r="BD214" s="3"/>
      <c r="BE214" s="3"/>
      <c r="BF214" s="3"/>
    </row>
    <row r="215" spans="1:58" ht="14.25" customHeight="1" x14ac:dyDescent="0.45">
      <c r="A215" s="1"/>
      <c r="B215" s="215"/>
      <c r="C215" s="39" t="s">
        <v>299</v>
      </c>
      <c r="D215" s="221" t="s">
        <v>302</v>
      </c>
      <c r="E215" s="280">
        <f>'Copia de Electricidad'!D174/1000</f>
        <v>1.0999999999999999E-2</v>
      </c>
      <c r="F215" s="3"/>
      <c r="G215" s="618"/>
      <c r="H215" s="618"/>
      <c r="I215" s="40" t="s">
        <v>303</v>
      </c>
      <c r="J215" s="33">
        <f>E224</f>
        <v>0.9</v>
      </c>
      <c r="K215" s="618"/>
      <c r="L215" s="618"/>
      <c r="M215" s="618"/>
      <c r="N215" s="618"/>
      <c r="O215" s="618"/>
      <c r="P215" s="618"/>
      <c r="Q215" s="618"/>
      <c r="R215" s="618"/>
      <c r="S215" s="618"/>
      <c r="T215" s="618"/>
      <c r="U215" s="618"/>
      <c r="V215" s="618"/>
      <c r="W215" s="618"/>
      <c r="X215" s="618"/>
      <c r="Y215" s="618"/>
      <c r="Z215" s="618"/>
      <c r="AA215" s="618"/>
      <c r="AB215" s="618"/>
      <c r="AC215" s="618"/>
      <c r="AD215" s="618"/>
      <c r="AE215" s="618"/>
      <c r="AF215" s="618"/>
      <c r="AG215" s="618"/>
      <c r="AH215" s="618"/>
      <c r="AI215" s="618"/>
      <c r="AJ215" s="618"/>
      <c r="AK215" s="618"/>
      <c r="AL215" s="618"/>
      <c r="AM215" s="3"/>
      <c r="AN215" s="3"/>
      <c r="AO215" s="3"/>
      <c r="AP215" s="3"/>
      <c r="AQ215" s="3"/>
      <c r="AR215" s="3"/>
      <c r="AS215" s="3"/>
      <c r="AT215" s="3"/>
      <c r="AU215" s="3"/>
      <c r="AV215" s="3"/>
      <c r="AW215" s="3"/>
      <c r="AX215" s="3"/>
      <c r="AY215" s="3"/>
      <c r="AZ215" s="3"/>
      <c r="BA215" s="3"/>
      <c r="BB215" s="3"/>
      <c r="BC215" s="3"/>
      <c r="BD215" s="3"/>
      <c r="BE215" s="3"/>
      <c r="BF215" s="3"/>
    </row>
    <row r="216" spans="1:58" ht="14.25" customHeight="1" x14ac:dyDescent="0.45">
      <c r="A216" s="1"/>
      <c r="B216" s="215"/>
      <c r="C216" s="39" t="s">
        <v>299</v>
      </c>
      <c r="D216" s="221" t="s">
        <v>304</v>
      </c>
      <c r="E216" s="280">
        <f>'Copia de Electricidad'!D175/1000</f>
        <v>1.4999999999999999E-2</v>
      </c>
      <c r="F216" s="3"/>
      <c r="G216" s="618"/>
      <c r="H216" s="618"/>
      <c r="I216" s="220" t="s">
        <v>200</v>
      </c>
      <c r="J216" s="618">
        <f>F232</f>
        <v>2.7400000000000004E-2</v>
      </c>
      <c r="K216" s="618"/>
      <c r="L216" s="618"/>
      <c r="M216" s="618"/>
      <c r="N216" s="618"/>
      <c r="O216" s="618"/>
      <c r="P216" s="618"/>
      <c r="Q216" s="618"/>
      <c r="R216" s="618"/>
      <c r="S216" s="618"/>
      <c r="T216" s="618"/>
      <c r="U216" s="618"/>
      <c r="V216" s="618"/>
      <c r="W216" s="618"/>
      <c r="X216" s="618"/>
      <c r="Y216" s="618"/>
      <c r="Z216" s="618"/>
      <c r="AA216" s="618"/>
      <c r="AB216" s="618"/>
      <c r="AC216" s="618"/>
      <c r="AD216" s="618"/>
      <c r="AE216" s="618"/>
      <c r="AF216" s="618"/>
      <c r="AG216" s="618"/>
      <c r="AH216" s="618"/>
      <c r="AI216" s="618"/>
      <c r="AJ216" s="618"/>
      <c r="AK216" s="618"/>
      <c r="AL216" s="618"/>
      <c r="AM216" s="3"/>
      <c r="AN216" s="3"/>
      <c r="AO216" s="3"/>
      <c r="AP216" s="3"/>
      <c r="AQ216" s="3"/>
      <c r="AR216" s="3"/>
      <c r="AS216" s="3"/>
      <c r="AT216" s="3"/>
      <c r="AU216" s="3"/>
      <c r="AV216" s="3"/>
      <c r="AW216" s="3"/>
      <c r="AX216" s="3"/>
      <c r="AY216" s="3"/>
      <c r="AZ216" s="3"/>
      <c r="BA216" s="3"/>
      <c r="BB216" s="3"/>
      <c r="BC216" s="3"/>
      <c r="BD216" s="3"/>
      <c r="BE216" s="3"/>
      <c r="BF216" s="3"/>
    </row>
    <row r="217" spans="1:58" ht="14.25" customHeight="1" x14ac:dyDescent="0.45">
      <c r="A217" s="1"/>
      <c r="B217" s="215"/>
      <c r="C217" s="39" t="s">
        <v>186</v>
      </c>
      <c r="D217" s="221" t="s">
        <v>305</v>
      </c>
      <c r="E217" s="280">
        <f>'Copia de Electricidad'!D176/1000</f>
        <v>7.0000000000000007E-2</v>
      </c>
      <c r="F217" s="3"/>
      <c r="G217" s="618"/>
      <c r="H217" s="618"/>
      <c r="I217" s="220" t="s">
        <v>202</v>
      </c>
      <c r="J217" s="618">
        <v>0.2054</v>
      </c>
      <c r="K217" s="618" t="s">
        <v>306</v>
      </c>
      <c r="L217" s="618"/>
      <c r="M217" s="618"/>
      <c r="N217" s="618"/>
      <c r="O217" s="618"/>
      <c r="P217" s="618"/>
      <c r="Q217" s="618"/>
      <c r="R217" s="618"/>
      <c r="S217" s="618"/>
      <c r="T217" s="618"/>
      <c r="U217" s="618"/>
      <c r="V217" s="618"/>
      <c r="W217" s="618"/>
      <c r="X217" s="618"/>
      <c r="Y217" s="618"/>
      <c r="Z217" s="618"/>
      <c r="AA217" s="618"/>
      <c r="AB217" s="618"/>
      <c r="AC217" s="618"/>
      <c r="AD217" s="618"/>
      <c r="AE217" s="618"/>
      <c r="AF217" s="618"/>
      <c r="AG217" s="618"/>
      <c r="AH217" s="618"/>
      <c r="AI217" s="618"/>
      <c r="AJ217" s="618"/>
      <c r="AK217" s="618"/>
      <c r="AL217" s="618"/>
      <c r="AM217" s="3"/>
      <c r="AN217" s="3"/>
      <c r="AO217" s="3"/>
      <c r="AP217" s="3"/>
      <c r="AQ217" s="3"/>
      <c r="AR217" s="3"/>
      <c r="AS217" s="3"/>
      <c r="AT217" s="3"/>
      <c r="AU217" s="3"/>
      <c r="AV217" s="3"/>
      <c r="AW217" s="3"/>
      <c r="AX217" s="3"/>
      <c r="AY217" s="3"/>
      <c r="AZ217" s="3"/>
      <c r="BA217" s="3"/>
      <c r="BB217" s="3"/>
      <c r="BC217" s="3"/>
      <c r="BD217" s="3"/>
      <c r="BE217" s="3"/>
      <c r="BF217" s="3"/>
    </row>
    <row r="218" spans="1:58" ht="14.25" customHeight="1" x14ac:dyDescent="0.45">
      <c r="A218" s="1"/>
      <c r="B218" s="215"/>
      <c r="C218" s="38" t="s">
        <v>168</v>
      </c>
      <c r="D218" s="281" t="s">
        <v>307</v>
      </c>
      <c r="E218" s="280">
        <f>'Copia de Electricidad'!D177/1000</f>
        <v>0.01</v>
      </c>
      <c r="F218" s="3"/>
      <c r="G218" s="618"/>
      <c r="H218" s="618"/>
      <c r="I218" s="220" t="s">
        <v>204</v>
      </c>
      <c r="J218" s="618"/>
      <c r="K218" s="618"/>
      <c r="L218" s="618"/>
      <c r="M218" s="618"/>
      <c r="N218" s="618"/>
      <c r="O218" s="618"/>
      <c r="P218" s="618"/>
      <c r="Q218" s="618"/>
      <c r="R218" s="618"/>
      <c r="S218" s="618"/>
      <c r="T218" s="618"/>
      <c r="U218" s="618"/>
      <c r="V218" s="618"/>
      <c r="W218" s="618"/>
      <c r="X218" s="618"/>
      <c r="Y218" s="618"/>
      <c r="Z218" s="618"/>
      <c r="AA218" s="618"/>
      <c r="AB218" s="618"/>
      <c r="AC218" s="618"/>
      <c r="AD218" s="618"/>
      <c r="AE218" s="618"/>
      <c r="AF218" s="618"/>
      <c r="AG218" s="618"/>
      <c r="AH218" s="618"/>
      <c r="AI218" s="618"/>
      <c r="AJ218" s="618"/>
      <c r="AK218" s="618"/>
      <c r="AL218" s="618"/>
      <c r="AM218" s="3"/>
      <c r="AN218" s="3"/>
      <c r="AO218" s="3"/>
      <c r="AP218" s="3"/>
      <c r="AQ218" s="3"/>
      <c r="AR218" s="3"/>
      <c r="AS218" s="3"/>
      <c r="AT218" s="3"/>
      <c r="AU218" s="3"/>
      <c r="AV218" s="3"/>
      <c r="AW218" s="3"/>
      <c r="AX218" s="3"/>
      <c r="AY218" s="3"/>
      <c r="AZ218" s="3"/>
      <c r="BA218" s="3"/>
      <c r="BB218" s="3"/>
      <c r="BC218" s="3"/>
      <c r="BD218" s="3"/>
      <c r="BE218" s="3"/>
      <c r="BF218" s="3"/>
    </row>
    <row r="219" spans="1:58" ht="14.25" customHeight="1" x14ac:dyDescent="0.45">
      <c r="A219" s="1"/>
      <c r="B219" s="215"/>
      <c r="C219" s="39" t="s">
        <v>299</v>
      </c>
      <c r="D219" s="281" t="s">
        <v>308</v>
      </c>
      <c r="E219" s="280">
        <f>'Copia de Electricidad'!D178/1000</f>
        <v>0.16</v>
      </c>
      <c r="F219" s="3"/>
      <c r="G219" s="618"/>
      <c r="H219" s="618"/>
      <c r="I219" s="220" t="s">
        <v>206</v>
      </c>
      <c r="J219" s="33">
        <f>F235</f>
        <v>0</v>
      </c>
      <c r="K219" s="618"/>
      <c r="L219" s="618"/>
      <c r="M219" s="618"/>
      <c r="N219" s="618"/>
      <c r="O219" s="618"/>
      <c r="P219" s="618"/>
      <c r="Q219" s="618"/>
      <c r="R219" s="618"/>
      <c r="S219" s="618"/>
      <c r="T219" s="618"/>
      <c r="U219" s="618"/>
      <c r="V219" s="618"/>
      <c r="W219" s="618"/>
      <c r="X219" s="618"/>
      <c r="Y219" s="618"/>
      <c r="Z219" s="618"/>
      <c r="AA219" s="618"/>
      <c r="AB219" s="618"/>
      <c r="AC219" s="618"/>
      <c r="AD219" s="618"/>
      <c r="AE219" s="618"/>
      <c r="AF219" s="618"/>
      <c r="AG219" s="618"/>
      <c r="AH219" s="618"/>
      <c r="AI219" s="618"/>
      <c r="AJ219" s="618"/>
      <c r="AK219" s="618"/>
      <c r="AL219" s="618"/>
      <c r="AM219" s="3"/>
      <c r="AN219" s="3"/>
      <c r="AO219" s="3"/>
      <c r="AP219" s="3"/>
      <c r="AQ219" s="3"/>
      <c r="AR219" s="3"/>
      <c r="AS219" s="3"/>
      <c r="AT219" s="3"/>
      <c r="AU219" s="3"/>
      <c r="AV219" s="3"/>
      <c r="AW219" s="3"/>
      <c r="AX219" s="3"/>
      <c r="AY219" s="3"/>
      <c r="AZ219" s="3"/>
      <c r="BA219" s="3"/>
      <c r="BB219" s="3"/>
      <c r="BC219" s="3"/>
      <c r="BD219" s="3"/>
      <c r="BE219" s="3"/>
      <c r="BF219" s="3"/>
    </row>
    <row r="220" spans="1:58" ht="14.25" customHeight="1" x14ac:dyDescent="0.45">
      <c r="A220" s="1"/>
      <c r="B220" s="215"/>
      <c r="C220" s="39" t="s">
        <v>299</v>
      </c>
      <c r="D220" s="221" t="s">
        <v>309</v>
      </c>
      <c r="E220" s="280">
        <f>'Copia de Electricidad'!D179/1000</f>
        <v>3.1300000000000001E-2</v>
      </c>
      <c r="F220" s="3"/>
      <c r="G220" s="618"/>
      <c r="H220" s="618"/>
      <c r="I220" s="220" t="s">
        <v>208</v>
      </c>
      <c r="J220" s="33">
        <f>F236</f>
        <v>0.51917999999999997</v>
      </c>
      <c r="K220" s="618"/>
      <c r="L220" s="618"/>
      <c r="M220" s="618"/>
      <c r="N220" s="618"/>
      <c r="O220" s="618"/>
      <c r="P220" s="618"/>
      <c r="Q220" s="618"/>
      <c r="R220" s="618"/>
      <c r="S220" s="618"/>
      <c r="T220" s="618"/>
      <c r="U220" s="618"/>
      <c r="V220" s="618"/>
      <c r="W220" s="618"/>
      <c r="X220" s="618"/>
      <c r="Y220" s="618"/>
      <c r="Z220" s="618"/>
      <c r="AA220" s="618"/>
      <c r="AB220" s="618"/>
      <c r="AC220" s="618"/>
      <c r="AD220" s="618"/>
      <c r="AE220" s="618"/>
      <c r="AF220" s="618"/>
      <c r="AG220" s="618"/>
      <c r="AH220" s="618"/>
      <c r="AI220" s="618"/>
      <c r="AJ220" s="618"/>
      <c r="AK220" s="618"/>
      <c r="AL220" s="618"/>
      <c r="AM220" s="3"/>
      <c r="AN220" s="3"/>
      <c r="AO220" s="3"/>
      <c r="AP220" s="3"/>
      <c r="AQ220" s="3"/>
      <c r="AR220" s="3"/>
      <c r="AS220" s="3"/>
      <c r="AT220" s="3"/>
      <c r="AU220" s="3"/>
      <c r="AV220" s="3"/>
      <c r="AW220" s="3"/>
      <c r="AX220" s="3"/>
      <c r="AY220" s="3"/>
      <c r="AZ220" s="3"/>
      <c r="BA220" s="3"/>
      <c r="BB220" s="3"/>
      <c r="BC220" s="3"/>
      <c r="BD220" s="3"/>
      <c r="BE220" s="3"/>
      <c r="BF220" s="3"/>
    </row>
    <row r="221" spans="1:58" ht="14.25" customHeight="1" x14ac:dyDescent="0.45">
      <c r="A221" s="1"/>
      <c r="B221" s="215"/>
      <c r="C221" s="39" t="s">
        <v>299</v>
      </c>
      <c r="D221" s="281" t="s">
        <v>310</v>
      </c>
      <c r="E221" s="280">
        <f>'Copia de Electricidad'!D180/1000</f>
        <v>0.03</v>
      </c>
      <c r="F221" s="3"/>
      <c r="G221" s="618"/>
      <c r="H221" s="618"/>
      <c r="I221" s="220" t="s">
        <v>210</v>
      </c>
      <c r="J221" s="33">
        <f>F237</f>
        <v>1.7808000000000002</v>
      </c>
      <c r="K221" s="618"/>
      <c r="L221" s="618"/>
      <c r="M221" s="618"/>
      <c r="N221" s="618"/>
      <c r="O221" s="618"/>
      <c r="P221" s="618"/>
      <c r="Q221" s="618"/>
      <c r="R221" s="618"/>
      <c r="S221" s="618"/>
      <c r="T221" s="618"/>
      <c r="U221" s="618"/>
      <c r="V221" s="618"/>
      <c r="W221" s="618"/>
      <c r="X221" s="618"/>
      <c r="Y221" s="618"/>
      <c r="Z221" s="618"/>
      <c r="AA221" s="618"/>
      <c r="AB221" s="618"/>
      <c r="AC221" s="618"/>
      <c r="AD221" s="618"/>
      <c r="AE221" s="618"/>
      <c r="AF221" s="618"/>
      <c r="AG221" s="618"/>
      <c r="AH221" s="618"/>
      <c r="AI221" s="618"/>
      <c r="AJ221" s="618"/>
      <c r="AK221" s="618"/>
      <c r="AL221" s="618"/>
      <c r="AM221" s="3"/>
      <c r="AN221" s="3"/>
      <c r="AO221" s="3"/>
      <c r="AP221" s="3"/>
      <c r="AQ221" s="3"/>
      <c r="AR221" s="3"/>
      <c r="AS221" s="3"/>
      <c r="AT221" s="3"/>
      <c r="AU221" s="3"/>
      <c r="AV221" s="3"/>
      <c r="AW221" s="3"/>
      <c r="AX221" s="3"/>
      <c r="AY221" s="3"/>
      <c r="AZ221" s="3"/>
      <c r="BA221" s="3"/>
      <c r="BB221" s="3"/>
      <c r="BC221" s="3"/>
      <c r="BD221" s="3"/>
      <c r="BE221" s="3"/>
      <c r="BF221" s="3"/>
    </row>
    <row r="222" spans="1:58" ht="14.25" customHeight="1" x14ac:dyDescent="0.45">
      <c r="A222" s="1"/>
      <c r="B222" s="215"/>
      <c r="C222" s="39" t="s">
        <v>299</v>
      </c>
      <c r="D222" s="221" t="s">
        <v>311</v>
      </c>
      <c r="E222" s="280">
        <f>'Copia de Electricidad'!D181/1000</f>
        <v>0.01</v>
      </c>
      <c r="F222" s="3"/>
      <c r="G222" s="618"/>
      <c r="H222" s="618"/>
      <c r="I222" s="220"/>
      <c r="J222" s="618"/>
      <c r="K222" s="618"/>
      <c r="L222" s="618"/>
      <c r="M222" s="618"/>
      <c r="N222" s="618"/>
      <c r="O222" s="618"/>
      <c r="P222" s="618"/>
      <c r="Q222" s="618"/>
      <c r="R222" s="618"/>
      <c r="S222" s="618"/>
      <c r="T222" s="618"/>
      <c r="U222" s="618"/>
      <c r="V222" s="618"/>
      <c r="W222" s="618"/>
      <c r="X222" s="618"/>
      <c r="Y222" s="618"/>
      <c r="Z222" s="618"/>
      <c r="AA222" s="618"/>
      <c r="AB222" s="618"/>
      <c r="AC222" s="618"/>
      <c r="AD222" s="618"/>
      <c r="AE222" s="618"/>
      <c r="AF222" s="618"/>
      <c r="AG222" s="618"/>
      <c r="AH222" s="618"/>
      <c r="AI222" s="618"/>
      <c r="AJ222" s="618"/>
      <c r="AK222" s="618"/>
      <c r="AL222" s="618"/>
      <c r="AM222" s="3"/>
      <c r="AN222" s="3"/>
      <c r="AO222" s="3"/>
      <c r="AP222" s="3"/>
      <c r="AQ222" s="3"/>
      <c r="AR222" s="3"/>
      <c r="AS222" s="3"/>
      <c r="AT222" s="3"/>
      <c r="AU222" s="3"/>
      <c r="AV222" s="3"/>
      <c r="AW222" s="3"/>
      <c r="AX222" s="3"/>
      <c r="AY222" s="3"/>
      <c r="AZ222" s="3"/>
      <c r="BA222" s="3"/>
      <c r="BB222" s="3"/>
      <c r="BC222" s="3"/>
      <c r="BD222" s="3"/>
      <c r="BE222" s="3"/>
      <c r="BF222" s="3"/>
    </row>
    <row r="223" spans="1:58" ht="14.25" customHeight="1" x14ac:dyDescent="0.45">
      <c r="A223" s="1"/>
      <c r="B223" s="215"/>
      <c r="C223" s="220"/>
      <c r="D223" s="243" t="s">
        <v>262</v>
      </c>
      <c r="E223" s="280"/>
      <c r="F223" s="3"/>
      <c r="G223" s="618"/>
      <c r="H223" s="618"/>
      <c r="I223" s="220" t="s">
        <v>213</v>
      </c>
      <c r="J223" s="618">
        <f>G232</f>
        <v>0.10960000000000002</v>
      </c>
      <c r="K223" s="618"/>
      <c r="L223" s="618"/>
      <c r="M223" s="618"/>
      <c r="N223" s="618"/>
      <c r="O223" s="618"/>
      <c r="P223" s="618"/>
      <c r="Q223" s="618"/>
      <c r="R223" s="618"/>
      <c r="S223" s="618"/>
      <c r="T223" s="618"/>
      <c r="U223" s="618"/>
      <c r="V223" s="618"/>
      <c r="W223" s="618"/>
      <c r="X223" s="618"/>
      <c r="Y223" s="618"/>
      <c r="Z223" s="618"/>
      <c r="AA223" s="618"/>
      <c r="AB223" s="618"/>
      <c r="AC223" s="618"/>
      <c r="AD223" s="618"/>
      <c r="AE223" s="618"/>
      <c r="AF223" s="618"/>
      <c r="AG223" s="618"/>
      <c r="AH223" s="618"/>
      <c r="AI223" s="618"/>
      <c r="AJ223" s="618"/>
      <c r="AK223" s="618"/>
      <c r="AL223" s="618"/>
      <c r="AM223" s="3"/>
      <c r="AN223" s="3"/>
      <c r="AO223" s="3"/>
      <c r="AP223" s="3"/>
      <c r="AQ223" s="3"/>
      <c r="AR223" s="3"/>
      <c r="AS223" s="3"/>
      <c r="AT223" s="3"/>
      <c r="AU223" s="3"/>
      <c r="AV223" s="3"/>
      <c r="AW223" s="3"/>
      <c r="AX223" s="3"/>
      <c r="AY223" s="3"/>
      <c r="AZ223" s="3"/>
      <c r="BA223" s="3"/>
      <c r="BB223" s="3"/>
      <c r="BC223" s="3"/>
      <c r="BD223" s="3"/>
      <c r="BE223" s="3"/>
      <c r="BF223" s="3"/>
    </row>
    <row r="224" spans="1:58" ht="14.25" customHeight="1" x14ac:dyDescent="0.45">
      <c r="A224" s="618"/>
      <c r="B224" s="215"/>
      <c r="C224" s="40" t="s">
        <v>303</v>
      </c>
      <c r="D224" s="221" t="s">
        <v>312</v>
      </c>
      <c r="E224" s="280">
        <f>'Copia de Electricidad'!D183/1000</f>
        <v>0.9</v>
      </c>
      <c r="F224" s="3"/>
      <c r="G224" s="618"/>
      <c r="H224" s="618"/>
      <c r="I224" s="220" t="s">
        <v>214</v>
      </c>
      <c r="J224" s="618"/>
      <c r="K224" s="618"/>
      <c r="L224" s="618"/>
      <c r="M224" s="618"/>
      <c r="N224" s="618"/>
      <c r="O224" s="618"/>
      <c r="P224" s="618"/>
      <c r="Q224" s="618"/>
      <c r="R224" s="618"/>
      <c r="S224" s="618"/>
      <c r="T224" s="618"/>
      <c r="U224" s="618"/>
      <c r="V224" s="618"/>
      <c r="W224" s="618"/>
      <c r="X224" s="618"/>
      <c r="Y224" s="618"/>
      <c r="Z224" s="618"/>
      <c r="AA224" s="618"/>
      <c r="AB224" s="618"/>
      <c r="AC224" s="618"/>
      <c r="AD224" s="618"/>
      <c r="AE224" s="618"/>
      <c r="AF224" s="618"/>
      <c r="AG224" s="618"/>
      <c r="AH224" s="618"/>
      <c r="AI224" s="618"/>
      <c r="AJ224" s="618"/>
      <c r="AK224" s="618"/>
      <c r="AL224" s="618"/>
      <c r="AM224" s="3"/>
      <c r="AN224" s="3"/>
      <c r="AO224" s="3"/>
      <c r="AP224" s="3"/>
      <c r="AQ224" s="3"/>
      <c r="AR224" s="3"/>
      <c r="AS224" s="3"/>
      <c r="AT224" s="3"/>
      <c r="AU224" s="3"/>
      <c r="AV224" s="3"/>
      <c r="AW224" s="3"/>
      <c r="AX224" s="3"/>
      <c r="AY224" s="3"/>
      <c r="AZ224" s="3"/>
      <c r="BA224" s="3"/>
      <c r="BB224" s="3"/>
      <c r="BC224" s="3"/>
      <c r="BD224" s="3"/>
      <c r="BE224" s="3"/>
      <c r="BF224" s="3"/>
    </row>
    <row r="225" spans="1:58" ht="14.25" customHeight="1" x14ac:dyDescent="0.45">
      <c r="A225" s="618"/>
      <c r="B225" s="215"/>
      <c r="C225" s="220"/>
      <c r="D225" s="243" t="s">
        <v>313</v>
      </c>
      <c r="E225" s="233"/>
      <c r="F225" s="3"/>
      <c r="G225" s="618"/>
      <c r="H225" s="618"/>
      <c r="I225" s="220" t="s">
        <v>215</v>
      </c>
      <c r="J225" s="618"/>
      <c r="K225" s="618"/>
      <c r="L225" s="618"/>
      <c r="M225" s="618"/>
      <c r="N225" s="618"/>
      <c r="O225" s="618"/>
      <c r="P225" s="618"/>
      <c r="Q225" s="618"/>
      <c r="R225" s="618"/>
      <c r="S225" s="618"/>
      <c r="T225" s="618"/>
      <c r="U225" s="618"/>
      <c r="V225" s="618"/>
      <c r="W225" s="618"/>
      <c r="X225" s="618"/>
      <c r="Y225" s="618"/>
      <c r="Z225" s="618"/>
      <c r="AA225" s="618"/>
      <c r="AB225" s="618"/>
      <c r="AC225" s="618"/>
      <c r="AD225" s="618"/>
      <c r="AE225" s="618"/>
      <c r="AF225" s="618"/>
      <c r="AG225" s="618"/>
      <c r="AH225" s="618"/>
      <c r="AI225" s="618"/>
      <c r="AJ225" s="618"/>
      <c r="AK225" s="618"/>
      <c r="AL225" s="618"/>
      <c r="AM225" s="3"/>
      <c r="AN225" s="3"/>
      <c r="AO225" s="3"/>
      <c r="AP225" s="3"/>
      <c r="AQ225" s="3"/>
      <c r="AR225" s="3"/>
      <c r="AS225" s="3"/>
      <c r="AT225" s="3"/>
      <c r="AU225" s="3"/>
      <c r="AV225" s="3"/>
      <c r="AW225" s="3"/>
      <c r="AX225" s="3"/>
      <c r="AY225" s="3"/>
      <c r="AZ225" s="3"/>
      <c r="BA225" s="3"/>
      <c r="BB225" s="3"/>
      <c r="BC225" s="3"/>
      <c r="BD225" s="3"/>
      <c r="BE225" s="3"/>
      <c r="BF225" s="3"/>
    </row>
    <row r="226" spans="1:58" ht="14.25" customHeight="1" x14ac:dyDescent="0.45">
      <c r="A226" s="618"/>
      <c r="B226" s="215"/>
      <c r="C226" s="220"/>
      <c r="D226" s="221" t="s">
        <v>314</v>
      </c>
      <c r="E226" s="280">
        <f>'Copia de Electricidad'!D185/1000</f>
        <v>91</v>
      </c>
      <c r="F226" s="3"/>
      <c r="G226" s="618"/>
      <c r="H226" s="618"/>
      <c r="I226" s="220" t="s">
        <v>216</v>
      </c>
      <c r="J226" s="33">
        <f>G235</f>
        <v>1.4368999999999998</v>
      </c>
      <c r="K226" s="618"/>
      <c r="L226" s="618"/>
      <c r="M226" s="618"/>
      <c r="N226" s="618"/>
      <c r="O226" s="618"/>
      <c r="P226" s="618"/>
      <c r="Q226" s="618"/>
      <c r="R226" s="618"/>
      <c r="S226" s="618"/>
      <c r="T226" s="618"/>
      <c r="U226" s="618"/>
      <c r="V226" s="618"/>
      <c r="W226" s="618"/>
      <c r="X226" s="618"/>
      <c r="Y226" s="618"/>
      <c r="Z226" s="618"/>
      <c r="AA226" s="618"/>
      <c r="AB226" s="618"/>
      <c r="AC226" s="618"/>
      <c r="AD226" s="618"/>
      <c r="AE226" s="618"/>
      <c r="AF226" s="618"/>
      <c r="AG226" s="618"/>
      <c r="AH226" s="618"/>
      <c r="AI226" s="618"/>
      <c r="AJ226" s="618"/>
      <c r="AK226" s="618"/>
      <c r="AL226" s="618"/>
      <c r="AM226" s="3"/>
      <c r="AN226" s="3"/>
      <c r="AO226" s="3"/>
      <c r="AP226" s="3"/>
      <c r="AQ226" s="3"/>
      <c r="AR226" s="3"/>
      <c r="AS226" s="3"/>
      <c r="AT226" s="3"/>
      <c r="AU226" s="3"/>
      <c r="AV226" s="3"/>
      <c r="AW226" s="3"/>
      <c r="AX226" s="3"/>
      <c r="AY226" s="3"/>
      <c r="AZ226" s="3"/>
      <c r="BA226" s="3"/>
      <c r="BB226" s="3"/>
      <c r="BC226" s="3"/>
      <c r="BD226" s="3"/>
      <c r="BE226" s="3"/>
      <c r="BF226" s="3"/>
    </row>
    <row r="227" spans="1:58" ht="14.25" customHeight="1" x14ac:dyDescent="0.45">
      <c r="A227" s="618"/>
      <c r="B227" s="215"/>
      <c r="C227" s="220"/>
      <c r="D227" s="221" t="s">
        <v>315</v>
      </c>
      <c r="E227" s="280">
        <f>'Copia de Electricidad'!D186/1000</f>
        <v>31</v>
      </c>
      <c r="F227" s="3"/>
      <c r="G227" s="618"/>
      <c r="H227" s="618"/>
      <c r="I227" s="220" t="s">
        <v>217</v>
      </c>
      <c r="J227" s="618">
        <f>G236</f>
        <v>2.0767199999999999</v>
      </c>
      <c r="K227" s="618"/>
      <c r="L227" s="618"/>
      <c r="M227" s="618"/>
      <c r="N227" s="618"/>
      <c r="O227" s="618"/>
      <c r="P227" s="618"/>
      <c r="Q227" s="618"/>
      <c r="R227" s="618"/>
      <c r="S227" s="618"/>
      <c r="T227" s="618"/>
      <c r="U227" s="618"/>
      <c r="V227" s="618"/>
      <c r="W227" s="618"/>
      <c r="X227" s="618"/>
      <c r="Y227" s="618"/>
      <c r="Z227" s="618"/>
      <c r="AA227" s="618"/>
      <c r="AB227" s="618"/>
      <c r="AC227" s="618"/>
      <c r="AD227" s="618"/>
      <c r="AE227" s="618"/>
      <c r="AF227" s="618"/>
      <c r="AG227" s="618"/>
      <c r="AH227" s="618"/>
      <c r="AI227" s="618"/>
      <c r="AJ227" s="618"/>
      <c r="AK227" s="618"/>
      <c r="AL227" s="618"/>
      <c r="AM227" s="3"/>
      <c r="AN227" s="3"/>
      <c r="AO227" s="3"/>
      <c r="AP227" s="3"/>
      <c r="AQ227" s="3"/>
      <c r="AR227" s="3"/>
      <c r="AS227" s="3"/>
      <c r="AT227" s="3"/>
      <c r="AU227" s="3"/>
      <c r="AV227" s="3"/>
      <c r="AW227" s="3"/>
      <c r="AX227" s="3"/>
      <c r="AY227" s="3"/>
      <c r="AZ227" s="3"/>
      <c r="BA227" s="3"/>
      <c r="BB227" s="3"/>
      <c r="BC227" s="3"/>
      <c r="BD227" s="3"/>
      <c r="BE227" s="3"/>
      <c r="BF227" s="3"/>
    </row>
    <row r="228" spans="1:58" ht="14.25" customHeight="1" x14ac:dyDescent="0.45">
      <c r="A228" s="618"/>
      <c r="B228" s="215"/>
      <c r="C228" s="220"/>
      <c r="D228" s="221" t="s">
        <v>316</v>
      </c>
      <c r="E228" s="280">
        <f>'Copia de Electricidad'!D187/1000</f>
        <v>22</v>
      </c>
      <c r="F228" s="3"/>
      <c r="G228" s="618"/>
      <c r="H228" s="618"/>
      <c r="I228" s="220" t="s">
        <v>218</v>
      </c>
      <c r="J228" s="618">
        <f>G237</f>
        <v>7.1232000000000006</v>
      </c>
      <c r="K228" s="618"/>
      <c r="L228" s="618"/>
      <c r="M228" s="618"/>
      <c r="N228" s="618"/>
      <c r="O228" s="618"/>
      <c r="P228" s="618"/>
      <c r="Q228" s="618"/>
      <c r="R228" s="618"/>
      <c r="S228" s="618"/>
      <c r="T228" s="618"/>
      <c r="U228" s="618"/>
      <c r="V228" s="618"/>
      <c r="W228" s="618"/>
      <c r="X228" s="618"/>
      <c r="Y228" s="618"/>
      <c r="Z228" s="618"/>
      <c r="AA228" s="618"/>
      <c r="AB228" s="618"/>
      <c r="AC228" s="618"/>
      <c r="AD228" s="618"/>
      <c r="AE228" s="618"/>
      <c r="AF228" s="618"/>
      <c r="AG228" s="618"/>
      <c r="AH228" s="618"/>
      <c r="AI228" s="618"/>
      <c r="AJ228" s="618"/>
      <c r="AK228" s="618"/>
      <c r="AL228" s="618"/>
      <c r="AM228" s="3"/>
      <c r="AN228" s="3"/>
      <c r="AO228" s="3"/>
      <c r="AP228" s="3"/>
      <c r="AQ228" s="3"/>
      <c r="AR228" s="3"/>
      <c r="AS228" s="3"/>
      <c r="AT228" s="3"/>
      <c r="AU228" s="3"/>
      <c r="AV228" s="3"/>
      <c r="AW228" s="3"/>
      <c r="AX228" s="3"/>
      <c r="AY228" s="3"/>
      <c r="AZ228" s="3"/>
      <c r="BA228" s="3"/>
      <c r="BB228" s="3"/>
      <c r="BC228" s="3"/>
      <c r="BD228" s="3"/>
      <c r="BE228" s="3"/>
      <c r="BF228" s="3"/>
    </row>
    <row r="229" spans="1:58" ht="14.25" customHeight="1" x14ac:dyDescent="0.45">
      <c r="A229" s="618"/>
      <c r="B229" s="215"/>
      <c r="C229" s="220"/>
      <c r="D229" s="221" t="s">
        <v>317</v>
      </c>
      <c r="E229" s="280">
        <f>'Copia de Electricidad'!D188/1000</f>
        <v>16.5</v>
      </c>
      <c r="F229" s="3"/>
      <c r="G229" s="618"/>
      <c r="H229" s="618"/>
      <c r="I229" s="220" t="s">
        <v>170</v>
      </c>
      <c r="J229" s="282">
        <v>0.88</v>
      </c>
      <c r="K229" s="283" t="s">
        <v>318</v>
      </c>
      <c r="L229" s="618"/>
      <c r="M229" s="618"/>
      <c r="N229" s="618"/>
      <c r="O229" s="618"/>
      <c r="P229" s="618"/>
      <c r="Q229" s="618"/>
      <c r="R229" s="618"/>
      <c r="S229" s="618"/>
      <c r="T229" s="618"/>
      <c r="U229" s="618"/>
      <c r="V229" s="618"/>
      <c r="W229" s="618"/>
      <c r="X229" s="618"/>
      <c r="Y229" s="618"/>
      <c r="Z229" s="618"/>
      <c r="AA229" s="618"/>
      <c r="AB229" s="618"/>
      <c r="AC229" s="618"/>
      <c r="AD229" s="618"/>
      <c r="AE229" s="618"/>
      <c r="AF229" s="618"/>
      <c r="AG229" s="618"/>
      <c r="AH229" s="618"/>
      <c r="AI229" s="618"/>
      <c r="AJ229" s="618"/>
      <c r="AK229" s="618"/>
      <c r="AL229" s="618"/>
      <c r="AM229" s="3"/>
      <c r="AN229" s="3"/>
      <c r="AO229" s="3"/>
      <c r="AP229" s="3"/>
      <c r="AQ229" s="3"/>
      <c r="AR229" s="3"/>
      <c r="AS229" s="3"/>
      <c r="AT229" s="3"/>
      <c r="AU229" s="3"/>
      <c r="AV229" s="3"/>
      <c r="AW229" s="3"/>
      <c r="AX229" s="3"/>
      <c r="AY229" s="3"/>
      <c r="AZ229" s="3"/>
      <c r="BA229" s="3"/>
      <c r="BB229" s="3"/>
      <c r="BC229" s="3"/>
      <c r="BD229" s="3"/>
      <c r="BE229" s="3"/>
      <c r="BF229" s="3"/>
    </row>
    <row r="230" spans="1:58" ht="14.25" customHeight="1" x14ac:dyDescent="0.45">
      <c r="A230" s="618"/>
      <c r="B230" s="215"/>
      <c r="C230" s="220"/>
      <c r="D230" s="221" t="s">
        <v>319</v>
      </c>
      <c r="E230" s="280" t="s">
        <v>221</v>
      </c>
      <c r="F230" s="638" t="s">
        <v>320</v>
      </c>
      <c r="G230" s="622"/>
      <c r="H230" s="618"/>
      <c r="I230" s="220" t="s">
        <v>177</v>
      </c>
      <c r="J230" s="33">
        <f>E239</f>
        <v>18</v>
      </c>
      <c r="K230" s="618"/>
      <c r="L230" s="618"/>
      <c r="M230" s="618"/>
      <c r="N230" s="618"/>
      <c r="O230" s="618"/>
      <c r="P230" s="618"/>
      <c r="Q230" s="618"/>
      <c r="R230" s="618"/>
      <c r="S230" s="618"/>
      <c r="T230" s="618"/>
      <c r="U230" s="618"/>
      <c r="V230" s="618"/>
      <c r="W230" s="618"/>
      <c r="X230" s="618"/>
      <c r="Y230" s="618"/>
      <c r="Z230" s="618"/>
      <c r="AA230" s="618"/>
      <c r="AB230" s="618"/>
      <c r="AC230" s="618"/>
      <c r="AD230" s="618"/>
      <c r="AE230" s="618"/>
      <c r="AF230" s="618"/>
      <c r="AG230" s="618"/>
      <c r="AH230" s="618"/>
      <c r="AI230" s="618"/>
      <c r="AJ230" s="618"/>
      <c r="AK230" s="618"/>
      <c r="AL230" s="618"/>
      <c r="AM230" s="3"/>
      <c r="AN230" s="3"/>
      <c r="AO230" s="3"/>
      <c r="AP230" s="3"/>
      <c r="AQ230" s="3"/>
      <c r="AR230" s="3"/>
      <c r="AS230" s="3"/>
      <c r="AT230" s="3"/>
      <c r="AU230" s="3"/>
      <c r="AV230" s="3"/>
      <c r="AW230" s="3"/>
      <c r="AX230" s="3"/>
      <c r="AY230" s="3"/>
      <c r="AZ230" s="3"/>
      <c r="BA230" s="3"/>
      <c r="BB230" s="3"/>
      <c r="BC230" s="3"/>
      <c r="BD230" s="3"/>
      <c r="BE230" s="3"/>
      <c r="BF230" s="3"/>
    </row>
    <row r="231" spans="1:58" ht="14.25" customHeight="1" x14ac:dyDescent="0.45">
      <c r="A231" s="618"/>
      <c r="B231" s="215"/>
      <c r="C231" s="220"/>
      <c r="D231" s="284" t="s">
        <v>321</v>
      </c>
      <c r="E231" s="280"/>
      <c r="F231" s="618" t="s">
        <v>322</v>
      </c>
      <c r="G231" s="618" t="s">
        <v>323</v>
      </c>
      <c r="H231" s="618"/>
      <c r="I231" s="618"/>
      <c r="J231" s="618"/>
      <c r="K231" s="618"/>
      <c r="L231" s="618"/>
      <c r="M231" s="618"/>
      <c r="N231" s="618"/>
      <c r="O231" s="618"/>
      <c r="P231" s="618"/>
      <c r="Q231" s="618"/>
      <c r="R231" s="618"/>
      <c r="S231" s="618"/>
      <c r="T231" s="618"/>
      <c r="U231" s="618"/>
      <c r="V231" s="618"/>
      <c r="W231" s="618"/>
      <c r="X231" s="618"/>
      <c r="Y231" s="618"/>
      <c r="Z231" s="618"/>
      <c r="AA231" s="618"/>
      <c r="AB231" s="618"/>
      <c r="AC231" s="618"/>
      <c r="AD231" s="618"/>
      <c r="AE231" s="618"/>
      <c r="AF231" s="618"/>
      <c r="AG231" s="618"/>
      <c r="AH231" s="618"/>
      <c r="AI231" s="618"/>
      <c r="AJ231" s="618"/>
      <c r="AK231" s="618"/>
      <c r="AL231" s="618"/>
      <c r="AM231" s="3"/>
      <c r="AN231" s="3"/>
      <c r="AO231" s="3"/>
      <c r="AP231" s="3"/>
      <c r="AQ231" s="3"/>
      <c r="AR231" s="3"/>
      <c r="AS231" s="3"/>
      <c r="AT231" s="3"/>
      <c r="AU231" s="3"/>
      <c r="AV231" s="3"/>
      <c r="AW231" s="3"/>
      <c r="AX231" s="3"/>
      <c r="AY231" s="3"/>
      <c r="AZ231" s="3"/>
      <c r="BA231" s="3"/>
      <c r="BB231" s="3"/>
      <c r="BC231" s="3"/>
      <c r="BD231" s="3"/>
      <c r="BE231" s="3"/>
      <c r="BF231" s="3"/>
    </row>
    <row r="232" spans="1:58" ht="14.25" customHeight="1" x14ac:dyDescent="0.45">
      <c r="A232" s="618"/>
      <c r="B232" s="215"/>
      <c r="C232" s="220"/>
      <c r="D232" s="221" t="s">
        <v>324</v>
      </c>
      <c r="E232" s="285">
        <f>'Copia de Electricidad'!D191/1000</f>
        <v>0.13700000000000001</v>
      </c>
      <c r="F232" s="618">
        <f>20%*E232</f>
        <v>2.7400000000000004E-2</v>
      </c>
      <c r="G232" s="618">
        <f>80%*E232</f>
        <v>0.10960000000000002</v>
      </c>
      <c r="H232" s="618"/>
      <c r="I232" s="618"/>
      <c r="J232" s="618"/>
      <c r="K232" s="618"/>
      <c r="L232" s="618"/>
      <c r="M232" s="618"/>
      <c r="N232" s="618"/>
      <c r="O232" s="618"/>
      <c r="P232" s="618"/>
      <c r="Q232" s="618"/>
      <c r="R232" s="618"/>
      <c r="S232" s="618"/>
      <c r="T232" s="618"/>
      <c r="U232" s="618"/>
      <c r="V232" s="618"/>
      <c r="W232" s="618"/>
      <c r="X232" s="618"/>
      <c r="Y232" s="618"/>
      <c r="Z232" s="618"/>
      <c r="AA232" s="618"/>
      <c r="AB232" s="618"/>
      <c r="AC232" s="618"/>
      <c r="AD232" s="618"/>
      <c r="AE232" s="618"/>
      <c r="AF232" s="618"/>
      <c r="AG232" s="618"/>
      <c r="AH232" s="618"/>
      <c r="AI232" s="618"/>
      <c r="AJ232" s="618"/>
      <c r="AK232" s="618"/>
      <c r="AL232" s="618"/>
      <c r="AM232" s="3"/>
      <c r="AN232" s="3"/>
      <c r="AO232" s="3"/>
      <c r="AP232" s="3"/>
      <c r="AQ232" s="3"/>
      <c r="AR232" s="3"/>
      <c r="AS232" s="3"/>
      <c r="AT232" s="3"/>
      <c r="AU232" s="3"/>
      <c r="AV232" s="3"/>
      <c r="AW232" s="3"/>
      <c r="AX232" s="3"/>
      <c r="AY232" s="3"/>
      <c r="AZ232" s="3"/>
      <c r="BA232" s="3"/>
      <c r="BB232" s="3"/>
      <c r="BC232" s="3"/>
      <c r="BD232" s="3"/>
      <c r="BE232" s="3"/>
      <c r="BF232" s="3"/>
    </row>
    <row r="233" spans="1:58" ht="14.25" customHeight="1" x14ac:dyDescent="0.45">
      <c r="A233" s="618"/>
      <c r="B233" s="215"/>
      <c r="C233" s="220"/>
      <c r="D233" s="286" t="s">
        <v>325</v>
      </c>
      <c r="E233" s="287" t="s">
        <v>221</v>
      </c>
      <c r="F233" s="288"/>
      <c r="G233" s="288"/>
      <c r="H233" s="618"/>
      <c r="I233" s="618"/>
      <c r="J233" s="618"/>
      <c r="K233" s="618"/>
      <c r="L233" s="618"/>
      <c r="M233" s="618"/>
      <c r="N233" s="618"/>
      <c r="O233" s="618"/>
      <c r="P233" s="618"/>
      <c r="Q233" s="618"/>
      <c r="R233" s="618"/>
      <c r="S233" s="618"/>
      <c r="T233" s="618"/>
      <c r="U233" s="618"/>
      <c r="V233" s="618"/>
      <c r="W233" s="618"/>
      <c r="X233" s="618"/>
      <c r="Y233" s="618"/>
      <c r="Z233" s="618"/>
      <c r="AA233" s="618"/>
      <c r="AB233" s="618"/>
      <c r="AC233" s="618"/>
      <c r="AD233" s="618"/>
      <c r="AE233" s="618"/>
      <c r="AF233" s="618"/>
      <c r="AG233" s="618"/>
      <c r="AH233" s="618"/>
      <c r="AI233" s="618"/>
      <c r="AJ233" s="618"/>
      <c r="AK233" s="618"/>
      <c r="AL233" s="618"/>
      <c r="AM233" s="3"/>
      <c r="AN233" s="3"/>
      <c r="AO233" s="3"/>
      <c r="AP233" s="3"/>
      <c r="AQ233" s="3"/>
      <c r="AR233" s="3"/>
      <c r="AS233" s="3"/>
      <c r="AT233" s="3"/>
      <c r="AU233" s="3"/>
      <c r="AV233" s="3"/>
      <c r="AW233" s="3"/>
      <c r="AX233" s="3"/>
      <c r="AY233" s="3"/>
      <c r="AZ233" s="3"/>
      <c r="BA233" s="3"/>
      <c r="BB233" s="3"/>
      <c r="BC233" s="3"/>
      <c r="BD233" s="3"/>
      <c r="BE233" s="3"/>
      <c r="BF233" s="3"/>
    </row>
    <row r="234" spans="1:58" ht="14.25" customHeight="1" x14ac:dyDescent="0.45">
      <c r="A234" s="618"/>
      <c r="B234" s="215"/>
      <c r="C234" s="220"/>
      <c r="D234" s="286" t="s">
        <v>326</v>
      </c>
      <c r="E234" s="287" t="s">
        <v>221</v>
      </c>
      <c r="F234" s="288"/>
      <c r="G234" s="288"/>
      <c r="H234" s="618"/>
      <c r="I234" s="618"/>
      <c r="J234" s="618"/>
      <c r="K234" s="618"/>
      <c r="L234" s="618"/>
      <c r="M234" s="618"/>
      <c r="N234" s="618"/>
      <c r="O234" s="618"/>
      <c r="P234" s="618"/>
      <c r="Q234" s="618"/>
      <c r="R234" s="618"/>
      <c r="S234" s="618"/>
      <c r="T234" s="618"/>
      <c r="U234" s="618"/>
      <c r="V234" s="618"/>
      <c r="W234" s="618"/>
      <c r="X234" s="618"/>
      <c r="Y234" s="618"/>
      <c r="Z234" s="618"/>
      <c r="AA234" s="618"/>
      <c r="AB234" s="618"/>
      <c r="AC234" s="618"/>
      <c r="AD234" s="618"/>
      <c r="AE234" s="618"/>
      <c r="AF234" s="618"/>
      <c r="AG234" s="618"/>
      <c r="AH234" s="618"/>
      <c r="AI234" s="618"/>
      <c r="AJ234" s="618"/>
      <c r="AK234" s="618"/>
      <c r="AL234" s="618"/>
      <c r="AM234" s="3"/>
      <c r="AN234" s="3"/>
      <c r="AO234" s="3"/>
      <c r="AP234" s="3"/>
      <c r="AQ234" s="3"/>
      <c r="AR234" s="3"/>
      <c r="AS234" s="3"/>
      <c r="AT234" s="3"/>
      <c r="AU234" s="3"/>
      <c r="AV234" s="3"/>
      <c r="AW234" s="3"/>
      <c r="AX234" s="3"/>
      <c r="AY234" s="3"/>
      <c r="AZ234" s="3"/>
      <c r="BA234" s="3"/>
      <c r="BB234" s="3"/>
      <c r="BC234" s="3"/>
      <c r="BD234" s="3"/>
      <c r="BE234" s="3"/>
      <c r="BF234" s="3"/>
    </row>
    <row r="235" spans="1:58" ht="14.25" customHeight="1" x14ac:dyDescent="0.45">
      <c r="A235" s="618"/>
      <c r="B235" s="215"/>
      <c r="C235" s="220"/>
      <c r="D235" s="221" t="s">
        <v>327</v>
      </c>
      <c r="E235" s="285">
        <f>'Copia de Electricidad'!D194/1000</f>
        <v>1.4368999999999998</v>
      </c>
      <c r="F235" s="33"/>
      <c r="G235" s="33">
        <f>E235</f>
        <v>1.4368999999999998</v>
      </c>
      <c r="H235" s="618"/>
      <c r="I235" s="618"/>
      <c r="J235" s="618"/>
      <c r="K235" s="618"/>
      <c r="L235" s="618"/>
      <c r="M235" s="618"/>
      <c r="N235" s="618"/>
      <c r="O235" s="618"/>
      <c r="P235" s="618"/>
      <c r="Q235" s="618"/>
      <c r="R235" s="618"/>
      <c r="S235" s="618"/>
      <c r="T235" s="618"/>
      <c r="U235" s="618"/>
      <c r="V235" s="618"/>
      <c r="W235" s="618"/>
      <c r="X235" s="618"/>
      <c r="Y235" s="618"/>
      <c r="Z235" s="618"/>
      <c r="AA235" s="618"/>
      <c r="AB235" s="618"/>
      <c r="AC235" s="618"/>
      <c r="AD235" s="618"/>
      <c r="AE235" s="618"/>
      <c r="AF235" s="618"/>
      <c r="AG235" s="618"/>
      <c r="AH235" s="618"/>
      <c r="AI235" s="618"/>
      <c r="AJ235" s="618"/>
      <c r="AK235" s="618"/>
      <c r="AL235" s="618"/>
      <c r="AM235" s="3"/>
      <c r="AN235" s="3"/>
      <c r="AO235" s="3"/>
      <c r="AP235" s="3"/>
      <c r="AQ235" s="3"/>
      <c r="AR235" s="3"/>
      <c r="AS235" s="3"/>
      <c r="AT235" s="3"/>
      <c r="AU235" s="3"/>
      <c r="AV235" s="3"/>
      <c r="AW235" s="3"/>
      <c r="AX235" s="3"/>
      <c r="AY235" s="3"/>
      <c r="AZ235" s="3"/>
      <c r="BA235" s="3"/>
      <c r="BB235" s="3"/>
      <c r="BC235" s="3"/>
      <c r="BD235" s="3"/>
      <c r="BE235" s="3"/>
      <c r="BF235" s="3"/>
    </row>
    <row r="236" spans="1:58" ht="14.25" customHeight="1" x14ac:dyDescent="0.45">
      <c r="A236" s="618"/>
      <c r="B236" s="215"/>
      <c r="C236" s="220"/>
      <c r="D236" s="221" t="s">
        <v>328</v>
      </c>
      <c r="E236" s="285">
        <f>'Copia de Electricidad'!D195/1000</f>
        <v>2.5958999999999999</v>
      </c>
      <c r="F236" s="618">
        <f>20%*E236</f>
        <v>0.51917999999999997</v>
      </c>
      <c r="G236" s="618">
        <f>80%*E236</f>
        <v>2.0767199999999999</v>
      </c>
      <c r="H236" s="618"/>
      <c r="I236" s="618"/>
      <c r="J236" s="618"/>
      <c r="K236" s="618"/>
      <c r="L236" s="618"/>
      <c r="M236" s="618"/>
      <c r="N236" s="618"/>
      <c r="O236" s="618"/>
      <c r="P236" s="618"/>
      <c r="Q236" s="618"/>
      <c r="R236" s="618"/>
      <c r="S236" s="618"/>
      <c r="T236" s="618"/>
      <c r="U236" s="618"/>
      <c r="V236" s="618"/>
      <c r="W236" s="618"/>
      <c r="X236" s="618"/>
      <c r="Y236" s="618"/>
      <c r="Z236" s="618"/>
      <c r="AA236" s="618"/>
      <c r="AB236" s="618"/>
      <c r="AC236" s="618"/>
      <c r="AD236" s="618"/>
      <c r="AE236" s="618"/>
      <c r="AF236" s="618"/>
      <c r="AG236" s="618"/>
      <c r="AH236" s="618"/>
      <c r="AI236" s="618"/>
      <c r="AJ236" s="618"/>
      <c r="AK236" s="618"/>
      <c r="AL236" s="618"/>
      <c r="AM236" s="3"/>
      <c r="AN236" s="3"/>
      <c r="AO236" s="3"/>
      <c r="AP236" s="3"/>
      <c r="AQ236" s="3"/>
      <c r="AR236" s="3"/>
      <c r="AS236" s="3"/>
      <c r="AT236" s="3"/>
      <c r="AU236" s="3"/>
      <c r="AV236" s="3"/>
      <c r="AW236" s="3"/>
      <c r="AX236" s="3"/>
      <c r="AY236" s="3"/>
      <c r="AZ236" s="3"/>
      <c r="BA236" s="3"/>
      <c r="BB236" s="3"/>
      <c r="BC236" s="3"/>
      <c r="BD236" s="3"/>
      <c r="BE236" s="3"/>
      <c r="BF236" s="3"/>
    </row>
    <row r="237" spans="1:58" ht="14.25" customHeight="1" x14ac:dyDescent="0.45">
      <c r="A237" s="618"/>
      <c r="B237" s="215"/>
      <c r="C237" s="220"/>
      <c r="D237" s="221" t="s">
        <v>329</v>
      </c>
      <c r="E237" s="285">
        <f>'Copia de Electricidad'!D196/1000</f>
        <v>8.9039999999999999</v>
      </c>
      <c r="F237" s="618">
        <f>20%*E237</f>
        <v>1.7808000000000002</v>
      </c>
      <c r="G237" s="618">
        <f>80%*E237</f>
        <v>7.1232000000000006</v>
      </c>
      <c r="H237" s="618"/>
      <c r="I237" s="618"/>
      <c r="J237" s="618"/>
      <c r="K237" s="618"/>
      <c r="L237" s="618"/>
      <c r="M237" s="618"/>
      <c r="N237" s="618"/>
      <c r="O237" s="618"/>
      <c r="P237" s="618"/>
      <c r="Q237" s="618"/>
      <c r="R237" s="618"/>
      <c r="S237" s="618"/>
      <c r="T237" s="618"/>
      <c r="U237" s="618"/>
      <c r="V237" s="618"/>
      <c r="W237" s="618"/>
      <c r="X237" s="618"/>
      <c r="Y237" s="618"/>
      <c r="Z237" s="618"/>
      <c r="AA237" s="618"/>
      <c r="AB237" s="618"/>
      <c r="AC237" s="618"/>
      <c r="AD237" s="618"/>
      <c r="AE237" s="618"/>
      <c r="AF237" s="618"/>
      <c r="AG237" s="618"/>
      <c r="AH237" s="618"/>
      <c r="AI237" s="618"/>
      <c r="AJ237" s="618"/>
      <c r="AK237" s="618"/>
      <c r="AL237" s="618"/>
      <c r="AM237" s="3"/>
      <c r="AN237" s="3"/>
      <c r="AO237" s="3"/>
      <c r="AP237" s="3"/>
      <c r="AQ237" s="3"/>
      <c r="AR237" s="3"/>
      <c r="AS237" s="3"/>
      <c r="AT237" s="3"/>
      <c r="AU237" s="3"/>
      <c r="AV237" s="3"/>
      <c r="AW237" s="3"/>
      <c r="AX237" s="3"/>
      <c r="AY237" s="3"/>
      <c r="AZ237" s="3"/>
      <c r="BA237" s="3"/>
      <c r="BB237" s="3"/>
      <c r="BC237" s="3"/>
      <c r="BD237" s="3"/>
      <c r="BE237" s="3"/>
      <c r="BF237" s="3"/>
    </row>
    <row r="238" spans="1:58" ht="14.25" customHeight="1" x14ac:dyDescent="0.45">
      <c r="A238" s="618"/>
      <c r="B238" s="215"/>
      <c r="C238" s="220"/>
      <c r="D238" s="243" t="s">
        <v>330</v>
      </c>
      <c r="E238" s="233" t="s">
        <v>221</v>
      </c>
      <c r="F238" s="618"/>
      <c r="G238" s="618"/>
      <c r="H238" s="618"/>
      <c r="I238" s="618"/>
      <c r="J238" s="618"/>
      <c r="K238" s="618"/>
      <c r="L238" s="618"/>
      <c r="M238" s="618"/>
      <c r="N238" s="618"/>
      <c r="O238" s="618"/>
      <c r="P238" s="618"/>
      <c r="Q238" s="618"/>
      <c r="R238" s="618"/>
      <c r="S238" s="618"/>
      <c r="T238" s="618"/>
      <c r="U238" s="618"/>
      <c r="V238" s="618"/>
      <c r="W238" s="618"/>
      <c r="X238" s="618"/>
      <c r="Y238" s="618"/>
      <c r="Z238" s="618"/>
      <c r="AA238" s="618"/>
      <c r="AB238" s="618"/>
      <c r="AC238" s="618"/>
      <c r="AD238" s="618"/>
      <c r="AE238" s="618"/>
      <c r="AF238" s="618"/>
      <c r="AG238" s="618"/>
      <c r="AH238" s="618"/>
      <c r="AI238" s="618"/>
      <c r="AJ238" s="618"/>
      <c r="AK238" s="618"/>
      <c r="AL238" s="618"/>
      <c r="AM238" s="3"/>
      <c r="AN238" s="3"/>
      <c r="AO238" s="3"/>
      <c r="AP238" s="3"/>
      <c r="AQ238" s="3"/>
      <c r="AR238" s="3"/>
      <c r="AS238" s="3"/>
      <c r="AT238" s="3"/>
      <c r="AU238" s="3"/>
      <c r="AV238" s="3"/>
      <c r="AW238" s="3"/>
      <c r="AX238" s="3"/>
      <c r="AY238" s="3"/>
      <c r="AZ238" s="3"/>
      <c r="BA238" s="3"/>
      <c r="BB238" s="3"/>
      <c r="BC238" s="3"/>
      <c r="BD238" s="3"/>
      <c r="BE238" s="3"/>
      <c r="BF238" s="3"/>
    </row>
    <row r="239" spans="1:58" ht="14.25" customHeight="1" x14ac:dyDescent="0.45">
      <c r="A239" s="618"/>
      <c r="B239" s="215"/>
      <c r="C239" s="220"/>
      <c r="D239" s="221" t="s">
        <v>331</v>
      </c>
      <c r="E239" s="280">
        <f>'Copia de Electricidad'!D198/1000</f>
        <v>18</v>
      </c>
      <c r="F239" s="618"/>
      <c r="G239" s="618"/>
      <c r="H239" s="618"/>
      <c r="I239" s="618"/>
      <c r="J239" s="618"/>
      <c r="K239" s="618"/>
      <c r="L239" s="618"/>
      <c r="M239" s="618"/>
      <c r="N239" s="618"/>
      <c r="O239" s="618"/>
      <c r="P239" s="618"/>
      <c r="Q239" s="618"/>
      <c r="R239" s="618"/>
      <c r="S239" s="618"/>
      <c r="T239" s="618"/>
      <c r="U239" s="618"/>
      <c r="V239" s="618"/>
      <c r="W239" s="618"/>
      <c r="X239" s="618"/>
      <c r="Y239" s="618"/>
      <c r="Z239" s="618"/>
      <c r="AA239" s="618"/>
      <c r="AB239" s="618"/>
      <c r="AC239" s="618"/>
      <c r="AD239" s="618"/>
      <c r="AE239" s="618"/>
      <c r="AF239" s="618"/>
      <c r="AG239" s="618"/>
      <c r="AH239" s="618"/>
      <c r="AI239" s="618"/>
      <c r="AJ239" s="618"/>
      <c r="AK239" s="618"/>
      <c r="AL239" s="618"/>
      <c r="AM239" s="3"/>
      <c r="AN239" s="3"/>
      <c r="AO239" s="3"/>
      <c r="AP239" s="3"/>
      <c r="AQ239" s="3"/>
      <c r="AR239" s="3"/>
      <c r="AS239" s="3"/>
      <c r="AT239" s="3"/>
      <c r="AU239" s="3"/>
      <c r="AV239" s="3"/>
      <c r="AW239" s="3"/>
      <c r="AX239" s="3"/>
      <c r="AY239" s="3"/>
      <c r="AZ239" s="3"/>
      <c r="BA239" s="3"/>
      <c r="BB239" s="3"/>
      <c r="BC239" s="3"/>
      <c r="BD239" s="3"/>
      <c r="BE239" s="3"/>
      <c r="BF239" s="3"/>
    </row>
    <row r="240" spans="1:58" ht="14.25" customHeight="1" x14ac:dyDescent="0.45">
      <c r="A240" s="1"/>
      <c r="B240" s="215"/>
      <c r="C240" s="220"/>
      <c r="D240" s="243" t="s">
        <v>265</v>
      </c>
      <c r="E240" s="280"/>
      <c r="F240" s="618"/>
      <c r="G240" s="618"/>
      <c r="H240" s="618"/>
      <c r="I240" s="618"/>
      <c r="J240" s="618"/>
      <c r="K240" s="618"/>
      <c r="L240" s="618"/>
      <c r="M240" s="618"/>
      <c r="N240" s="618"/>
      <c r="O240" s="618"/>
      <c r="P240" s="618"/>
      <c r="Q240" s="618"/>
      <c r="R240" s="618"/>
      <c r="S240" s="618"/>
      <c r="T240" s="618"/>
      <c r="U240" s="618"/>
      <c r="V240" s="618"/>
      <c r="W240" s="618"/>
      <c r="X240" s="618"/>
      <c r="Y240" s="618"/>
      <c r="Z240" s="618"/>
      <c r="AA240" s="618"/>
      <c r="AB240" s="618"/>
      <c r="AC240" s="618"/>
      <c r="AD240" s="618"/>
      <c r="AE240" s="618"/>
      <c r="AF240" s="618"/>
      <c r="AG240" s="618"/>
      <c r="AH240" s="618"/>
      <c r="AI240" s="618"/>
      <c r="AJ240" s="618"/>
      <c r="AK240" s="618"/>
      <c r="AL240" s="618"/>
      <c r="AM240" s="3"/>
      <c r="AN240" s="3"/>
      <c r="AO240" s="3"/>
      <c r="AP240" s="3"/>
      <c r="AQ240" s="3"/>
      <c r="AR240" s="3"/>
      <c r="AS240" s="3"/>
      <c r="AT240" s="3"/>
      <c r="AU240" s="3"/>
      <c r="AV240" s="3"/>
      <c r="AW240" s="3"/>
      <c r="AX240" s="3"/>
      <c r="AY240" s="3"/>
      <c r="AZ240" s="3"/>
      <c r="BA240" s="3"/>
      <c r="BB240" s="3"/>
      <c r="BC240" s="3"/>
      <c r="BD240" s="3"/>
      <c r="BE240" s="3"/>
      <c r="BF240" s="3"/>
    </row>
    <row r="241" spans="1:58" ht="14.25" customHeight="1" x14ac:dyDescent="0.45">
      <c r="A241" s="618"/>
      <c r="B241" s="215"/>
      <c r="C241" s="220"/>
      <c r="D241" s="221" t="s">
        <v>332</v>
      </c>
      <c r="E241" s="280">
        <f>'Copia de Electricidad'!D200/1000</f>
        <v>1.6910000000000001</v>
      </c>
      <c r="F241" s="618"/>
      <c r="G241" s="618"/>
      <c r="H241" s="618"/>
      <c r="I241" s="618"/>
      <c r="J241" s="618"/>
      <c r="K241" s="618"/>
      <c r="L241" s="618"/>
      <c r="M241" s="618"/>
      <c r="N241" s="618"/>
      <c r="O241" s="618"/>
      <c r="P241" s="618"/>
      <c r="Q241" s="618"/>
      <c r="R241" s="618"/>
      <c r="S241" s="618"/>
      <c r="T241" s="618"/>
      <c r="U241" s="618"/>
      <c r="V241" s="618"/>
      <c r="W241" s="618"/>
      <c r="X241" s="618"/>
      <c r="Y241" s="618"/>
      <c r="Z241" s="618"/>
      <c r="AA241" s="618"/>
      <c r="AB241" s="618"/>
      <c r="AC241" s="618"/>
      <c r="AD241" s="618"/>
      <c r="AE241" s="618"/>
      <c r="AF241" s="618"/>
      <c r="AG241" s="618"/>
      <c r="AH241" s="618"/>
      <c r="AI241" s="618"/>
      <c r="AJ241" s="618"/>
      <c r="AK241" s="618"/>
      <c r="AL241" s="618"/>
      <c r="AM241" s="3"/>
      <c r="AN241" s="3"/>
      <c r="AO241" s="3"/>
      <c r="AP241" s="3"/>
      <c r="AQ241" s="3"/>
      <c r="AR241" s="3"/>
      <c r="AS241" s="3"/>
      <c r="AT241" s="3"/>
      <c r="AU241" s="3"/>
      <c r="AV241" s="3"/>
      <c r="AW241" s="3"/>
      <c r="AX241" s="3"/>
      <c r="AY241" s="3"/>
      <c r="AZ241" s="3"/>
      <c r="BA241" s="3"/>
      <c r="BB241" s="3"/>
      <c r="BC241" s="3"/>
      <c r="BD241" s="3"/>
      <c r="BE241" s="3"/>
      <c r="BF241" s="3"/>
    </row>
    <row r="242" spans="1:58" ht="14.25" customHeight="1" x14ac:dyDescent="0.45">
      <c r="A242" s="618"/>
      <c r="B242" s="215"/>
      <c r="C242" s="220"/>
      <c r="D242" s="221" t="s">
        <v>333</v>
      </c>
      <c r="E242" s="280">
        <f>'Copia de Electricidad'!D201/1000</f>
        <v>0.88400000000000001</v>
      </c>
      <c r="F242" s="618"/>
      <c r="G242" s="618"/>
      <c r="H242" s="618"/>
      <c r="I242" s="618"/>
      <c r="J242" s="618"/>
      <c r="K242" s="618"/>
      <c r="L242" s="618"/>
      <c r="M242" s="618"/>
      <c r="N242" s="618"/>
      <c r="O242" s="618"/>
      <c r="P242" s="618"/>
      <c r="Q242" s="618"/>
      <c r="R242" s="618"/>
      <c r="S242" s="618"/>
      <c r="T242" s="618"/>
      <c r="U242" s="618"/>
      <c r="V242" s="618"/>
      <c r="W242" s="618"/>
      <c r="X242" s="618"/>
      <c r="Y242" s="618"/>
      <c r="Z242" s="618"/>
      <c r="AA242" s="618"/>
      <c r="AB242" s="618"/>
      <c r="AC242" s="618"/>
      <c r="AD242" s="618"/>
      <c r="AE242" s="618"/>
      <c r="AF242" s="618"/>
      <c r="AG242" s="618"/>
      <c r="AH242" s="618"/>
      <c r="AI242" s="618"/>
      <c r="AJ242" s="618"/>
      <c r="AK242" s="618"/>
      <c r="AL242" s="618"/>
      <c r="AM242" s="3"/>
      <c r="AN242" s="3"/>
      <c r="AO242" s="3"/>
      <c r="AP242" s="3"/>
      <c r="AQ242" s="3"/>
      <c r="AR242" s="3"/>
      <c r="AS242" s="3"/>
      <c r="AT242" s="3"/>
      <c r="AU242" s="3"/>
      <c r="AV242" s="3"/>
      <c r="AW242" s="3"/>
      <c r="AX242" s="3"/>
      <c r="AY242" s="3"/>
      <c r="AZ242" s="3"/>
      <c r="BA242" s="3"/>
      <c r="BB242" s="3"/>
      <c r="BC242" s="3"/>
      <c r="BD242" s="3"/>
      <c r="BE242" s="3"/>
      <c r="BF242" s="3"/>
    </row>
    <row r="243" spans="1:58" ht="14.25" customHeight="1" x14ac:dyDescent="0.45">
      <c r="A243" s="618"/>
      <c r="B243" s="215"/>
      <c r="C243" s="220"/>
      <c r="D243" s="243" t="s">
        <v>334</v>
      </c>
      <c r="E243" s="280" t="s">
        <v>221</v>
      </c>
      <c r="F243" s="618"/>
      <c r="G243" s="618"/>
      <c r="H243" s="618"/>
      <c r="I243" s="618"/>
      <c r="J243" s="618"/>
      <c r="K243" s="618"/>
      <c r="L243" s="618"/>
      <c r="M243" s="618"/>
      <c r="N243" s="618"/>
      <c r="O243" s="618"/>
      <c r="P243" s="618"/>
      <c r="Q243" s="618"/>
      <c r="R243" s="618"/>
      <c r="S243" s="618"/>
      <c r="T243" s="618"/>
      <c r="U243" s="618"/>
      <c r="V243" s="618"/>
      <c r="W243" s="618"/>
      <c r="X243" s="618"/>
      <c r="Y243" s="618"/>
      <c r="Z243" s="618"/>
      <c r="AA243" s="618"/>
      <c r="AB243" s="618"/>
      <c r="AC243" s="618"/>
      <c r="AD243" s="618"/>
      <c r="AE243" s="618"/>
      <c r="AF243" s="618"/>
      <c r="AG243" s="618"/>
      <c r="AH243" s="618"/>
      <c r="AI243" s="618"/>
      <c r="AJ243" s="618"/>
      <c r="AK243" s="618"/>
      <c r="AL243" s="618"/>
      <c r="AM243" s="3"/>
      <c r="AN243" s="3"/>
      <c r="AO243" s="3"/>
      <c r="AP243" s="3"/>
      <c r="AQ243" s="3"/>
      <c r="AR243" s="3"/>
      <c r="AS243" s="3"/>
      <c r="AT243" s="3"/>
      <c r="AU243" s="3"/>
      <c r="AV243" s="3"/>
      <c r="AW243" s="3"/>
      <c r="AX243" s="3"/>
      <c r="AY243" s="3"/>
      <c r="AZ243" s="3"/>
      <c r="BA243" s="3"/>
      <c r="BB243" s="3"/>
      <c r="BC243" s="3"/>
      <c r="BD243" s="3"/>
      <c r="BE243" s="3"/>
      <c r="BF243" s="3"/>
    </row>
    <row r="244" spans="1:58" ht="14.25" customHeight="1" x14ac:dyDescent="0.45">
      <c r="A244" s="618"/>
      <c r="B244" s="215"/>
      <c r="C244" s="220"/>
      <c r="D244" s="221" t="s">
        <v>335</v>
      </c>
      <c r="E244" s="280">
        <f>'Copia de Electricidad'!D203/1000</f>
        <v>0.78</v>
      </c>
      <c r="F244" s="618"/>
      <c r="G244" s="618"/>
      <c r="H244" s="618"/>
      <c r="I244" s="618"/>
      <c r="J244" s="618"/>
      <c r="K244" s="618"/>
      <c r="L244" s="618"/>
      <c r="M244" s="618"/>
      <c r="N244" s="618"/>
      <c r="O244" s="618"/>
      <c r="P244" s="618"/>
      <c r="Q244" s="618"/>
      <c r="R244" s="618"/>
      <c r="S244" s="618"/>
      <c r="T244" s="618"/>
      <c r="U244" s="618"/>
      <c r="V244" s="618"/>
      <c r="W244" s="618"/>
      <c r="X244" s="618"/>
      <c r="Y244" s="618"/>
      <c r="Z244" s="618"/>
      <c r="AA244" s="618"/>
      <c r="AB244" s="618"/>
      <c r="AC244" s="618"/>
      <c r="AD244" s="618"/>
      <c r="AE244" s="618"/>
      <c r="AF244" s="618"/>
      <c r="AG244" s="618"/>
      <c r="AH244" s="618"/>
      <c r="AI244" s="618"/>
      <c r="AJ244" s="618"/>
      <c r="AK244" s="618"/>
      <c r="AL244" s="618"/>
      <c r="AM244" s="3"/>
      <c r="AN244" s="3"/>
      <c r="AO244" s="3"/>
      <c r="AP244" s="3"/>
      <c r="AQ244" s="3"/>
      <c r="AR244" s="3"/>
      <c r="AS244" s="3"/>
      <c r="AT244" s="3"/>
      <c r="AU244" s="3"/>
      <c r="AV244" s="3"/>
      <c r="AW244" s="3"/>
      <c r="AX244" s="3"/>
      <c r="AY244" s="3"/>
      <c r="AZ244" s="3"/>
      <c r="BA244" s="3"/>
      <c r="BB244" s="3"/>
      <c r="BC244" s="3"/>
      <c r="BD244" s="3"/>
      <c r="BE244" s="3"/>
      <c r="BF244" s="3"/>
    </row>
    <row r="245" spans="1:58" ht="14.25" customHeight="1" x14ac:dyDescent="0.45">
      <c r="A245" s="618"/>
      <c r="B245" s="215"/>
      <c r="C245" s="220"/>
      <c r="D245" s="289" t="s">
        <v>336</v>
      </c>
      <c r="E245" s="233" t="s">
        <v>221</v>
      </c>
      <c r="F245" s="618"/>
      <c r="G245" s="618"/>
      <c r="H245" s="618"/>
      <c r="I245" s="618"/>
      <c r="J245" s="618"/>
      <c r="K245" s="618"/>
      <c r="L245" s="618"/>
      <c r="M245" s="618"/>
      <c r="N245" s="618"/>
      <c r="O245" s="618"/>
      <c r="P245" s="618"/>
      <c r="Q245" s="618"/>
      <c r="R245" s="618"/>
      <c r="S245" s="618"/>
      <c r="T245" s="618"/>
      <c r="U245" s="618"/>
      <c r="V245" s="618"/>
      <c r="W245" s="618"/>
      <c r="X245" s="618"/>
      <c r="Y245" s="618"/>
      <c r="Z245" s="618"/>
      <c r="AA245" s="618"/>
      <c r="AB245" s="618"/>
      <c r="AC245" s="618"/>
      <c r="AD245" s="618"/>
      <c r="AE245" s="618"/>
      <c r="AF245" s="618"/>
      <c r="AG245" s="618"/>
      <c r="AH245" s="618"/>
      <c r="AI245" s="618"/>
      <c r="AJ245" s="618"/>
      <c r="AK245" s="618"/>
      <c r="AL245" s="618"/>
      <c r="AM245" s="3"/>
      <c r="AN245" s="3"/>
      <c r="AO245" s="3"/>
      <c r="AP245" s="3"/>
      <c r="AQ245" s="3"/>
      <c r="AR245" s="3"/>
      <c r="AS245" s="3"/>
      <c r="AT245" s="3"/>
      <c r="AU245" s="3"/>
      <c r="AV245" s="3"/>
      <c r="AW245" s="3"/>
      <c r="AX245" s="3"/>
      <c r="AY245" s="3"/>
      <c r="AZ245" s="3"/>
      <c r="BA245" s="3"/>
      <c r="BB245" s="3"/>
      <c r="BC245" s="3"/>
      <c r="BD245" s="3"/>
      <c r="BE245" s="3"/>
      <c r="BF245" s="3"/>
    </row>
    <row r="246" spans="1:58" ht="14.25" customHeight="1" x14ac:dyDescent="0.45">
      <c r="A246" s="618"/>
      <c r="B246" s="258"/>
      <c r="C246" s="259"/>
      <c r="D246" s="267"/>
      <c r="E246" s="290"/>
      <c r="F246" s="618"/>
      <c r="G246" s="618"/>
      <c r="H246" s="618"/>
      <c r="I246" s="618"/>
      <c r="J246" s="618"/>
      <c r="K246" s="618"/>
      <c r="L246" s="618"/>
      <c r="M246" s="618"/>
      <c r="N246" s="618"/>
      <c r="O246" s="618"/>
      <c r="P246" s="618"/>
      <c r="Q246" s="618"/>
      <c r="R246" s="618"/>
      <c r="S246" s="618"/>
      <c r="T246" s="618"/>
      <c r="U246" s="618"/>
      <c r="V246" s="618"/>
      <c r="W246" s="618"/>
      <c r="X246" s="618"/>
      <c r="Y246" s="618"/>
      <c r="Z246" s="618"/>
      <c r="AA246" s="618"/>
      <c r="AB246" s="618"/>
      <c r="AC246" s="618"/>
      <c r="AD246" s="618"/>
      <c r="AE246" s="618"/>
      <c r="AF246" s="618"/>
      <c r="AG246" s="618"/>
      <c r="AH246" s="618"/>
      <c r="AI246" s="618"/>
      <c r="AJ246" s="618"/>
      <c r="AK246" s="618"/>
      <c r="AL246" s="618"/>
      <c r="AM246" s="3"/>
      <c r="AN246" s="3"/>
      <c r="AO246" s="3"/>
      <c r="AP246" s="3"/>
      <c r="AQ246" s="3"/>
      <c r="AR246" s="3"/>
      <c r="AS246" s="3"/>
      <c r="AT246" s="3"/>
      <c r="AU246" s="3"/>
      <c r="AV246" s="3"/>
      <c r="AW246" s="3"/>
      <c r="AX246" s="3"/>
      <c r="AY246" s="3"/>
      <c r="AZ246" s="3"/>
      <c r="BA246" s="3"/>
      <c r="BB246" s="3"/>
      <c r="BC246" s="3"/>
      <c r="BD246" s="3"/>
      <c r="BE246" s="3"/>
      <c r="BF246" s="3"/>
    </row>
    <row r="247" spans="1:58" ht="14.25" customHeight="1" x14ac:dyDescent="0.45">
      <c r="A247" s="618"/>
      <c r="B247" s="618"/>
      <c r="C247" s="618"/>
      <c r="D247" s="618"/>
      <c r="E247" s="618"/>
      <c r="F247" s="618"/>
      <c r="G247" s="618"/>
      <c r="H247" s="618"/>
      <c r="I247" s="618"/>
      <c r="J247" s="618"/>
      <c r="K247" s="618"/>
      <c r="L247" s="618"/>
      <c r="M247" s="618"/>
      <c r="N247" s="618"/>
      <c r="O247" s="618"/>
      <c r="P247" s="618"/>
      <c r="Q247" s="618"/>
      <c r="R247" s="618"/>
      <c r="S247" s="618"/>
      <c r="T247" s="618"/>
      <c r="U247" s="618"/>
      <c r="V247" s="618"/>
      <c r="W247" s="618"/>
      <c r="X247" s="618"/>
      <c r="Y247" s="618"/>
      <c r="Z247" s="618"/>
      <c r="AA247" s="618"/>
      <c r="AB247" s="618"/>
      <c r="AC247" s="618"/>
      <c r="AD247" s="618"/>
      <c r="AE247" s="618"/>
      <c r="AF247" s="618"/>
      <c r="AG247" s="618"/>
      <c r="AH247" s="618"/>
      <c r="AI247" s="618"/>
      <c r="AJ247" s="618"/>
      <c r="AK247" s="618"/>
      <c r="AL247" s="618"/>
      <c r="AM247" s="3"/>
      <c r="AN247" s="3"/>
      <c r="AO247" s="3"/>
      <c r="AP247" s="3"/>
      <c r="AQ247" s="3"/>
      <c r="AR247" s="3"/>
      <c r="AS247" s="3"/>
      <c r="AT247" s="3"/>
      <c r="AU247" s="3"/>
      <c r="AV247" s="3"/>
      <c r="AW247" s="3"/>
      <c r="AX247" s="3"/>
      <c r="AY247" s="3"/>
      <c r="AZ247" s="3"/>
      <c r="BA247" s="3"/>
      <c r="BB247" s="3"/>
      <c r="BC247" s="3"/>
      <c r="BD247" s="3"/>
      <c r="BE247" s="3"/>
      <c r="BF247" s="3"/>
    </row>
    <row r="248" spans="1:58" ht="14.25" customHeight="1" x14ac:dyDescent="0.45">
      <c r="A248" s="618"/>
      <c r="B248" s="26"/>
      <c r="C248" s="211"/>
      <c r="D248" s="291" t="s">
        <v>337</v>
      </c>
      <c r="E248" s="271"/>
      <c r="F248" s="271"/>
      <c r="G248" s="271"/>
      <c r="H248" s="292"/>
      <c r="I248" s="618"/>
      <c r="J248" s="618"/>
      <c r="K248" s="618"/>
      <c r="L248" s="618"/>
      <c r="M248" s="618"/>
      <c r="N248" s="618"/>
      <c r="O248" s="618"/>
      <c r="P248" s="618"/>
      <c r="Q248" s="618"/>
      <c r="R248" s="618"/>
      <c r="S248" s="618"/>
      <c r="T248" s="618"/>
      <c r="U248" s="618"/>
      <c r="V248" s="618"/>
      <c r="W248" s="618"/>
      <c r="X248" s="618"/>
      <c r="Y248" s="618"/>
      <c r="Z248" s="618"/>
      <c r="AA248" s="618"/>
      <c r="AB248" s="618"/>
      <c r="AC248" s="618"/>
      <c r="AD248" s="618"/>
      <c r="AE248" s="618"/>
      <c r="AF248" s="618"/>
      <c r="AG248" s="618"/>
      <c r="AH248" s="618"/>
      <c r="AI248" s="618"/>
      <c r="AJ248" s="618"/>
      <c r="AK248" s="618"/>
      <c r="AL248" s="618"/>
      <c r="AM248" s="3"/>
      <c r="AN248" s="3"/>
      <c r="AO248" s="3"/>
      <c r="AP248" s="3"/>
      <c r="AQ248" s="3"/>
      <c r="AR248" s="3"/>
      <c r="AS248" s="3"/>
      <c r="AT248" s="3"/>
      <c r="AU248" s="3"/>
      <c r="AV248" s="3"/>
      <c r="AW248" s="3"/>
      <c r="AX248" s="3"/>
      <c r="AY248" s="3"/>
      <c r="AZ248" s="3"/>
      <c r="BA248" s="3"/>
      <c r="BB248" s="3"/>
      <c r="BC248" s="3"/>
      <c r="BD248" s="3"/>
      <c r="BE248" s="3"/>
      <c r="BF248" s="3"/>
    </row>
    <row r="249" spans="1:58" ht="14.25" customHeight="1" x14ac:dyDescent="0.45">
      <c r="A249" s="618"/>
      <c r="B249" s="215"/>
      <c r="C249" s="220"/>
      <c r="D249" s="221"/>
      <c r="E249" s="293"/>
      <c r="F249" s="293"/>
      <c r="G249" s="293"/>
      <c r="H249" s="294"/>
      <c r="I249" s="618"/>
      <c r="J249" s="618"/>
      <c r="K249" s="618"/>
      <c r="L249" s="618"/>
      <c r="M249" s="618"/>
      <c r="N249" s="618"/>
      <c r="O249" s="618"/>
      <c r="P249" s="618"/>
      <c r="Q249" s="618"/>
      <c r="R249" s="618"/>
      <c r="S249" s="618"/>
      <c r="T249" s="618"/>
      <c r="U249" s="618"/>
      <c r="V249" s="618"/>
      <c r="W249" s="618"/>
      <c r="X249" s="618"/>
      <c r="Y249" s="618"/>
      <c r="Z249" s="618"/>
      <c r="AA249" s="618"/>
      <c r="AB249" s="618"/>
      <c r="AC249" s="618"/>
      <c r="AD249" s="618"/>
      <c r="AE249" s="618"/>
      <c r="AF249" s="618"/>
      <c r="AG249" s="618"/>
      <c r="AH249" s="618"/>
      <c r="AI249" s="618"/>
      <c r="AJ249" s="618"/>
      <c r="AK249" s="618"/>
      <c r="AL249" s="618"/>
      <c r="AM249" s="3"/>
      <c r="AN249" s="3"/>
      <c r="AO249" s="3"/>
      <c r="AP249" s="3"/>
      <c r="AQ249" s="3"/>
      <c r="AR249" s="3"/>
      <c r="AS249" s="3"/>
      <c r="AT249" s="3"/>
      <c r="AU249" s="3"/>
      <c r="AV249" s="3"/>
      <c r="AW249" s="3"/>
      <c r="AX249" s="3"/>
      <c r="AY249" s="3"/>
      <c r="AZ249" s="3"/>
      <c r="BA249" s="3"/>
      <c r="BB249" s="3"/>
      <c r="BC249" s="3"/>
      <c r="BD249" s="3"/>
      <c r="BE249" s="3"/>
      <c r="BF249" s="3"/>
    </row>
    <row r="250" spans="1:58" ht="14.25" customHeight="1" x14ac:dyDescent="0.45">
      <c r="A250" s="618"/>
      <c r="B250" s="215"/>
      <c r="C250" s="220"/>
      <c r="D250" s="243" t="s">
        <v>338</v>
      </c>
      <c r="E250" s="222">
        <v>2018</v>
      </c>
      <c r="F250" s="222">
        <v>2019</v>
      </c>
      <c r="G250" s="222">
        <v>2020</v>
      </c>
      <c r="H250" s="222">
        <v>2021</v>
      </c>
      <c r="I250" s="223"/>
      <c r="J250" s="618"/>
      <c r="K250" s="618"/>
      <c r="L250" s="618"/>
      <c r="M250" s="618"/>
      <c r="N250" s="618"/>
      <c r="O250" s="618"/>
      <c r="P250" s="618"/>
      <c r="Q250" s="618"/>
      <c r="R250" s="618"/>
      <c r="S250" s="618"/>
      <c r="T250" s="618"/>
      <c r="U250" s="618"/>
      <c r="V250" s="618"/>
      <c r="W250" s="618"/>
      <c r="X250" s="618"/>
      <c r="Y250" s="618"/>
      <c r="Z250" s="618"/>
      <c r="AA250" s="618"/>
      <c r="AB250" s="618"/>
      <c r="AC250" s="618"/>
      <c r="AD250" s="618"/>
      <c r="AE250" s="618"/>
      <c r="AF250" s="618"/>
      <c r="AG250" s="618"/>
      <c r="AH250" s="618"/>
      <c r="AI250" s="618"/>
      <c r="AJ250" s="618"/>
      <c r="AK250" s="618"/>
      <c r="AL250" s="618"/>
      <c r="AM250" s="3"/>
      <c r="AN250" s="3"/>
      <c r="AO250" s="3"/>
      <c r="AP250" s="3"/>
      <c r="AQ250" s="3"/>
      <c r="AR250" s="3"/>
      <c r="AS250" s="3"/>
      <c r="AT250" s="3"/>
      <c r="AU250" s="3"/>
      <c r="AV250" s="3"/>
      <c r="AW250" s="3"/>
      <c r="AX250" s="3"/>
      <c r="AY250" s="3"/>
      <c r="AZ250" s="3"/>
      <c r="BA250" s="3"/>
      <c r="BB250" s="3"/>
      <c r="BC250" s="3"/>
      <c r="BD250" s="3"/>
      <c r="BE250" s="3"/>
      <c r="BF250" s="3"/>
    </row>
    <row r="251" spans="1:58" ht="14.25" customHeight="1" x14ac:dyDescent="0.45">
      <c r="A251" s="618"/>
      <c r="B251" s="215"/>
      <c r="C251" s="220"/>
      <c r="D251" s="224" t="s">
        <v>339</v>
      </c>
      <c r="E251" s="295">
        <f>SUM(E253)</f>
        <v>1.3759203419650334</v>
      </c>
      <c r="F251" s="295">
        <f>SUM(F253)</f>
        <v>1.4878806610556581</v>
      </c>
      <c r="G251" s="295">
        <f>SUM(G253)</f>
        <v>1.5347486942352482</v>
      </c>
      <c r="H251" s="295">
        <f>SUM(H253)</f>
        <v>1.3412302309670938</v>
      </c>
      <c r="I251" s="296"/>
      <c r="J251" s="618"/>
      <c r="K251" s="618"/>
      <c r="L251" s="618"/>
      <c r="M251" s="618"/>
      <c r="N251" s="618"/>
      <c r="O251" s="618"/>
      <c r="P251" s="618"/>
      <c r="Q251" s="618"/>
      <c r="R251" s="618"/>
      <c r="S251" s="618"/>
      <c r="T251" s="618"/>
      <c r="U251" s="618"/>
      <c r="V251" s="618"/>
      <c r="W251" s="618"/>
      <c r="X251" s="618"/>
      <c r="Y251" s="618"/>
      <c r="Z251" s="618"/>
      <c r="AA251" s="618"/>
      <c r="AB251" s="618"/>
      <c r="AC251" s="618"/>
      <c r="AD251" s="618"/>
      <c r="AE251" s="618"/>
      <c r="AF251" s="618"/>
      <c r="AG251" s="618"/>
      <c r="AH251" s="618"/>
      <c r="AI251" s="618"/>
      <c r="AJ251" s="618"/>
      <c r="AK251" s="618"/>
      <c r="AL251" s="618"/>
      <c r="AM251" s="3"/>
      <c r="AN251" s="3"/>
      <c r="AO251" s="3"/>
      <c r="AP251" s="3"/>
      <c r="AQ251" s="3"/>
      <c r="AR251" s="3"/>
      <c r="AS251" s="3"/>
      <c r="AT251" s="3"/>
      <c r="AU251" s="3"/>
      <c r="AV251" s="3"/>
      <c r="AW251" s="3"/>
      <c r="AX251" s="3"/>
      <c r="AY251" s="3"/>
      <c r="AZ251" s="3"/>
      <c r="BA251" s="3"/>
      <c r="BB251" s="3"/>
      <c r="BC251" s="3"/>
      <c r="BD251" s="3"/>
      <c r="BE251" s="3"/>
      <c r="BF251" s="3"/>
    </row>
    <row r="252" spans="1:58" ht="14.25" customHeight="1" x14ac:dyDescent="0.45">
      <c r="A252" s="618"/>
      <c r="B252" s="215"/>
      <c r="C252" s="220"/>
      <c r="D252" s="228" t="s">
        <v>167</v>
      </c>
      <c r="E252" s="229"/>
      <c r="F252" s="229"/>
      <c r="G252" s="229"/>
      <c r="H252" s="229"/>
      <c r="I252" s="297"/>
      <c r="J252" s="618"/>
      <c r="K252" s="618"/>
      <c r="L252" s="618"/>
      <c r="M252" s="618"/>
      <c r="N252" s="618"/>
      <c r="O252" s="618"/>
      <c r="P252" s="618"/>
      <c r="Q252" s="618"/>
      <c r="R252" s="618"/>
      <c r="S252" s="618"/>
      <c r="T252" s="618"/>
      <c r="U252" s="618"/>
      <c r="V252" s="618"/>
      <c r="W252" s="618"/>
      <c r="X252" s="618"/>
      <c r="Y252" s="618"/>
      <c r="Z252" s="618"/>
      <c r="AA252" s="618"/>
      <c r="AB252" s="618"/>
      <c r="AC252" s="618"/>
      <c r="AD252" s="618"/>
      <c r="AE252" s="618"/>
      <c r="AF252" s="618"/>
      <c r="AG252" s="618"/>
      <c r="AH252" s="618"/>
      <c r="AI252" s="618"/>
      <c r="AJ252" s="618"/>
      <c r="AK252" s="618"/>
      <c r="AL252" s="618"/>
      <c r="AM252" s="3"/>
      <c r="AN252" s="3"/>
      <c r="AO252" s="3"/>
      <c r="AP252" s="3"/>
      <c r="AQ252" s="3"/>
      <c r="AR252" s="3"/>
      <c r="AS252" s="3"/>
      <c r="AT252" s="3"/>
      <c r="AU252" s="3"/>
      <c r="AV252" s="3"/>
      <c r="AW252" s="3"/>
      <c r="AX252" s="3"/>
      <c r="AY252" s="3"/>
      <c r="AZ252" s="3"/>
      <c r="BA252" s="3"/>
      <c r="BB252" s="3"/>
      <c r="BC252" s="3"/>
      <c r="BD252" s="3"/>
      <c r="BE252" s="3"/>
      <c r="BF252" s="3"/>
    </row>
    <row r="253" spans="1:58" ht="14.25" customHeight="1" x14ac:dyDescent="0.45">
      <c r="A253" s="618"/>
      <c r="B253" s="215"/>
      <c r="C253" s="220" t="s">
        <v>168</v>
      </c>
      <c r="D253" s="243" t="s">
        <v>169</v>
      </c>
      <c r="E253" s="232">
        <f>'Copia de Electricidad'!D212*$E$616*$E$619</f>
        <v>1.3759203419650334</v>
      </c>
      <c r="F253" s="232">
        <f>'Copia de Electricidad'!E212*$E$616*$E$619</f>
        <v>1.4878806610556581</v>
      </c>
      <c r="G253" s="232">
        <f>'Copia de Electricidad'!F212*$E$616*$E$619</f>
        <v>1.5347486942352482</v>
      </c>
      <c r="H253" s="232">
        <f>'Copia de Electricidad'!G212*$E$616*$E$619</f>
        <v>1.3412302309670938</v>
      </c>
      <c r="I253" s="280"/>
      <c r="J253" s="618"/>
      <c r="K253" s="618"/>
      <c r="L253" s="618"/>
      <c r="M253" s="618"/>
      <c r="N253" s="618"/>
      <c r="O253" s="618"/>
      <c r="P253" s="618"/>
      <c r="Q253" s="618"/>
      <c r="R253" s="618"/>
      <c r="S253" s="618"/>
      <c r="T253" s="618"/>
      <c r="U253" s="618"/>
      <c r="V253" s="618"/>
      <c r="W253" s="618"/>
      <c r="X253" s="618"/>
      <c r="Y253" s="618"/>
      <c r="Z253" s="618"/>
      <c r="AA253" s="618"/>
      <c r="AB253" s="618"/>
      <c r="AC253" s="618"/>
      <c r="AD253" s="618"/>
      <c r="AE253" s="618"/>
      <c r="AF253" s="618"/>
      <c r="AG253" s="618"/>
      <c r="AH253" s="618"/>
      <c r="AI253" s="618"/>
      <c r="AJ253" s="618"/>
      <c r="AK253" s="618"/>
      <c r="AL253" s="618"/>
      <c r="AM253" s="3"/>
      <c r="AN253" s="3"/>
      <c r="AO253" s="3"/>
      <c r="AP253" s="3"/>
      <c r="AQ253" s="3"/>
      <c r="AR253" s="3"/>
      <c r="AS253" s="3"/>
      <c r="AT253" s="3"/>
      <c r="AU253" s="3"/>
      <c r="AV253" s="3"/>
      <c r="AW253" s="3"/>
      <c r="AX253" s="3"/>
      <c r="AY253" s="3"/>
      <c r="AZ253" s="3"/>
      <c r="BA253" s="3"/>
      <c r="BB253" s="3"/>
      <c r="BC253" s="3"/>
      <c r="BD253" s="3"/>
      <c r="BE253" s="3"/>
      <c r="BF253" s="3"/>
    </row>
    <row r="254" spans="1:58" ht="14.25" customHeight="1" x14ac:dyDescent="0.45">
      <c r="A254" s="618"/>
      <c r="B254" s="215"/>
      <c r="C254" s="220" t="s">
        <v>170</v>
      </c>
      <c r="D254" s="224" t="s">
        <v>340</v>
      </c>
      <c r="E254" s="295">
        <f>'Copia de Electricidad'!D213*$E$616*$E$619</f>
        <v>0.2651535644880843</v>
      </c>
      <c r="F254" s="295">
        <f>'Copia de Electricidad'!E213*$E$616*$E$619</f>
        <v>0.28774738246617343</v>
      </c>
      <c r="G254" s="295">
        <f>'Copia de Electricidad'!F213*$E$616*$E$619</f>
        <v>0.25774336782994567</v>
      </c>
      <c r="H254" s="295">
        <f>'Copia de Electricidad'!G213*$E$616*$E$619</f>
        <v>0.21608043943318372</v>
      </c>
      <c r="I254" s="296"/>
      <c r="J254" s="618"/>
      <c r="K254" s="618"/>
      <c r="L254" s="618"/>
      <c r="M254" s="618"/>
      <c r="N254" s="618"/>
      <c r="O254" s="618"/>
      <c r="P254" s="618"/>
      <c r="Q254" s="618"/>
      <c r="R254" s="618"/>
      <c r="S254" s="618"/>
      <c r="T254" s="618"/>
      <c r="U254" s="618"/>
      <c r="V254" s="618"/>
      <c r="W254" s="618"/>
      <c r="X254" s="618"/>
      <c r="Y254" s="618"/>
      <c r="Z254" s="618"/>
      <c r="AA254" s="618"/>
      <c r="AB254" s="618"/>
      <c r="AC254" s="618"/>
      <c r="AD254" s="618"/>
      <c r="AE254" s="618"/>
      <c r="AF254" s="618"/>
      <c r="AG254" s="618"/>
      <c r="AH254" s="618"/>
      <c r="AI254" s="618"/>
      <c r="AJ254" s="618"/>
      <c r="AK254" s="618"/>
      <c r="AL254" s="618"/>
      <c r="AM254" s="3"/>
      <c r="AN254" s="3"/>
      <c r="AO254" s="3"/>
      <c r="AP254" s="3"/>
      <c r="AQ254" s="3"/>
      <c r="AR254" s="3"/>
      <c r="AS254" s="3"/>
      <c r="AT254" s="3"/>
      <c r="AU254" s="3"/>
      <c r="AV254" s="3"/>
      <c r="AW254" s="3"/>
      <c r="AX254" s="3"/>
      <c r="AY254" s="3"/>
      <c r="AZ254" s="3"/>
      <c r="BA254" s="3"/>
      <c r="BB254" s="3"/>
      <c r="BC254" s="3"/>
      <c r="BD254" s="3"/>
      <c r="BE254" s="3"/>
      <c r="BF254" s="3"/>
    </row>
    <row r="255" spans="1:58" ht="14.25" customHeight="1" x14ac:dyDescent="0.45">
      <c r="A255" s="618"/>
      <c r="B255" s="215"/>
      <c r="C255" s="220"/>
      <c r="D255" s="224" t="s">
        <v>341</v>
      </c>
      <c r="E255" s="295">
        <f>SUM(E257:E258,E260:E261)</f>
        <v>74.335148310429105</v>
      </c>
      <c r="F255" s="295">
        <f>SUM(F257:F258,F260:F261)</f>
        <v>88.573281059818669</v>
      </c>
      <c r="G255" s="295">
        <f>SUM(G257:G258,G260:G261)</f>
        <v>87.471357422709744</v>
      </c>
      <c r="H255" s="295">
        <f>SUM(H257:H258,H260:H261)</f>
        <v>91.94218588299249</v>
      </c>
      <c r="I255" s="296"/>
      <c r="J255" s="618"/>
      <c r="K255" s="618"/>
      <c r="L255" s="618"/>
      <c r="M255" s="618"/>
      <c r="N255" s="618"/>
      <c r="O255" s="618"/>
      <c r="P255" s="618"/>
      <c r="Q255" s="618"/>
      <c r="R255" s="618"/>
      <c r="S255" s="618"/>
      <c r="T255" s="618"/>
      <c r="U255" s="618"/>
      <c r="V255" s="618"/>
      <c r="W255" s="618"/>
      <c r="X255" s="618"/>
      <c r="Y255" s="618"/>
      <c r="Z255" s="618"/>
      <c r="AA255" s="618"/>
      <c r="AB255" s="618"/>
      <c r="AC255" s="618"/>
      <c r="AD255" s="618"/>
      <c r="AE255" s="618"/>
      <c r="AF255" s="618"/>
      <c r="AG255" s="618"/>
      <c r="AH255" s="618"/>
      <c r="AI255" s="618"/>
      <c r="AJ255" s="618"/>
      <c r="AK255" s="618"/>
      <c r="AL255" s="618"/>
      <c r="AM255" s="3"/>
      <c r="AN255" s="3"/>
      <c r="AO255" s="3"/>
      <c r="AP255" s="3"/>
      <c r="AQ255" s="3"/>
      <c r="AR255" s="3"/>
      <c r="AS255" s="3"/>
      <c r="AT255" s="3"/>
      <c r="AU255" s="3"/>
      <c r="AV255" s="3"/>
      <c r="AW255" s="3"/>
      <c r="AX255" s="3"/>
      <c r="AY255" s="3"/>
      <c r="AZ255" s="3"/>
      <c r="BA255" s="3"/>
      <c r="BB255" s="3"/>
      <c r="BC255" s="3"/>
      <c r="BD255" s="3"/>
      <c r="BE255" s="3"/>
      <c r="BF255" s="3"/>
    </row>
    <row r="256" spans="1:58" ht="14.25" customHeight="1" x14ac:dyDescent="0.45">
      <c r="A256" s="618"/>
      <c r="B256" s="215"/>
      <c r="C256" s="220"/>
      <c r="D256" s="228" t="s">
        <v>173</v>
      </c>
      <c r="E256" s="229">
        <f>SUM(E257:E258)</f>
        <v>27.737653219489321</v>
      </c>
      <c r="F256" s="229">
        <f>SUM(F257:F258)</f>
        <v>32.205948855043715</v>
      </c>
      <c r="G256" s="229">
        <f>SUM(G257:G258)</f>
        <v>29.053183047679433</v>
      </c>
      <c r="H256" s="229">
        <f>SUM(H257:H258)</f>
        <v>31.319432746924779</v>
      </c>
      <c r="I256" s="297"/>
      <c r="J256" s="618"/>
      <c r="K256" s="618"/>
      <c r="L256" s="618"/>
      <c r="M256" s="618"/>
      <c r="N256" s="618"/>
      <c r="O256" s="618"/>
      <c r="P256" s="618"/>
      <c r="Q256" s="618"/>
      <c r="R256" s="618"/>
      <c r="S256" s="618"/>
      <c r="T256" s="618"/>
      <c r="U256" s="618"/>
      <c r="V256" s="618"/>
      <c r="W256" s="618"/>
      <c r="X256" s="618"/>
      <c r="Y256" s="618"/>
      <c r="Z256" s="618"/>
      <c r="AA256" s="618"/>
      <c r="AB256" s="618"/>
      <c r="AC256" s="618"/>
      <c r="AD256" s="618"/>
      <c r="AE256" s="618"/>
      <c r="AF256" s="618"/>
      <c r="AG256" s="618"/>
      <c r="AH256" s="618"/>
      <c r="AI256" s="618"/>
      <c r="AJ256" s="618"/>
      <c r="AK256" s="618"/>
      <c r="AL256" s="618"/>
      <c r="AM256" s="3"/>
      <c r="AN256" s="3"/>
      <c r="AO256" s="3"/>
      <c r="AP256" s="3"/>
      <c r="AQ256" s="3"/>
      <c r="AR256" s="3"/>
      <c r="AS256" s="3"/>
      <c r="AT256" s="3"/>
      <c r="AU256" s="3"/>
      <c r="AV256" s="3"/>
      <c r="AW256" s="3"/>
      <c r="AX256" s="3"/>
      <c r="AY256" s="3"/>
      <c r="AZ256" s="3"/>
      <c r="BA256" s="3"/>
      <c r="BB256" s="3"/>
      <c r="BC256" s="3"/>
      <c r="BD256" s="3"/>
      <c r="BE256" s="3"/>
      <c r="BF256" s="3"/>
    </row>
    <row r="257" spans="1:58" ht="14.25" customHeight="1" x14ac:dyDescent="0.45">
      <c r="A257" s="618"/>
      <c r="B257" s="215"/>
      <c r="C257" s="220"/>
      <c r="D257" s="221" t="s">
        <v>174</v>
      </c>
      <c r="E257" s="232">
        <f>'Copia de Electricidad'!D216*$E$616*$E$619</f>
        <v>24.167506182196774</v>
      </c>
      <c r="F257" s="232">
        <f>'Copia de Electricidad'!E216*$E$616*$E$619</f>
        <v>27.418570490678494</v>
      </c>
      <c r="G257" s="232">
        <f>'Copia de Electricidad'!F216*$E$616*$E$619</f>
        <v>25.378201263177889</v>
      </c>
      <c r="H257" s="232">
        <f>'Copia de Electricidad'!G216*$E$616*$E$619</f>
        <v>26.940818240734398</v>
      </c>
      <c r="I257" s="280"/>
      <c r="J257" s="618"/>
      <c r="K257" s="618"/>
      <c r="L257" s="618"/>
      <c r="M257" s="618"/>
      <c r="N257" s="618"/>
      <c r="O257" s="618"/>
      <c r="P257" s="618"/>
      <c r="Q257" s="618"/>
      <c r="R257" s="618"/>
      <c r="S257" s="618"/>
      <c r="T257" s="618"/>
      <c r="U257" s="618"/>
      <c r="V257" s="618"/>
      <c r="W257" s="618"/>
      <c r="X257" s="618"/>
      <c r="Y257" s="618"/>
      <c r="Z257" s="618"/>
      <c r="AA257" s="618"/>
      <c r="AB257" s="618"/>
      <c r="AC257" s="618"/>
      <c r="AD257" s="618"/>
      <c r="AE257" s="618"/>
      <c r="AF257" s="618"/>
      <c r="AG257" s="618"/>
      <c r="AH257" s="618"/>
      <c r="AI257" s="618"/>
      <c r="AJ257" s="618"/>
      <c r="AK257" s="618"/>
      <c r="AL257" s="618"/>
      <c r="AM257" s="3"/>
      <c r="AN257" s="3"/>
      <c r="AO257" s="3"/>
      <c r="AP257" s="3"/>
      <c r="AQ257" s="3"/>
      <c r="AR257" s="3"/>
      <c r="AS257" s="3"/>
      <c r="AT257" s="3"/>
      <c r="AU257" s="3"/>
      <c r="AV257" s="3"/>
      <c r="AW257" s="3"/>
      <c r="AX257" s="3"/>
      <c r="AY257" s="3"/>
      <c r="AZ257" s="3"/>
      <c r="BA257" s="3"/>
      <c r="BB257" s="3"/>
      <c r="BC257" s="3"/>
      <c r="BD257" s="3"/>
      <c r="BE257" s="3"/>
      <c r="BF257" s="3"/>
    </row>
    <row r="258" spans="1:58" ht="14.25" customHeight="1" x14ac:dyDescent="0.45">
      <c r="A258" s="618"/>
      <c r="B258" s="215"/>
      <c r="C258" s="220"/>
      <c r="D258" s="221" t="s">
        <v>175</v>
      </c>
      <c r="E258" s="232">
        <f>'Copia de Electricidad'!D217*$E$616*$E$619</f>
        <v>3.5701470372925472</v>
      </c>
      <c r="F258" s="232">
        <f>'Copia de Electricidad'!E217*$E$616*$E$619</f>
        <v>4.7873783643652201</v>
      </c>
      <c r="G258" s="232">
        <f>'Copia de Electricidad'!F217*$E$616*$E$619</f>
        <v>3.6749817845015427</v>
      </c>
      <c r="H258" s="232">
        <f>'Copia de Electricidad'!G217*$E$616*$E$619</f>
        <v>4.378614506190381</v>
      </c>
      <c r="I258" s="280"/>
      <c r="J258" s="618"/>
      <c r="K258" s="618"/>
      <c r="L258" s="618"/>
      <c r="M258" s="618"/>
      <c r="N258" s="618"/>
      <c r="O258" s="618"/>
      <c r="P258" s="618"/>
      <c r="Q258" s="618"/>
      <c r="R258" s="618"/>
      <c r="S258" s="618"/>
      <c r="T258" s="618"/>
      <c r="U258" s="618"/>
      <c r="V258" s="618"/>
      <c r="W258" s="618"/>
      <c r="X258" s="618"/>
      <c r="Y258" s="618"/>
      <c r="Z258" s="618"/>
      <c r="AA258" s="618"/>
      <c r="AB258" s="618"/>
      <c r="AC258" s="618"/>
      <c r="AD258" s="618"/>
      <c r="AE258" s="618"/>
      <c r="AF258" s="618"/>
      <c r="AG258" s="618"/>
      <c r="AH258" s="618"/>
      <c r="AI258" s="618"/>
      <c r="AJ258" s="618"/>
      <c r="AK258" s="618"/>
      <c r="AL258" s="618"/>
      <c r="AM258" s="3"/>
      <c r="AN258" s="3"/>
      <c r="AO258" s="3"/>
      <c r="AP258" s="3"/>
      <c r="AQ258" s="3"/>
      <c r="AR258" s="3"/>
      <c r="AS258" s="3"/>
      <c r="AT258" s="3"/>
      <c r="AU258" s="3"/>
      <c r="AV258" s="3"/>
      <c r="AW258" s="3"/>
      <c r="AX258" s="3"/>
      <c r="AY258" s="3"/>
      <c r="AZ258" s="3"/>
      <c r="BA258" s="3"/>
      <c r="BB258" s="3"/>
      <c r="BC258" s="3"/>
      <c r="BD258" s="3"/>
      <c r="BE258" s="3"/>
      <c r="BF258" s="3"/>
    </row>
    <row r="259" spans="1:58" ht="14.25" customHeight="1" x14ac:dyDescent="0.45">
      <c r="A259" s="618"/>
      <c r="B259" s="215"/>
      <c r="C259" s="220"/>
      <c r="D259" s="228" t="s">
        <v>176</v>
      </c>
      <c r="E259" s="229">
        <f>SUM(E260:E261)</f>
        <v>46.597495090939773</v>
      </c>
      <c r="F259" s="229">
        <f>SUM(F260:F261)</f>
        <v>56.367332204774961</v>
      </c>
      <c r="G259" s="229">
        <f>SUM(G260:G261)</f>
        <v>58.418174375030326</v>
      </c>
      <c r="H259" s="229">
        <f>SUM(H260:H261)</f>
        <v>60.622753136067708</v>
      </c>
      <c r="I259" s="297"/>
      <c r="J259" s="618"/>
      <c r="K259" s="618"/>
      <c r="L259" s="618"/>
      <c r="M259" s="618"/>
      <c r="N259" s="618"/>
      <c r="O259" s="618"/>
      <c r="P259" s="618"/>
      <c r="Q259" s="618"/>
      <c r="R259" s="618"/>
      <c r="S259" s="618"/>
      <c r="T259" s="618"/>
      <c r="U259" s="618"/>
      <c r="V259" s="618"/>
      <c r="W259" s="618"/>
      <c r="X259" s="618"/>
      <c r="Y259" s="618"/>
      <c r="Z259" s="618"/>
      <c r="AA259" s="618"/>
      <c r="AB259" s="618"/>
      <c r="AC259" s="618"/>
      <c r="AD259" s="618"/>
      <c r="AE259" s="618"/>
      <c r="AF259" s="618"/>
      <c r="AG259" s="618"/>
      <c r="AH259" s="618"/>
      <c r="AI259" s="618"/>
      <c r="AJ259" s="618"/>
      <c r="AK259" s="618"/>
      <c r="AL259" s="618"/>
      <c r="AM259" s="3"/>
      <c r="AN259" s="3"/>
      <c r="AO259" s="3"/>
      <c r="AP259" s="3"/>
      <c r="AQ259" s="3"/>
      <c r="AR259" s="3"/>
      <c r="AS259" s="3"/>
      <c r="AT259" s="3"/>
      <c r="AU259" s="3"/>
      <c r="AV259" s="3"/>
      <c r="AW259" s="3"/>
      <c r="AX259" s="3"/>
      <c r="AY259" s="3"/>
      <c r="AZ259" s="3"/>
      <c r="BA259" s="3"/>
      <c r="BB259" s="3"/>
      <c r="BC259" s="3"/>
      <c r="BD259" s="3"/>
      <c r="BE259" s="3"/>
      <c r="BF259" s="3"/>
    </row>
    <row r="260" spans="1:58" ht="14.25" customHeight="1" x14ac:dyDescent="0.45">
      <c r="A260" s="618"/>
      <c r="B260" s="215"/>
      <c r="C260" s="220"/>
      <c r="D260" s="221" t="s">
        <v>174</v>
      </c>
      <c r="E260" s="232">
        <f>'Copia de Electricidad'!D219*$E$616*$E$619</f>
        <v>44.225900196707251</v>
      </c>
      <c r="F260" s="232">
        <f>'Copia de Electricidad'!E219*$E$616*$E$619</f>
        <v>50.553626124459505</v>
      </c>
      <c r="G260" s="232">
        <f>'Copia de Electricidad'!F219*$E$616*$E$619</f>
        <v>52.460123055364875</v>
      </c>
      <c r="H260" s="232">
        <f>'Copia de Electricidad'!G219*$E$616*$E$619</f>
        <v>53.734557172728323</v>
      </c>
      <c r="I260" s="280"/>
      <c r="J260" s="618"/>
      <c r="K260" s="618"/>
      <c r="L260" s="618"/>
      <c r="M260" s="618"/>
      <c r="N260" s="618"/>
      <c r="O260" s="618"/>
      <c r="P260" s="618"/>
      <c r="Q260" s="618"/>
      <c r="R260" s="618"/>
      <c r="S260" s="618"/>
      <c r="T260" s="618"/>
      <c r="U260" s="618"/>
      <c r="V260" s="618"/>
      <c r="W260" s="618"/>
      <c r="X260" s="618"/>
      <c r="Y260" s="618"/>
      <c r="Z260" s="618"/>
      <c r="AA260" s="618"/>
      <c r="AB260" s="618"/>
      <c r="AC260" s="618"/>
      <c r="AD260" s="618"/>
      <c r="AE260" s="618"/>
      <c r="AF260" s="618"/>
      <c r="AG260" s="618"/>
      <c r="AH260" s="618"/>
      <c r="AI260" s="618"/>
      <c r="AJ260" s="618"/>
      <c r="AK260" s="618"/>
      <c r="AL260" s="618"/>
      <c r="AM260" s="3"/>
      <c r="AN260" s="3"/>
      <c r="AO260" s="3"/>
      <c r="AP260" s="3"/>
      <c r="AQ260" s="3"/>
      <c r="AR260" s="3"/>
      <c r="AS260" s="3"/>
      <c r="AT260" s="3"/>
      <c r="AU260" s="3"/>
      <c r="AV260" s="3"/>
      <c r="AW260" s="3"/>
      <c r="AX260" s="3"/>
      <c r="AY260" s="3"/>
      <c r="AZ260" s="3"/>
      <c r="BA260" s="3"/>
      <c r="BB260" s="3"/>
      <c r="BC260" s="3"/>
      <c r="BD260" s="3"/>
      <c r="BE260" s="3"/>
      <c r="BF260" s="3"/>
    </row>
    <row r="261" spans="1:58" ht="14.25" customHeight="1" x14ac:dyDescent="0.45">
      <c r="A261" s="618"/>
      <c r="B261" s="215"/>
      <c r="C261" s="220"/>
      <c r="D261" s="221" t="s">
        <v>175</v>
      </c>
      <c r="E261" s="232">
        <f>'Copia de Electricidad'!D220*$E$616*$E$619</f>
        <v>2.3715948942325227</v>
      </c>
      <c r="F261" s="232">
        <f>'Copia de Electricidad'!E220*$E$616*$E$619</f>
        <v>5.8137060803154572</v>
      </c>
      <c r="G261" s="232">
        <f>'Copia de Electricidad'!F220*$E$616*$E$619</f>
        <v>5.9580513196654481</v>
      </c>
      <c r="H261" s="232">
        <f>'Copia de Electricidad'!G220*$E$616*$E$619</f>
        <v>6.8881959633393821</v>
      </c>
      <c r="I261" s="280"/>
      <c r="J261" s="618"/>
      <c r="K261" s="618"/>
      <c r="L261" s="618"/>
      <c r="M261" s="618"/>
      <c r="N261" s="618"/>
      <c r="O261" s="618"/>
      <c r="P261" s="618"/>
      <c r="Q261" s="618"/>
      <c r="R261" s="618"/>
      <c r="S261" s="618"/>
      <c r="T261" s="618"/>
      <c r="U261" s="618"/>
      <c r="V261" s="618"/>
      <c r="W261" s="618"/>
      <c r="X261" s="618"/>
      <c r="Y261" s="618"/>
      <c r="Z261" s="618"/>
      <c r="AA261" s="618"/>
      <c r="AB261" s="618"/>
      <c r="AC261" s="618"/>
      <c r="AD261" s="618"/>
      <c r="AE261" s="618"/>
      <c r="AF261" s="618"/>
      <c r="AG261" s="618"/>
      <c r="AH261" s="618"/>
      <c r="AI261" s="618"/>
      <c r="AJ261" s="618"/>
      <c r="AK261" s="618"/>
      <c r="AL261" s="618"/>
      <c r="AM261" s="3"/>
      <c r="AN261" s="3"/>
      <c r="AO261" s="3"/>
      <c r="AP261" s="3"/>
      <c r="AQ261" s="3"/>
      <c r="AR261" s="3"/>
      <c r="AS261" s="3"/>
      <c r="AT261" s="3"/>
      <c r="AU261" s="3"/>
      <c r="AV261" s="3"/>
      <c r="AW261" s="3"/>
      <c r="AX261" s="3"/>
      <c r="AY261" s="3"/>
      <c r="AZ261" s="3"/>
      <c r="BA261" s="3"/>
      <c r="BB261" s="3"/>
      <c r="BC261" s="3"/>
      <c r="BD261" s="3"/>
      <c r="BE261" s="3"/>
      <c r="BF261" s="3"/>
    </row>
    <row r="262" spans="1:58" ht="14.25" customHeight="1" x14ac:dyDescent="0.45">
      <c r="A262" s="618"/>
      <c r="B262" s="215"/>
      <c r="C262" s="220" t="s">
        <v>177</v>
      </c>
      <c r="D262" s="224" t="s">
        <v>342</v>
      </c>
      <c r="E262" s="295">
        <f>'Copia de Electricidad'!D221*$E$616*$E$619</f>
        <v>0.12509347947422919</v>
      </c>
      <c r="F262" s="295">
        <f>'Copia de Electricidad'!E221*$E$616*$E$619</f>
        <v>0.11919318305956898</v>
      </c>
      <c r="G262" s="295">
        <f>'Copia de Electricidad'!F221*$E$616*$E$619</f>
        <v>0.12166033701747472</v>
      </c>
      <c r="H262" s="295">
        <f>'Copia de Electricidad'!G221*$E$616*$E$619</f>
        <v>0.12030848299160839</v>
      </c>
      <c r="I262" s="296"/>
      <c r="J262" s="618"/>
      <c r="K262" s="618"/>
      <c r="L262" s="618"/>
      <c r="M262" s="618"/>
      <c r="N262" s="618"/>
      <c r="O262" s="618"/>
      <c r="P262" s="618"/>
      <c r="Q262" s="618"/>
      <c r="R262" s="618"/>
      <c r="S262" s="618"/>
      <c r="T262" s="618"/>
      <c r="U262" s="618"/>
      <c r="V262" s="618"/>
      <c r="W262" s="618"/>
      <c r="X262" s="618"/>
      <c r="Y262" s="618"/>
      <c r="Z262" s="618"/>
      <c r="AA262" s="618"/>
      <c r="AB262" s="618"/>
      <c r="AC262" s="618"/>
      <c r="AD262" s="618"/>
      <c r="AE262" s="618"/>
      <c r="AF262" s="618"/>
      <c r="AG262" s="618"/>
      <c r="AH262" s="618"/>
      <c r="AI262" s="618"/>
      <c r="AJ262" s="618"/>
      <c r="AK262" s="618"/>
      <c r="AL262" s="618"/>
      <c r="AM262" s="3"/>
      <c r="AN262" s="3"/>
      <c r="AO262" s="3"/>
      <c r="AP262" s="3"/>
      <c r="AQ262" s="3"/>
      <c r="AR262" s="3"/>
      <c r="AS262" s="3"/>
      <c r="AT262" s="3"/>
      <c r="AU262" s="3"/>
      <c r="AV262" s="3"/>
      <c r="AW262" s="3"/>
      <c r="AX262" s="3"/>
      <c r="AY262" s="3"/>
      <c r="AZ262" s="3"/>
      <c r="BA262" s="3"/>
      <c r="BB262" s="3"/>
      <c r="BC262" s="3"/>
      <c r="BD262" s="3"/>
      <c r="BE262" s="3"/>
      <c r="BF262" s="3"/>
    </row>
    <row r="263" spans="1:58" ht="14.25" customHeight="1" x14ac:dyDescent="0.45">
      <c r="A263" s="618"/>
      <c r="B263" s="215"/>
      <c r="C263" s="220"/>
      <c r="D263" s="224" t="s">
        <v>343</v>
      </c>
      <c r="E263" s="295">
        <f>SUM(E264,E269,E272)</f>
        <v>15.031056312211534</v>
      </c>
      <c r="F263" s="295">
        <f>SUM(F264,F269,F272)</f>
        <v>10.711110455199522</v>
      </c>
      <c r="G263" s="295">
        <f>SUM(G264,G269,G272)</f>
        <v>8.6764265024499458</v>
      </c>
      <c r="H263" s="295">
        <f>SUM(H264,H269,H272)</f>
        <v>7.5895845909128115</v>
      </c>
      <c r="I263" s="296"/>
      <c r="J263" s="618"/>
      <c r="K263" s="618"/>
      <c r="L263" s="618"/>
      <c r="M263" s="618"/>
      <c r="N263" s="618"/>
      <c r="O263" s="618"/>
      <c r="P263" s="618"/>
      <c r="Q263" s="618"/>
      <c r="R263" s="618"/>
      <c r="S263" s="618"/>
      <c r="T263" s="618"/>
      <c r="U263" s="618"/>
      <c r="V263" s="618"/>
      <c r="W263" s="618"/>
      <c r="X263" s="618"/>
      <c r="Y263" s="618"/>
      <c r="Z263" s="618"/>
      <c r="AA263" s="618"/>
      <c r="AB263" s="618"/>
      <c r="AC263" s="618"/>
      <c r="AD263" s="618"/>
      <c r="AE263" s="618"/>
      <c r="AF263" s="618"/>
      <c r="AG263" s="618"/>
      <c r="AH263" s="618"/>
      <c r="AI263" s="618"/>
      <c r="AJ263" s="618"/>
      <c r="AK263" s="618"/>
      <c r="AL263" s="618"/>
      <c r="AM263" s="3"/>
      <c r="AN263" s="3"/>
      <c r="AO263" s="3"/>
      <c r="AP263" s="3"/>
      <c r="AQ263" s="3"/>
      <c r="AR263" s="3"/>
      <c r="AS263" s="3"/>
      <c r="AT263" s="3"/>
      <c r="AU263" s="3"/>
      <c r="AV263" s="3"/>
      <c r="AW263" s="3"/>
      <c r="AX263" s="3"/>
      <c r="AY263" s="3"/>
      <c r="AZ263" s="3"/>
      <c r="BA263" s="3"/>
      <c r="BB263" s="3"/>
      <c r="BC263" s="3"/>
      <c r="BD263" s="3"/>
      <c r="BE263" s="3"/>
      <c r="BF263" s="3"/>
    </row>
    <row r="264" spans="1:58" ht="14.25" customHeight="1" x14ac:dyDescent="0.45">
      <c r="A264" s="618"/>
      <c r="B264" s="215"/>
      <c r="C264" s="220"/>
      <c r="D264" s="228" t="s">
        <v>180</v>
      </c>
      <c r="E264" s="229">
        <f>SUM(E265:E268)</f>
        <v>5.2151942896970978</v>
      </c>
      <c r="F264" s="229">
        <f>SUM(F265:F268)</f>
        <v>3.0732732370488023</v>
      </c>
      <c r="G264" s="229">
        <f>SUM(G265:G268)</f>
        <v>2.8174068776664263</v>
      </c>
      <c r="H264" s="229">
        <f>SUM(H265:H268)</f>
        <v>2.4175035894863339</v>
      </c>
      <c r="I264" s="297"/>
      <c r="J264" s="618"/>
      <c r="K264" s="618"/>
      <c r="L264" s="618"/>
      <c r="M264" s="618"/>
      <c r="N264" s="618"/>
      <c r="O264" s="618"/>
      <c r="P264" s="618"/>
      <c r="Q264" s="618"/>
      <c r="R264" s="618"/>
      <c r="S264" s="618"/>
      <c r="T264" s="618"/>
      <c r="U264" s="618"/>
      <c r="V264" s="618"/>
      <c r="W264" s="618"/>
      <c r="X264" s="618"/>
      <c r="Y264" s="618"/>
      <c r="Z264" s="618"/>
      <c r="AA264" s="618"/>
      <c r="AB264" s="618"/>
      <c r="AC264" s="618"/>
      <c r="AD264" s="618"/>
      <c r="AE264" s="618"/>
      <c r="AF264" s="618"/>
      <c r="AG264" s="618"/>
      <c r="AH264" s="618"/>
      <c r="AI264" s="618"/>
      <c r="AJ264" s="618"/>
      <c r="AK264" s="618"/>
      <c r="AL264" s="618"/>
      <c r="AM264" s="3"/>
      <c r="AN264" s="3"/>
      <c r="AO264" s="3"/>
      <c r="AP264" s="3"/>
      <c r="AQ264" s="3"/>
      <c r="AR264" s="3"/>
      <c r="AS264" s="3"/>
      <c r="AT264" s="3"/>
      <c r="AU264" s="3"/>
      <c r="AV264" s="3"/>
      <c r="AW264" s="3"/>
      <c r="AX264" s="3"/>
      <c r="AY264" s="3"/>
      <c r="AZ264" s="3"/>
      <c r="BA264" s="3"/>
      <c r="BB264" s="3"/>
      <c r="BC264" s="3"/>
      <c r="BD264" s="3"/>
      <c r="BE264" s="3"/>
      <c r="BF264" s="3"/>
    </row>
    <row r="265" spans="1:58" ht="14.25" customHeight="1" x14ac:dyDescent="0.45">
      <c r="A265" s="4"/>
      <c r="B265" s="298"/>
      <c r="C265" s="220" t="s">
        <v>181</v>
      </c>
      <c r="D265" s="243" t="s">
        <v>190</v>
      </c>
      <c r="E265" s="299">
        <f>'Copia de Electricidad'!D224*$E$616*$E$619</f>
        <v>0.79536078417679257</v>
      </c>
      <c r="F265" s="299">
        <f>'Copia de Electricidad'!E224*$E$616*$E$619</f>
        <v>8.5024525079884797E-2</v>
      </c>
      <c r="G265" s="300">
        <f>'Copia de Electricidad'!F224*$E$616*$E$619</f>
        <v>0.28855296870148778</v>
      </c>
      <c r="H265" s="299">
        <f>'Copia de Electricidad'!G224*$E$616*$E$619</f>
        <v>0.13770625764264094</v>
      </c>
      <c r="I265" s="301"/>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3"/>
      <c r="AN265" s="3"/>
      <c r="AO265" s="3"/>
      <c r="AP265" s="3"/>
      <c r="AQ265" s="3"/>
      <c r="AR265" s="3"/>
      <c r="AS265" s="3"/>
      <c r="AT265" s="3"/>
      <c r="AU265" s="3"/>
      <c r="AV265" s="3"/>
      <c r="AW265" s="3"/>
      <c r="AX265" s="3"/>
      <c r="AY265" s="3"/>
      <c r="AZ265" s="3"/>
      <c r="BA265" s="3"/>
      <c r="BB265" s="3"/>
      <c r="BC265" s="3"/>
      <c r="BD265" s="3"/>
      <c r="BE265" s="3"/>
      <c r="BF265" s="3"/>
    </row>
    <row r="266" spans="1:58" ht="14.25" customHeight="1" x14ac:dyDescent="0.45">
      <c r="A266" s="618"/>
      <c r="B266" s="215"/>
      <c r="C266" s="220" t="s">
        <v>183</v>
      </c>
      <c r="D266" s="243" t="s">
        <v>195</v>
      </c>
      <c r="E266" s="299">
        <f>'Copia de Electricidad'!D225*$E$616*$E$619</f>
        <v>3.567888267110829</v>
      </c>
      <c r="F266" s="299">
        <f>'Copia de Electricidad'!E225*$E$616*$E$619</f>
        <v>2.4146508363674135</v>
      </c>
      <c r="G266" s="299">
        <f>'Copia de Electricidad'!F225*$E$616*$E$619</f>
        <v>1.9707872520283418</v>
      </c>
      <c r="H266" s="299">
        <f>'Copia de Electricidad'!G225*$E$616*$E$619</f>
        <v>1.5897608518991015</v>
      </c>
      <c r="I266" s="301"/>
      <c r="J266" s="618"/>
      <c r="K266" s="618"/>
      <c r="L266" s="618"/>
      <c r="M266" s="618"/>
      <c r="N266" s="618"/>
      <c r="O266" s="618"/>
      <c r="P266" s="618"/>
      <c r="Q266" s="618"/>
      <c r="R266" s="618"/>
      <c r="S266" s="618"/>
      <c r="T266" s="618"/>
      <c r="U266" s="618"/>
      <c r="V266" s="618"/>
      <c r="W266" s="618"/>
      <c r="X266" s="618"/>
      <c r="Y266" s="618"/>
      <c r="Z266" s="618"/>
      <c r="AA266" s="618"/>
      <c r="AB266" s="618"/>
      <c r="AC266" s="618"/>
      <c r="AD266" s="618"/>
      <c r="AE266" s="618"/>
      <c r="AF266" s="618"/>
      <c r="AG266" s="618"/>
      <c r="AH266" s="618"/>
      <c r="AI266" s="618"/>
      <c r="AJ266" s="618"/>
      <c r="AK266" s="618"/>
      <c r="AL266" s="618"/>
      <c r="AM266" s="3"/>
      <c r="AN266" s="3"/>
      <c r="AO266" s="3"/>
      <c r="AP266" s="3"/>
      <c r="AQ266" s="3"/>
      <c r="AR266" s="3"/>
      <c r="AS266" s="3"/>
      <c r="AT266" s="3"/>
      <c r="AU266" s="3"/>
      <c r="AV266" s="3"/>
      <c r="AW266" s="3"/>
      <c r="AX266" s="3"/>
      <c r="AY266" s="3"/>
      <c r="AZ266" s="3"/>
      <c r="BA266" s="3"/>
      <c r="BB266" s="3"/>
      <c r="BC266" s="3"/>
      <c r="BD266" s="3"/>
      <c r="BE266" s="3"/>
      <c r="BF266" s="3"/>
    </row>
    <row r="267" spans="1:58" ht="14.25" customHeight="1" x14ac:dyDescent="0.45">
      <c r="A267" s="618"/>
      <c r="B267" s="215"/>
      <c r="C267" s="220"/>
      <c r="D267" s="221" t="s">
        <v>344</v>
      </c>
      <c r="E267" s="302">
        <f>'Copia de Electricidad'!D226*$E$616*$E$619</f>
        <v>1.5830063551527422E-3</v>
      </c>
      <c r="F267" s="302">
        <f>'Copia de Electricidad'!E226*$E$616*$E$619</f>
        <v>0</v>
      </c>
      <c r="G267" s="302">
        <f>'Copia de Electricidad'!F226*$E$616*$E$619</f>
        <v>0</v>
      </c>
      <c r="H267" s="302">
        <f>'Copia de Electricidad'!G226*$E$616*$E$619</f>
        <v>0</v>
      </c>
      <c r="I267" s="303"/>
      <c r="J267" s="618"/>
      <c r="K267" s="618"/>
      <c r="L267" s="618"/>
      <c r="M267" s="618"/>
      <c r="N267" s="618"/>
      <c r="O267" s="618"/>
      <c r="P267" s="618"/>
      <c r="Q267" s="618"/>
      <c r="R267" s="618"/>
      <c r="S267" s="618"/>
      <c r="T267" s="618"/>
      <c r="U267" s="618"/>
      <c r="V267" s="618"/>
      <c r="W267" s="618"/>
      <c r="X267" s="618"/>
      <c r="Y267" s="618"/>
      <c r="Z267" s="618"/>
      <c r="AA267" s="618"/>
      <c r="AB267" s="618"/>
      <c r="AC267" s="618"/>
      <c r="AD267" s="618"/>
      <c r="AE267" s="618"/>
      <c r="AF267" s="618"/>
      <c r="AG267" s="618"/>
      <c r="AH267" s="618"/>
      <c r="AI267" s="618"/>
      <c r="AJ267" s="618"/>
      <c r="AK267" s="618"/>
      <c r="AL267" s="618"/>
      <c r="AM267" s="3"/>
      <c r="AN267" s="3"/>
      <c r="AO267" s="3"/>
      <c r="AP267" s="3"/>
      <c r="AQ267" s="3"/>
      <c r="AR267" s="3"/>
      <c r="AS267" s="3"/>
      <c r="AT267" s="3"/>
      <c r="AU267" s="3"/>
      <c r="AV267" s="3"/>
      <c r="AW267" s="3"/>
      <c r="AX267" s="3"/>
      <c r="AY267" s="3"/>
      <c r="AZ267" s="3"/>
      <c r="BA267" s="3"/>
      <c r="BB267" s="3"/>
      <c r="BC267" s="3"/>
      <c r="BD267" s="3"/>
      <c r="BE267" s="3"/>
      <c r="BF267" s="3"/>
    </row>
    <row r="268" spans="1:58" ht="14.25" customHeight="1" x14ac:dyDescent="0.45">
      <c r="A268" s="618"/>
      <c r="B268" s="215"/>
      <c r="C268" s="220" t="s">
        <v>186</v>
      </c>
      <c r="D268" s="221" t="s">
        <v>345</v>
      </c>
      <c r="E268" s="299">
        <f>'Copia de Electricidad'!D227*$E$616*$E$619</f>
        <v>0.85036223205432315</v>
      </c>
      <c r="F268" s="299">
        <f>'Copia de Electricidad'!E227*$E$616*$E$619</f>
        <v>0.57359787560150388</v>
      </c>
      <c r="G268" s="299">
        <f>'Copia de Electricidad'!F227*$E$616*$E$619</f>
        <v>0.55806665693659674</v>
      </c>
      <c r="H268" s="299">
        <f>'Copia de Electricidad'!G227*$E$616*$E$619</f>
        <v>0.69003647994459161</v>
      </c>
      <c r="I268" s="301"/>
      <c r="J268" s="618"/>
      <c r="K268" s="618"/>
      <c r="L268" s="618"/>
      <c r="M268" s="618"/>
      <c r="N268" s="618"/>
      <c r="O268" s="618"/>
      <c r="P268" s="618"/>
      <c r="Q268" s="618"/>
      <c r="R268" s="618"/>
      <c r="S268" s="618"/>
      <c r="T268" s="618"/>
      <c r="U268" s="618"/>
      <c r="V268" s="618"/>
      <c r="W268" s="618"/>
      <c r="X268" s="618"/>
      <c r="Y268" s="618"/>
      <c r="Z268" s="618"/>
      <c r="AA268" s="618"/>
      <c r="AB268" s="618"/>
      <c r="AC268" s="618"/>
      <c r="AD268" s="618"/>
      <c r="AE268" s="618"/>
      <c r="AF268" s="618"/>
      <c r="AG268" s="618"/>
      <c r="AH268" s="618"/>
      <c r="AI268" s="618"/>
      <c r="AJ268" s="618"/>
      <c r="AK268" s="618"/>
      <c r="AL268" s="618"/>
      <c r="AM268" s="3"/>
      <c r="AN268" s="3"/>
      <c r="AO268" s="3"/>
      <c r="AP268" s="3"/>
      <c r="AQ268" s="3"/>
      <c r="AR268" s="3"/>
      <c r="AS268" s="3"/>
      <c r="AT268" s="3"/>
      <c r="AU268" s="3"/>
      <c r="AV268" s="3"/>
      <c r="AW268" s="3"/>
      <c r="AX268" s="3"/>
      <c r="AY268" s="3"/>
      <c r="AZ268" s="3"/>
      <c r="BA268" s="3"/>
      <c r="BB268" s="3"/>
      <c r="BC268" s="3"/>
      <c r="BD268" s="3"/>
      <c r="BE268" s="3"/>
      <c r="BF268" s="3"/>
    </row>
    <row r="269" spans="1:58" ht="14.25" customHeight="1" x14ac:dyDescent="0.45">
      <c r="A269" s="618"/>
      <c r="B269" s="215"/>
      <c r="C269" s="220"/>
      <c r="D269" s="228" t="s">
        <v>188</v>
      </c>
      <c r="E269" s="229">
        <f>SUM(E270:E271)</f>
        <v>3.6690123680391764</v>
      </c>
      <c r="F269" s="229">
        <f>SUM(F270:F271)</f>
        <v>3.197134921735806</v>
      </c>
      <c r="G269" s="229">
        <f>SUM(G270:G271)</f>
        <v>2.5477829624933923</v>
      </c>
      <c r="H269" s="229">
        <f>SUM(H270:H271)</f>
        <v>2.1389826903226283</v>
      </c>
      <c r="I269" s="297"/>
      <c r="J269" s="618"/>
      <c r="K269" s="618"/>
      <c r="L269" s="618"/>
      <c r="M269" s="618"/>
      <c r="N269" s="618"/>
      <c r="O269" s="618"/>
      <c r="P269" s="618"/>
      <c r="Q269" s="618"/>
      <c r="R269" s="618"/>
      <c r="S269" s="618"/>
      <c r="T269" s="618"/>
      <c r="U269" s="618"/>
      <c r="V269" s="618"/>
      <c r="W269" s="618"/>
      <c r="X269" s="618"/>
      <c r="Y269" s="618"/>
      <c r="Z269" s="618"/>
      <c r="AA269" s="618"/>
      <c r="AB269" s="618"/>
      <c r="AC269" s="618"/>
      <c r="AD269" s="618"/>
      <c r="AE269" s="618"/>
      <c r="AF269" s="618"/>
      <c r="AG269" s="618"/>
      <c r="AH269" s="618"/>
      <c r="AI269" s="618"/>
      <c r="AJ269" s="618"/>
      <c r="AK269" s="618"/>
      <c r="AL269" s="618"/>
      <c r="AM269" s="3"/>
      <c r="AN269" s="3"/>
      <c r="AO269" s="3"/>
      <c r="AP269" s="3"/>
      <c r="AQ269" s="3"/>
      <c r="AR269" s="3"/>
      <c r="AS269" s="3"/>
      <c r="AT269" s="3"/>
      <c r="AU269" s="3"/>
      <c r="AV269" s="3"/>
      <c r="AW269" s="3"/>
      <c r="AX269" s="3"/>
      <c r="AY269" s="3"/>
      <c r="AZ269" s="3"/>
      <c r="BA269" s="3"/>
      <c r="BB269" s="3"/>
      <c r="BC269" s="3"/>
      <c r="BD269" s="3"/>
      <c r="BE269" s="3"/>
      <c r="BF269" s="3"/>
    </row>
    <row r="270" spans="1:58" ht="14.25" customHeight="1" x14ac:dyDescent="0.45">
      <c r="A270" s="618"/>
      <c r="B270" s="215"/>
      <c r="C270" s="220" t="s">
        <v>189</v>
      </c>
      <c r="D270" s="243" t="s">
        <v>190</v>
      </c>
      <c r="E270" s="28">
        <f>'Copia de Electricidad'!D229*$E$616*$E$619</f>
        <v>0.43115275566005506</v>
      </c>
      <c r="F270" s="28">
        <f>'Copia de Electricidad'!E229*$E$616*$E$619</f>
        <v>0.2463369722966349</v>
      </c>
      <c r="G270" s="41">
        <f>'Copia de Electricidad'!F229*$E$616*$E$619</f>
        <v>8.2980216623659148E-2</v>
      </c>
      <c r="H270" s="41">
        <f>'Copia de Electricidad'!G229*$E$616*$E$619</f>
        <v>5.5827521251574572E-2</v>
      </c>
      <c r="I270" s="42"/>
      <c r="J270" s="618"/>
      <c r="K270" s="618"/>
      <c r="L270" s="618"/>
      <c r="M270" s="618"/>
      <c r="N270" s="618"/>
      <c r="O270" s="618"/>
      <c r="P270" s="618"/>
      <c r="Q270" s="618"/>
      <c r="R270" s="618"/>
      <c r="S270" s="618"/>
      <c r="T270" s="618"/>
      <c r="U270" s="618"/>
      <c r="V270" s="618"/>
      <c r="W270" s="618"/>
      <c r="X270" s="618"/>
      <c r="Y270" s="618"/>
      <c r="Z270" s="618"/>
      <c r="AA270" s="618"/>
      <c r="AB270" s="618"/>
      <c r="AC270" s="618"/>
      <c r="AD270" s="618"/>
      <c r="AE270" s="618"/>
      <c r="AF270" s="618"/>
      <c r="AG270" s="618"/>
      <c r="AH270" s="618"/>
      <c r="AI270" s="618"/>
      <c r="AJ270" s="618"/>
      <c r="AK270" s="618"/>
      <c r="AL270" s="618"/>
      <c r="AM270" s="3"/>
      <c r="AN270" s="3"/>
      <c r="AO270" s="3"/>
      <c r="AP270" s="3"/>
      <c r="AQ270" s="3"/>
      <c r="AR270" s="3"/>
      <c r="AS270" s="3"/>
      <c r="AT270" s="3"/>
      <c r="AU270" s="3"/>
      <c r="AV270" s="3"/>
      <c r="AW270" s="3"/>
      <c r="AX270" s="3"/>
      <c r="AY270" s="3"/>
      <c r="AZ270" s="3"/>
      <c r="BA270" s="3"/>
      <c r="BB270" s="3"/>
      <c r="BC270" s="3"/>
      <c r="BD270" s="3"/>
      <c r="BE270" s="3"/>
      <c r="BF270" s="3"/>
    </row>
    <row r="271" spans="1:58" ht="14.25" customHeight="1" x14ac:dyDescent="0.45">
      <c r="A271" s="618"/>
      <c r="B271" s="215"/>
      <c r="C271" s="220" t="s">
        <v>191</v>
      </c>
      <c r="D271" s="243" t="s">
        <v>346</v>
      </c>
      <c r="E271" s="28">
        <f>'Copia de Electricidad'!D230*$E$616*$E$619</f>
        <v>3.2378596123791215</v>
      </c>
      <c r="F271" s="28">
        <f>'Copia de Electricidad'!E230*$E$616*$E$619</f>
        <v>2.950797949439171</v>
      </c>
      <c r="G271" s="28">
        <f>'Copia de Electricidad'!F230*$E$616*$E$619</f>
        <v>2.4648027458697332</v>
      </c>
      <c r="H271" s="28">
        <f>'Copia de Electricidad'!G230*$E$616*$E$619</f>
        <v>2.0831551690710537</v>
      </c>
      <c r="I271" s="42"/>
      <c r="J271" s="618"/>
      <c r="K271" s="618"/>
      <c r="L271" s="618"/>
      <c r="M271" s="618"/>
      <c r="N271" s="618"/>
      <c r="O271" s="618"/>
      <c r="P271" s="618"/>
      <c r="Q271" s="618"/>
      <c r="R271" s="618"/>
      <c r="S271" s="618"/>
      <c r="T271" s="618"/>
      <c r="U271" s="618"/>
      <c r="V271" s="618"/>
      <c r="W271" s="618"/>
      <c r="X271" s="618"/>
      <c r="Y271" s="618"/>
      <c r="Z271" s="618"/>
      <c r="AA271" s="618"/>
      <c r="AB271" s="618"/>
      <c r="AC271" s="618"/>
      <c r="AD271" s="618"/>
      <c r="AE271" s="618"/>
      <c r="AF271" s="618"/>
      <c r="AG271" s="618"/>
      <c r="AH271" s="618"/>
      <c r="AI271" s="618"/>
      <c r="AJ271" s="618"/>
      <c r="AK271" s="618"/>
      <c r="AL271" s="618"/>
      <c r="AM271" s="3"/>
      <c r="AN271" s="3"/>
      <c r="AO271" s="3"/>
      <c r="AP271" s="3"/>
      <c r="AQ271" s="3"/>
      <c r="AR271" s="3"/>
      <c r="AS271" s="3"/>
      <c r="AT271" s="3"/>
      <c r="AU271" s="3"/>
      <c r="AV271" s="3"/>
      <c r="AW271" s="3"/>
      <c r="AX271" s="3"/>
      <c r="AY271" s="3"/>
      <c r="AZ271" s="3"/>
      <c r="BA271" s="3"/>
      <c r="BB271" s="3"/>
      <c r="BC271" s="3"/>
      <c r="BD271" s="3"/>
      <c r="BE271" s="3"/>
      <c r="BF271" s="3"/>
    </row>
    <row r="272" spans="1:58" ht="14.25" customHeight="1" x14ac:dyDescent="0.45">
      <c r="A272" s="618"/>
      <c r="B272" s="215"/>
      <c r="C272" s="220"/>
      <c r="D272" s="228" t="s">
        <v>193</v>
      </c>
      <c r="E272" s="229">
        <f>SUM(E273)</f>
        <v>6.1468496544752593</v>
      </c>
      <c r="F272" s="229">
        <f>SUM(F273)</f>
        <v>4.4407022964149139</v>
      </c>
      <c r="G272" s="229">
        <f>SUM(G273)</f>
        <v>3.3112366622901273</v>
      </c>
      <c r="H272" s="229">
        <f>SUM(H273)</f>
        <v>3.0330983111038492</v>
      </c>
      <c r="I272" s="297"/>
      <c r="J272" s="618"/>
      <c r="K272" s="618"/>
      <c r="L272" s="618"/>
      <c r="M272" s="618"/>
      <c r="N272" s="618"/>
      <c r="O272" s="618"/>
      <c r="P272" s="618"/>
      <c r="Q272" s="618"/>
      <c r="R272" s="618"/>
      <c r="S272" s="618"/>
      <c r="T272" s="618"/>
      <c r="U272" s="618"/>
      <c r="V272" s="618"/>
      <c r="W272" s="618"/>
      <c r="X272" s="618"/>
      <c r="Y272" s="618"/>
      <c r="Z272" s="618"/>
      <c r="AA272" s="618"/>
      <c r="AB272" s="618"/>
      <c r="AC272" s="618"/>
      <c r="AD272" s="618"/>
      <c r="AE272" s="618"/>
      <c r="AF272" s="618"/>
      <c r="AG272" s="618"/>
      <c r="AH272" s="618"/>
      <c r="AI272" s="618"/>
      <c r="AJ272" s="618"/>
      <c r="AK272" s="618"/>
      <c r="AL272" s="618"/>
      <c r="AM272" s="3"/>
      <c r="AN272" s="3"/>
      <c r="AO272" s="3"/>
      <c r="AP272" s="3"/>
      <c r="AQ272" s="3"/>
      <c r="AR272" s="3"/>
      <c r="AS272" s="3"/>
      <c r="AT272" s="3"/>
      <c r="AU272" s="3"/>
      <c r="AV272" s="3"/>
      <c r="AW272" s="3"/>
      <c r="AX272" s="3"/>
      <c r="AY272" s="3"/>
      <c r="AZ272" s="3"/>
      <c r="BA272" s="3"/>
      <c r="BB272" s="3"/>
      <c r="BC272" s="3"/>
      <c r="BD272" s="3"/>
      <c r="BE272" s="3"/>
      <c r="BF272" s="3"/>
    </row>
    <row r="273" spans="1:58" ht="14.25" customHeight="1" x14ac:dyDescent="0.45">
      <c r="A273" s="618"/>
      <c r="B273" s="215"/>
      <c r="C273" s="220" t="s">
        <v>194</v>
      </c>
      <c r="D273" s="243" t="s">
        <v>195</v>
      </c>
      <c r="E273" s="28">
        <f>'Copia de Electricidad'!D232*$E$616*$E$619</f>
        <v>6.1468496544752593</v>
      </c>
      <c r="F273" s="28">
        <f>'Copia de Electricidad'!E232*$E$616*$E$619</f>
        <v>4.4407022964149139</v>
      </c>
      <c r="G273" s="28">
        <f>'Copia de Electricidad'!F232*$E$616*$E$619</f>
        <v>3.3112366622901273</v>
      </c>
      <c r="H273" s="28">
        <f>'Copia de Electricidad'!G232*$E$616*$E$619</f>
        <v>3.0330983111038492</v>
      </c>
      <c r="I273" s="42"/>
      <c r="J273" s="618"/>
      <c r="K273" s="618"/>
      <c r="L273" s="618"/>
      <c r="M273" s="618"/>
      <c r="N273" s="618"/>
      <c r="O273" s="618"/>
      <c r="P273" s="618"/>
      <c r="Q273" s="618"/>
      <c r="R273" s="618"/>
      <c r="S273" s="618"/>
      <c r="T273" s="618"/>
      <c r="U273" s="618"/>
      <c r="V273" s="618"/>
      <c r="W273" s="618"/>
      <c r="X273" s="618"/>
      <c r="Y273" s="618"/>
      <c r="Z273" s="618"/>
      <c r="AA273" s="618"/>
      <c r="AB273" s="618"/>
      <c r="AC273" s="618"/>
      <c r="AD273" s="618"/>
      <c r="AE273" s="618"/>
      <c r="AF273" s="618"/>
      <c r="AG273" s="618"/>
      <c r="AH273" s="618"/>
      <c r="AI273" s="618"/>
      <c r="AJ273" s="618"/>
      <c r="AK273" s="618"/>
      <c r="AL273" s="618"/>
      <c r="AM273" s="3"/>
      <c r="AN273" s="3"/>
      <c r="AO273" s="3"/>
      <c r="AP273" s="3"/>
      <c r="AQ273" s="3"/>
      <c r="AR273" s="3"/>
      <c r="AS273" s="3"/>
      <c r="AT273" s="3"/>
      <c r="AU273" s="3"/>
      <c r="AV273" s="3"/>
      <c r="AW273" s="3"/>
      <c r="AX273" s="3"/>
      <c r="AY273" s="3"/>
      <c r="AZ273" s="3"/>
      <c r="BA273" s="3"/>
      <c r="BB273" s="3"/>
      <c r="BC273" s="3"/>
      <c r="BD273" s="3"/>
      <c r="BE273" s="3"/>
      <c r="BF273" s="3"/>
    </row>
    <row r="274" spans="1:58" ht="14.25" customHeight="1" x14ac:dyDescent="0.45">
      <c r="A274" s="618"/>
      <c r="B274" s="215"/>
      <c r="C274" s="220"/>
      <c r="D274" s="224" t="s">
        <v>347</v>
      </c>
      <c r="E274" s="295">
        <f>SUM(E276)</f>
        <v>0.16380518034114624</v>
      </c>
      <c r="F274" s="295">
        <f>SUM(F276)</f>
        <v>0.1480830490411065</v>
      </c>
      <c r="G274" s="295">
        <f>SUM(G276)</f>
        <v>0.15826465809811166</v>
      </c>
      <c r="H274" s="295">
        <f>SUM(H276)</f>
        <v>0.15157285850587507</v>
      </c>
      <c r="I274" s="296"/>
      <c r="J274" s="618"/>
      <c r="K274" s="618"/>
      <c r="L274" s="618"/>
      <c r="M274" s="618"/>
      <c r="N274" s="618"/>
      <c r="O274" s="618"/>
      <c r="P274" s="618"/>
      <c r="Q274" s="618"/>
      <c r="R274" s="618"/>
      <c r="S274" s="618"/>
      <c r="T274" s="618"/>
      <c r="U274" s="618"/>
      <c r="V274" s="618"/>
      <c r="W274" s="618"/>
      <c r="X274" s="618"/>
      <c r="Y274" s="618"/>
      <c r="Z274" s="618"/>
      <c r="AA274" s="618"/>
      <c r="AB274" s="618"/>
      <c r="AC274" s="618"/>
      <c r="AD274" s="618"/>
      <c r="AE274" s="618"/>
      <c r="AF274" s="618"/>
      <c r="AG274" s="618"/>
      <c r="AH274" s="618"/>
      <c r="AI274" s="618"/>
      <c r="AJ274" s="618"/>
      <c r="AK274" s="618"/>
      <c r="AL274" s="618"/>
      <c r="AM274" s="3"/>
      <c r="AN274" s="3"/>
      <c r="AO274" s="3"/>
      <c r="AP274" s="3"/>
      <c r="AQ274" s="3"/>
      <c r="AR274" s="3"/>
      <c r="AS274" s="3"/>
      <c r="AT274" s="3"/>
      <c r="AU274" s="3"/>
      <c r="AV274" s="3"/>
      <c r="AW274" s="3"/>
      <c r="AX274" s="3"/>
      <c r="AY274" s="3"/>
      <c r="AZ274" s="3"/>
      <c r="BA274" s="3"/>
      <c r="BB274" s="3"/>
      <c r="BC274" s="3"/>
      <c r="BD274" s="3"/>
      <c r="BE274" s="3"/>
      <c r="BF274" s="3"/>
    </row>
    <row r="275" spans="1:58" ht="14.25" customHeight="1" x14ac:dyDescent="0.45">
      <c r="A275" s="618"/>
      <c r="B275" s="215"/>
      <c r="C275" s="220"/>
      <c r="D275" s="228" t="s">
        <v>197</v>
      </c>
      <c r="E275" s="229"/>
      <c r="F275" s="229"/>
      <c r="G275" s="229"/>
      <c r="H275" s="229"/>
      <c r="I275" s="297"/>
      <c r="J275" s="618"/>
      <c r="K275" s="618"/>
      <c r="L275" s="618"/>
      <c r="M275" s="618"/>
      <c r="N275" s="618"/>
      <c r="O275" s="618"/>
      <c r="P275" s="618"/>
      <c r="Q275" s="618"/>
      <c r="R275" s="618"/>
      <c r="S275" s="618"/>
      <c r="T275" s="618"/>
      <c r="U275" s="618"/>
      <c r="V275" s="618"/>
      <c r="W275" s="618"/>
      <c r="X275" s="618"/>
      <c r="Y275" s="618"/>
      <c r="Z275" s="618"/>
      <c r="AA275" s="618"/>
      <c r="AB275" s="618"/>
      <c r="AC275" s="618"/>
      <c r="AD275" s="618"/>
      <c r="AE275" s="618"/>
      <c r="AF275" s="618"/>
      <c r="AG275" s="618"/>
      <c r="AH275" s="618"/>
      <c r="AI275" s="618"/>
      <c r="AJ275" s="618"/>
      <c r="AK275" s="618"/>
      <c r="AL275" s="618"/>
      <c r="AM275" s="3"/>
      <c r="AN275" s="3"/>
      <c r="AO275" s="3"/>
      <c r="AP275" s="3"/>
      <c r="AQ275" s="3"/>
      <c r="AR275" s="3"/>
      <c r="AS275" s="3"/>
      <c r="AT275" s="3"/>
      <c r="AU275" s="3"/>
      <c r="AV275" s="3"/>
      <c r="AW275" s="3"/>
      <c r="AX275" s="3"/>
      <c r="AY275" s="3"/>
      <c r="AZ275" s="3"/>
      <c r="BA275" s="3"/>
      <c r="BB275" s="3"/>
      <c r="BC275" s="3"/>
      <c r="BD275" s="3"/>
      <c r="BE275" s="3"/>
      <c r="BF275" s="3"/>
    </row>
    <row r="276" spans="1:58" ht="14.25" customHeight="1" x14ac:dyDescent="0.45">
      <c r="A276" s="618"/>
      <c r="B276" s="215"/>
      <c r="C276" s="220" t="s">
        <v>198</v>
      </c>
      <c r="D276" s="243" t="s">
        <v>196</v>
      </c>
      <c r="E276" s="232">
        <f>'Copia de Electricidad'!D235*$E$616*$E$619</f>
        <v>0.16380518034114624</v>
      </c>
      <c r="F276" s="232">
        <f>'Copia de Electricidad'!E235*$E$616*$E$619</f>
        <v>0.1480830490411065</v>
      </c>
      <c r="G276" s="232">
        <f>'Copia de Electricidad'!F235*$E$616*$E$619</f>
        <v>0.15826465809811166</v>
      </c>
      <c r="H276" s="232">
        <f>'Copia de Electricidad'!G235*$E$616*$E$619</f>
        <v>0.15157285850587507</v>
      </c>
      <c r="I276" s="280"/>
      <c r="J276" s="618"/>
      <c r="K276" s="618"/>
      <c r="L276" s="618"/>
      <c r="M276" s="618"/>
      <c r="N276" s="618"/>
      <c r="O276" s="618"/>
      <c r="P276" s="618"/>
      <c r="Q276" s="618"/>
      <c r="R276" s="618"/>
      <c r="S276" s="618"/>
      <c r="T276" s="618"/>
      <c r="U276" s="618"/>
      <c r="V276" s="618"/>
      <c r="W276" s="618"/>
      <c r="X276" s="618"/>
      <c r="Y276" s="618"/>
      <c r="Z276" s="618"/>
      <c r="AA276" s="618"/>
      <c r="AB276" s="618"/>
      <c r="AC276" s="618"/>
      <c r="AD276" s="618"/>
      <c r="AE276" s="618"/>
      <c r="AF276" s="618"/>
      <c r="AG276" s="618"/>
      <c r="AH276" s="618"/>
      <c r="AI276" s="618"/>
      <c r="AJ276" s="618"/>
      <c r="AK276" s="618"/>
      <c r="AL276" s="618"/>
      <c r="AM276" s="3"/>
      <c r="AN276" s="3"/>
      <c r="AO276" s="3"/>
      <c r="AP276" s="3"/>
      <c r="AQ276" s="3"/>
      <c r="AR276" s="3"/>
      <c r="AS276" s="3"/>
      <c r="AT276" s="3"/>
      <c r="AU276" s="3"/>
      <c r="AV276" s="3"/>
      <c r="AW276" s="3"/>
      <c r="AX276" s="3"/>
      <c r="AY276" s="3"/>
      <c r="AZ276" s="3"/>
      <c r="BA276" s="3"/>
      <c r="BB276" s="3"/>
      <c r="BC276" s="3"/>
      <c r="BD276" s="3"/>
      <c r="BE276" s="3"/>
      <c r="BF276" s="3"/>
    </row>
    <row r="277" spans="1:58" ht="14.25" customHeight="1" x14ac:dyDescent="0.45">
      <c r="A277" s="618"/>
      <c r="B277" s="215"/>
      <c r="C277" s="220"/>
      <c r="D277" s="234" t="s">
        <v>348</v>
      </c>
      <c r="E277" s="218"/>
      <c r="F277" s="218"/>
      <c r="G277" s="218"/>
      <c r="H277" s="218"/>
      <c r="I277" s="235"/>
      <c r="J277" s="618"/>
      <c r="K277" s="618"/>
      <c r="L277" s="618"/>
      <c r="M277" s="618"/>
      <c r="N277" s="618"/>
      <c r="O277" s="618"/>
      <c r="P277" s="618"/>
      <c r="Q277" s="618"/>
      <c r="R277" s="618"/>
      <c r="S277" s="618"/>
      <c r="T277" s="618"/>
      <c r="U277" s="618"/>
      <c r="V277" s="618"/>
      <c r="W277" s="618"/>
      <c r="X277" s="618"/>
      <c r="Y277" s="618"/>
      <c r="Z277" s="618"/>
      <c r="AA277" s="618"/>
      <c r="AB277" s="618"/>
      <c r="AC277" s="618"/>
      <c r="AD277" s="618"/>
      <c r="AE277" s="618"/>
      <c r="AF277" s="618"/>
      <c r="AG277" s="618"/>
      <c r="AH277" s="618"/>
      <c r="AI277" s="618"/>
      <c r="AJ277" s="618"/>
      <c r="AK277" s="618"/>
      <c r="AL277" s="618"/>
      <c r="AM277" s="3"/>
      <c r="AN277" s="3"/>
      <c r="AO277" s="3"/>
      <c r="AP277" s="3"/>
      <c r="AQ277" s="3"/>
      <c r="AR277" s="3"/>
      <c r="AS277" s="3"/>
      <c r="AT277" s="3"/>
      <c r="AU277" s="3"/>
      <c r="AV277" s="3"/>
      <c r="AW277" s="3"/>
      <c r="AX277" s="3"/>
      <c r="AY277" s="3"/>
      <c r="AZ277" s="3"/>
      <c r="BA277" s="3"/>
      <c r="BB277" s="3"/>
      <c r="BC277" s="3"/>
      <c r="BD277" s="3"/>
      <c r="BE277" s="3"/>
      <c r="BF277" s="3"/>
    </row>
    <row r="278" spans="1:58" ht="14.25" customHeight="1" x14ac:dyDescent="0.45">
      <c r="A278" s="618"/>
      <c r="B278" s="215"/>
      <c r="C278" s="220" t="s">
        <v>200</v>
      </c>
      <c r="D278" s="304" t="s">
        <v>201</v>
      </c>
      <c r="E278" s="232">
        <f>'Copia de Electricidad'!D237*$E$616*$E$619</f>
        <v>0.37542434809133779</v>
      </c>
      <c r="F278" s="232">
        <f>'Copia de Electricidad'!E237*$E$616*$E$619</f>
        <v>0.54153208313088808</v>
      </c>
      <c r="G278" s="232">
        <f>'Copia de Electricidad'!F237*$E$616*$E$619</f>
        <v>0.51336176549260171</v>
      </c>
      <c r="H278" s="232">
        <f>'Copia de Electricidad'!G237*$E$616*$E$619</f>
        <v>0.54099696438214062</v>
      </c>
      <c r="I278" s="280"/>
      <c r="J278" s="618"/>
      <c r="K278" s="618"/>
      <c r="L278" s="618"/>
      <c r="M278" s="618"/>
      <c r="N278" s="618"/>
      <c r="O278" s="618"/>
      <c r="P278" s="618"/>
      <c r="Q278" s="618"/>
      <c r="R278" s="618"/>
      <c r="S278" s="618"/>
      <c r="T278" s="618"/>
      <c r="U278" s="618"/>
      <c r="V278" s="618"/>
      <c r="W278" s="618"/>
      <c r="X278" s="618"/>
      <c r="Y278" s="618"/>
      <c r="Z278" s="618"/>
      <c r="AA278" s="618"/>
      <c r="AB278" s="618"/>
      <c r="AC278" s="618"/>
      <c r="AD278" s="618"/>
      <c r="AE278" s="618"/>
      <c r="AF278" s="618"/>
      <c r="AG278" s="618"/>
      <c r="AH278" s="618"/>
      <c r="AI278" s="618"/>
      <c r="AJ278" s="618"/>
      <c r="AK278" s="618"/>
      <c r="AL278" s="618"/>
      <c r="AM278" s="3"/>
      <c r="AN278" s="3"/>
      <c r="AO278" s="3"/>
      <c r="AP278" s="3"/>
      <c r="AQ278" s="3"/>
      <c r="AR278" s="3"/>
      <c r="AS278" s="3"/>
      <c r="AT278" s="3"/>
      <c r="AU278" s="3"/>
      <c r="AV278" s="3"/>
      <c r="AW278" s="3"/>
      <c r="AX278" s="3"/>
      <c r="AY278" s="3"/>
      <c r="AZ278" s="3"/>
      <c r="BA278" s="3"/>
      <c r="BB278" s="3"/>
      <c r="BC278" s="3"/>
      <c r="BD278" s="3"/>
      <c r="BE278" s="3"/>
      <c r="BF278" s="3"/>
    </row>
    <row r="279" spans="1:58" ht="14.25" customHeight="1" x14ac:dyDescent="0.45">
      <c r="A279" s="618"/>
      <c r="B279" s="215"/>
      <c r="C279" s="220" t="s">
        <v>202</v>
      </c>
      <c r="D279" s="304" t="s">
        <v>203</v>
      </c>
      <c r="E279" s="232">
        <f>'Copia de Electricidad'!D238*$E$616*$E$619</f>
        <v>3.1947226892012086</v>
      </c>
      <c r="F279" s="232">
        <f>'Copia de Electricidad'!E238*$E$616*$E$619</f>
        <v>4.2458389090226296</v>
      </c>
      <c r="G279" s="232">
        <f>'Copia de Electricidad'!F238*$E$616*$E$619</f>
        <v>3.1616234654116511</v>
      </c>
      <c r="H279" s="232">
        <f>'Copia de Electricidad'!G238*$E$616*$E$619</f>
        <v>3.8376175418082394</v>
      </c>
      <c r="I279" s="280"/>
      <c r="J279" s="618"/>
      <c r="K279" s="618"/>
      <c r="L279" s="618"/>
      <c r="M279" s="618"/>
      <c r="N279" s="618"/>
      <c r="O279" s="618"/>
      <c r="P279" s="618"/>
      <c r="Q279" s="618"/>
      <c r="R279" s="618"/>
      <c r="S279" s="618"/>
      <c r="T279" s="618"/>
      <c r="U279" s="618"/>
      <c r="V279" s="618"/>
      <c r="W279" s="618"/>
      <c r="X279" s="618"/>
      <c r="Y279" s="618"/>
      <c r="Z279" s="618"/>
      <c r="AA279" s="618"/>
      <c r="AB279" s="618"/>
      <c r="AC279" s="618"/>
      <c r="AD279" s="618"/>
      <c r="AE279" s="618"/>
      <c r="AF279" s="618"/>
      <c r="AG279" s="618"/>
      <c r="AH279" s="618"/>
      <c r="AI279" s="618"/>
      <c r="AJ279" s="618"/>
      <c r="AK279" s="618"/>
      <c r="AL279" s="618"/>
      <c r="AM279" s="3"/>
      <c r="AN279" s="3"/>
      <c r="AO279" s="3"/>
      <c r="AP279" s="3"/>
      <c r="AQ279" s="3"/>
      <c r="AR279" s="3"/>
      <c r="AS279" s="3"/>
      <c r="AT279" s="3"/>
      <c r="AU279" s="3"/>
      <c r="AV279" s="3"/>
      <c r="AW279" s="3"/>
      <c r="AX279" s="3"/>
      <c r="AY279" s="3"/>
      <c r="AZ279" s="3"/>
      <c r="BA279" s="3"/>
      <c r="BB279" s="3"/>
      <c r="BC279" s="3"/>
      <c r="BD279" s="3"/>
      <c r="BE279" s="3"/>
      <c r="BF279" s="3"/>
    </row>
    <row r="280" spans="1:58" ht="14.25" customHeight="1" x14ac:dyDescent="0.45">
      <c r="A280" s="618"/>
      <c r="B280" s="215"/>
      <c r="C280" s="220" t="s">
        <v>204</v>
      </c>
      <c r="D280" s="304" t="s">
        <v>205</v>
      </c>
      <c r="E280" s="232"/>
      <c r="F280" s="232"/>
      <c r="G280" s="232"/>
      <c r="H280" s="232"/>
      <c r="I280" s="235"/>
      <c r="J280" s="618"/>
      <c r="K280" s="618"/>
      <c r="L280" s="618"/>
      <c r="M280" s="618"/>
      <c r="N280" s="618"/>
      <c r="O280" s="618"/>
      <c r="P280" s="618"/>
      <c r="Q280" s="618"/>
      <c r="R280" s="618"/>
      <c r="S280" s="618"/>
      <c r="T280" s="618"/>
      <c r="U280" s="618"/>
      <c r="V280" s="618"/>
      <c r="W280" s="618"/>
      <c r="X280" s="618"/>
      <c r="Y280" s="618"/>
      <c r="Z280" s="618"/>
      <c r="AA280" s="618"/>
      <c r="AB280" s="618"/>
      <c r="AC280" s="618"/>
      <c r="AD280" s="618"/>
      <c r="AE280" s="618"/>
      <c r="AF280" s="618"/>
      <c r="AG280" s="618"/>
      <c r="AH280" s="618"/>
      <c r="AI280" s="618"/>
      <c r="AJ280" s="618"/>
      <c r="AK280" s="618"/>
      <c r="AL280" s="618"/>
      <c r="AM280" s="3"/>
      <c r="AN280" s="3"/>
      <c r="AO280" s="3"/>
      <c r="AP280" s="3"/>
      <c r="AQ280" s="3"/>
      <c r="AR280" s="3"/>
      <c r="AS280" s="3"/>
      <c r="AT280" s="3"/>
      <c r="AU280" s="3"/>
      <c r="AV280" s="3"/>
      <c r="AW280" s="3"/>
      <c r="AX280" s="3"/>
      <c r="AY280" s="3"/>
      <c r="AZ280" s="3"/>
      <c r="BA280" s="3"/>
      <c r="BB280" s="3"/>
      <c r="BC280" s="3"/>
      <c r="BD280" s="3"/>
      <c r="BE280" s="3"/>
      <c r="BF280" s="3"/>
    </row>
    <row r="281" spans="1:58" ht="14.25" customHeight="1" x14ac:dyDescent="0.45">
      <c r="A281" s="618"/>
      <c r="B281" s="215"/>
      <c r="C281" s="220" t="s">
        <v>206</v>
      </c>
      <c r="D281" s="304" t="s">
        <v>207</v>
      </c>
      <c r="E281" s="232"/>
      <c r="F281" s="232"/>
      <c r="G281" s="232"/>
      <c r="H281" s="232"/>
      <c r="I281" s="235"/>
      <c r="J281" s="618"/>
      <c r="K281" s="618"/>
      <c r="L281" s="618"/>
      <c r="M281" s="618"/>
      <c r="N281" s="618"/>
      <c r="O281" s="618"/>
      <c r="P281" s="618"/>
      <c r="Q281" s="618"/>
      <c r="R281" s="618"/>
      <c r="S281" s="618"/>
      <c r="T281" s="618"/>
      <c r="U281" s="618"/>
      <c r="V281" s="618"/>
      <c r="W281" s="618"/>
      <c r="X281" s="618"/>
      <c r="Y281" s="618"/>
      <c r="Z281" s="618"/>
      <c r="AA281" s="618"/>
      <c r="AB281" s="618"/>
      <c r="AC281" s="618"/>
      <c r="AD281" s="618"/>
      <c r="AE281" s="618"/>
      <c r="AF281" s="618"/>
      <c r="AG281" s="618"/>
      <c r="AH281" s="618"/>
      <c r="AI281" s="618"/>
      <c r="AJ281" s="618"/>
      <c r="AK281" s="618"/>
      <c r="AL281" s="618"/>
      <c r="AM281" s="3"/>
      <c r="AN281" s="3"/>
      <c r="AO281" s="3"/>
      <c r="AP281" s="3"/>
      <c r="AQ281" s="3"/>
      <c r="AR281" s="3"/>
      <c r="AS281" s="3"/>
      <c r="AT281" s="3"/>
      <c r="AU281" s="3"/>
      <c r="AV281" s="3"/>
      <c r="AW281" s="3"/>
      <c r="AX281" s="3"/>
      <c r="AY281" s="3"/>
      <c r="AZ281" s="3"/>
      <c r="BA281" s="3"/>
      <c r="BB281" s="3"/>
      <c r="BC281" s="3"/>
      <c r="BD281" s="3"/>
      <c r="BE281" s="3"/>
      <c r="BF281" s="3"/>
    </row>
    <row r="282" spans="1:58" ht="14.25" customHeight="1" x14ac:dyDescent="0.45">
      <c r="A282" s="618"/>
      <c r="B282" s="215"/>
      <c r="C282" s="220" t="s">
        <v>208</v>
      </c>
      <c r="D282" s="304" t="s">
        <v>209</v>
      </c>
      <c r="E282" s="232">
        <f>'Copia de Electricidad'!D241*$E$616*$E$619</f>
        <v>6.524720466933652</v>
      </c>
      <c r="F282" s="232">
        <f>'Copia de Electricidad'!E241*$E$616*$E$619</f>
        <v>7.2397564350668668</v>
      </c>
      <c r="G282" s="232">
        <f>'Copia de Electricidad'!F241*$E$616*$E$619</f>
        <v>6.6742268083107694</v>
      </c>
      <c r="H282" s="232">
        <f>'Copia de Electricidad'!G241*$E$616*$E$619</f>
        <v>7.1979511673869325</v>
      </c>
      <c r="I282" s="280"/>
      <c r="J282" s="618"/>
      <c r="K282" s="618"/>
      <c r="L282" s="618"/>
      <c r="M282" s="618"/>
      <c r="N282" s="618"/>
      <c r="O282" s="618"/>
      <c r="P282" s="618"/>
      <c r="Q282" s="618"/>
      <c r="R282" s="618"/>
      <c r="S282" s="618"/>
      <c r="T282" s="618"/>
      <c r="U282" s="618"/>
      <c r="V282" s="618"/>
      <c r="W282" s="618"/>
      <c r="X282" s="618"/>
      <c r="Y282" s="618"/>
      <c r="Z282" s="618"/>
      <c r="AA282" s="618"/>
      <c r="AB282" s="618"/>
      <c r="AC282" s="618"/>
      <c r="AD282" s="618"/>
      <c r="AE282" s="618"/>
      <c r="AF282" s="618"/>
      <c r="AG282" s="618"/>
      <c r="AH282" s="618"/>
      <c r="AI282" s="618"/>
      <c r="AJ282" s="618"/>
      <c r="AK282" s="618"/>
      <c r="AL282" s="618"/>
      <c r="AM282" s="3"/>
      <c r="AN282" s="3"/>
      <c r="AO282" s="3"/>
      <c r="AP282" s="3"/>
      <c r="AQ282" s="3"/>
      <c r="AR282" s="3"/>
      <c r="AS282" s="3"/>
      <c r="AT282" s="3"/>
      <c r="AU282" s="3"/>
      <c r="AV282" s="3"/>
      <c r="AW282" s="3"/>
      <c r="AX282" s="3"/>
      <c r="AY282" s="3"/>
      <c r="AZ282" s="3"/>
      <c r="BA282" s="3"/>
      <c r="BB282" s="3"/>
      <c r="BC282" s="3"/>
      <c r="BD282" s="3"/>
      <c r="BE282" s="3"/>
      <c r="BF282" s="3"/>
    </row>
    <row r="283" spans="1:58" ht="14.25" customHeight="1" x14ac:dyDescent="0.45">
      <c r="A283" s="618"/>
      <c r="B283" s="215"/>
      <c r="C283" s="220" t="s">
        <v>210</v>
      </c>
      <c r="D283" s="304" t="s">
        <v>211</v>
      </c>
      <c r="E283" s="232">
        <f>'Copia de Electricidad'!D242*$E$616*$E$619</f>
        <v>17.642785715263123</v>
      </c>
      <c r="F283" s="232">
        <f>'Copia de Electricidad'!E242*$E$616*$E$619</f>
        <v>20.178814055611628</v>
      </c>
      <c r="G283" s="232">
        <f>'Copia de Electricidad'!F242*$E$616*$E$619</f>
        <v>18.703974454867119</v>
      </c>
      <c r="H283" s="232">
        <f>'Copia de Electricidad'!G242*$E$616*$E$619</f>
        <v>19.742867073347465</v>
      </c>
      <c r="I283" s="280"/>
      <c r="J283" s="618"/>
      <c r="K283" s="618"/>
      <c r="L283" s="618"/>
      <c r="M283" s="618"/>
      <c r="N283" s="618"/>
      <c r="O283" s="618"/>
      <c r="P283" s="618"/>
      <c r="Q283" s="618"/>
      <c r="R283" s="618"/>
      <c r="S283" s="618"/>
      <c r="T283" s="618"/>
      <c r="U283" s="618"/>
      <c r="V283" s="618"/>
      <c r="W283" s="618"/>
      <c r="X283" s="618"/>
      <c r="Y283" s="618"/>
      <c r="Z283" s="618"/>
      <c r="AA283" s="618"/>
      <c r="AB283" s="618"/>
      <c r="AC283" s="618"/>
      <c r="AD283" s="618"/>
      <c r="AE283" s="618"/>
      <c r="AF283" s="618"/>
      <c r="AG283" s="618"/>
      <c r="AH283" s="618"/>
      <c r="AI283" s="618"/>
      <c r="AJ283" s="618"/>
      <c r="AK283" s="618"/>
      <c r="AL283" s="618"/>
      <c r="AM283" s="3"/>
      <c r="AN283" s="3"/>
      <c r="AO283" s="3"/>
      <c r="AP283" s="3"/>
      <c r="AQ283" s="3"/>
      <c r="AR283" s="3"/>
      <c r="AS283" s="3"/>
      <c r="AT283" s="3"/>
      <c r="AU283" s="3"/>
      <c r="AV283" s="3"/>
      <c r="AW283" s="3"/>
      <c r="AX283" s="3"/>
      <c r="AY283" s="3"/>
      <c r="AZ283" s="3"/>
      <c r="BA283" s="3"/>
      <c r="BB283" s="3"/>
      <c r="BC283" s="3"/>
      <c r="BD283" s="3"/>
      <c r="BE283" s="3"/>
      <c r="BF283" s="3"/>
    </row>
    <row r="284" spans="1:58" ht="14.25" customHeight="1" x14ac:dyDescent="0.45">
      <c r="A284" s="618"/>
      <c r="B284" s="215"/>
      <c r="C284" s="220"/>
      <c r="D284" s="234" t="s">
        <v>349</v>
      </c>
      <c r="E284" s="232"/>
      <c r="F284" s="232"/>
      <c r="G284" s="232"/>
      <c r="H284" s="232"/>
      <c r="I284" s="235"/>
      <c r="J284" s="618"/>
      <c r="K284" s="618"/>
      <c r="L284" s="618"/>
      <c r="M284" s="618"/>
      <c r="N284" s="618"/>
      <c r="O284" s="618"/>
      <c r="P284" s="618"/>
      <c r="Q284" s="618"/>
      <c r="R284" s="618"/>
      <c r="S284" s="618"/>
      <c r="T284" s="618"/>
      <c r="U284" s="618"/>
      <c r="V284" s="618"/>
      <c r="W284" s="618"/>
      <c r="X284" s="618"/>
      <c r="Y284" s="618"/>
      <c r="Z284" s="618"/>
      <c r="AA284" s="618"/>
      <c r="AB284" s="618"/>
      <c r="AC284" s="618"/>
      <c r="AD284" s="618"/>
      <c r="AE284" s="618"/>
      <c r="AF284" s="618"/>
      <c r="AG284" s="618"/>
      <c r="AH284" s="618"/>
      <c r="AI284" s="618"/>
      <c r="AJ284" s="618"/>
      <c r="AK284" s="618"/>
      <c r="AL284" s="618"/>
      <c r="AM284" s="3"/>
      <c r="AN284" s="3"/>
      <c r="AO284" s="3"/>
      <c r="AP284" s="3"/>
      <c r="AQ284" s="3"/>
      <c r="AR284" s="3"/>
      <c r="AS284" s="3"/>
      <c r="AT284" s="3"/>
      <c r="AU284" s="3"/>
      <c r="AV284" s="3"/>
      <c r="AW284" s="3"/>
      <c r="AX284" s="3"/>
      <c r="AY284" s="3"/>
      <c r="AZ284" s="3"/>
      <c r="BA284" s="3"/>
      <c r="BB284" s="3"/>
      <c r="BC284" s="3"/>
      <c r="BD284" s="3"/>
      <c r="BE284" s="3"/>
      <c r="BF284" s="3"/>
    </row>
    <row r="285" spans="1:58" ht="14.25" customHeight="1" x14ac:dyDescent="0.45">
      <c r="A285" s="618"/>
      <c r="B285" s="215"/>
      <c r="C285" s="220" t="s">
        <v>213</v>
      </c>
      <c r="D285" s="304" t="s">
        <v>201</v>
      </c>
      <c r="E285" s="232">
        <f>'Copia de Electricidad'!D244*$E$616*$E$619</f>
        <v>0.9713178408484342</v>
      </c>
      <c r="F285" s="232">
        <f>'Copia de Electricidad'!E244*$E$616*$E$619</f>
        <v>0.97648875999740659</v>
      </c>
      <c r="G285" s="232">
        <f>'Copia de Electricidad'!F244*$E$616*$E$619</f>
        <v>1.0890751083914971</v>
      </c>
      <c r="H285" s="232">
        <f>'Copia de Electricidad'!G244*$E$616*$E$619</f>
        <v>1.3443982771533969</v>
      </c>
      <c r="I285" s="280"/>
      <c r="J285" s="618"/>
      <c r="K285" s="618"/>
      <c r="L285" s="618"/>
      <c r="M285" s="618"/>
      <c r="N285" s="618"/>
      <c r="O285" s="618"/>
      <c r="P285" s="618"/>
      <c r="Q285" s="618"/>
      <c r="R285" s="618"/>
      <c r="S285" s="618"/>
      <c r="T285" s="618"/>
      <c r="U285" s="618"/>
      <c r="V285" s="618"/>
      <c r="W285" s="618"/>
      <c r="X285" s="618"/>
      <c r="Y285" s="618"/>
      <c r="Z285" s="618"/>
      <c r="AA285" s="618"/>
      <c r="AB285" s="618"/>
      <c r="AC285" s="618"/>
      <c r="AD285" s="618"/>
      <c r="AE285" s="618"/>
      <c r="AF285" s="618"/>
      <c r="AG285" s="618"/>
      <c r="AH285" s="618"/>
      <c r="AI285" s="618"/>
      <c r="AJ285" s="618"/>
      <c r="AK285" s="618"/>
      <c r="AL285" s="618"/>
      <c r="AM285" s="3"/>
      <c r="AN285" s="3"/>
      <c r="AO285" s="3"/>
      <c r="AP285" s="3"/>
      <c r="AQ285" s="3"/>
      <c r="AR285" s="3"/>
      <c r="AS285" s="3"/>
      <c r="AT285" s="3"/>
      <c r="AU285" s="3"/>
      <c r="AV285" s="3"/>
      <c r="AW285" s="3"/>
      <c r="AX285" s="3"/>
      <c r="AY285" s="3"/>
      <c r="AZ285" s="3"/>
      <c r="BA285" s="3"/>
      <c r="BB285" s="3"/>
      <c r="BC285" s="3"/>
      <c r="BD285" s="3"/>
      <c r="BE285" s="3"/>
      <c r="BF285" s="3"/>
    </row>
    <row r="286" spans="1:58" ht="14.25" customHeight="1" x14ac:dyDescent="0.45">
      <c r="A286" s="618"/>
      <c r="B286" s="215"/>
      <c r="C286" s="220" t="s">
        <v>214</v>
      </c>
      <c r="D286" s="304" t="s">
        <v>203</v>
      </c>
      <c r="E286" s="232">
        <f>'Copia de Electricidad'!D245*$E$616*$E$619</f>
        <v>1.400277053384088</v>
      </c>
      <c r="F286" s="232">
        <f>'Copia de Electricidad'!E245*$E$616*$E$619</f>
        <v>4.837217320318052</v>
      </c>
      <c r="G286" s="232">
        <f>'Copia de Electricidad'!F245*$E$616*$E$619</f>
        <v>4.8689762112739512</v>
      </c>
      <c r="H286" s="232">
        <f>'Copia de Electricidad'!G245*$E$616*$E$619</f>
        <v>5.543797686185985</v>
      </c>
      <c r="I286" s="280"/>
      <c r="J286" s="618"/>
      <c r="K286" s="618"/>
      <c r="L286" s="618"/>
      <c r="M286" s="618"/>
      <c r="N286" s="618"/>
      <c r="O286" s="618"/>
      <c r="P286" s="618"/>
      <c r="Q286" s="618"/>
      <c r="R286" s="618"/>
      <c r="S286" s="618"/>
      <c r="T286" s="618"/>
      <c r="U286" s="618"/>
      <c r="V286" s="618"/>
      <c r="W286" s="618"/>
      <c r="X286" s="618"/>
      <c r="Y286" s="618"/>
      <c r="Z286" s="618"/>
      <c r="AA286" s="618"/>
      <c r="AB286" s="618"/>
      <c r="AC286" s="618"/>
      <c r="AD286" s="618"/>
      <c r="AE286" s="618"/>
      <c r="AF286" s="618"/>
      <c r="AG286" s="618"/>
      <c r="AH286" s="618"/>
      <c r="AI286" s="618"/>
      <c r="AJ286" s="618"/>
      <c r="AK286" s="618"/>
      <c r="AL286" s="618"/>
      <c r="AM286" s="3"/>
      <c r="AN286" s="3"/>
      <c r="AO286" s="3"/>
      <c r="AP286" s="3"/>
      <c r="AQ286" s="3"/>
      <c r="AR286" s="3"/>
      <c r="AS286" s="3"/>
      <c r="AT286" s="3"/>
      <c r="AU286" s="3"/>
      <c r="AV286" s="3"/>
      <c r="AW286" s="3"/>
      <c r="AX286" s="3"/>
      <c r="AY286" s="3"/>
      <c r="AZ286" s="3"/>
      <c r="BA286" s="3"/>
      <c r="BB286" s="3"/>
      <c r="BC286" s="3"/>
      <c r="BD286" s="3"/>
      <c r="BE286" s="3"/>
      <c r="BF286" s="3"/>
    </row>
    <row r="287" spans="1:58" ht="14.25" customHeight="1" x14ac:dyDescent="0.45">
      <c r="A287" s="618"/>
      <c r="B287" s="215"/>
      <c r="C287" s="220" t="s">
        <v>215</v>
      </c>
      <c r="D287" s="304" t="s">
        <v>205</v>
      </c>
      <c r="E287" s="232"/>
      <c r="F287" s="232"/>
      <c r="G287" s="232"/>
      <c r="H287" s="232"/>
      <c r="I287" s="235"/>
      <c r="J287" s="618"/>
      <c r="K287" s="618"/>
      <c r="L287" s="618"/>
      <c r="M287" s="618"/>
      <c r="N287" s="618"/>
      <c r="O287" s="618"/>
      <c r="P287" s="618"/>
      <c r="Q287" s="618"/>
      <c r="R287" s="618"/>
      <c r="S287" s="618"/>
      <c r="T287" s="618"/>
      <c r="U287" s="618"/>
      <c r="V287" s="618"/>
      <c r="W287" s="618"/>
      <c r="X287" s="618"/>
      <c r="Y287" s="618"/>
      <c r="Z287" s="618"/>
      <c r="AA287" s="618"/>
      <c r="AB287" s="618"/>
      <c r="AC287" s="618"/>
      <c r="AD287" s="618"/>
      <c r="AE287" s="618"/>
      <c r="AF287" s="618"/>
      <c r="AG287" s="618"/>
      <c r="AH287" s="618"/>
      <c r="AI287" s="618"/>
      <c r="AJ287" s="618"/>
      <c r="AK287" s="618"/>
      <c r="AL287" s="618"/>
      <c r="AM287" s="3"/>
      <c r="AN287" s="3"/>
      <c r="AO287" s="3"/>
      <c r="AP287" s="3"/>
      <c r="AQ287" s="3"/>
      <c r="AR287" s="3"/>
      <c r="AS287" s="3"/>
      <c r="AT287" s="3"/>
      <c r="AU287" s="3"/>
      <c r="AV287" s="3"/>
      <c r="AW287" s="3"/>
      <c r="AX287" s="3"/>
      <c r="AY287" s="3"/>
      <c r="AZ287" s="3"/>
      <c r="BA287" s="3"/>
      <c r="BB287" s="3"/>
      <c r="BC287" s="3"/>
      <c r="BD287" s="3"/>
      <c r="BE287" s="3"/>
      <c r="BF287" s="3"/>
    </row>
    <row r="288" spans="1:58" ht="14.25" customHeight="1" x14ac:dyDescent="0.45">
      <c r="A288" s="618"/>
      <c r="B288" s="215"/>
      <c r="C288" s="220" t="s">
        <v>216</v>
      </c>
      <c r="D288" s="304" t="s">
        <v>207</v>
      </c>
      <c r="E288" s="232">
        <f>'Copia de Electricidad'!D247*$E$616*$E$619</f>
        <v>9.7867334823474437</v>
      </c>
      <c r="F288" s="232">
        <f>'Copia de Electricidad'!E247*$E$616*$E$619</f>
        <v>11.980628286001632</v>
      </c>
      <c r="G288" s="232">
        <f>'Copia de Electricidad'!F247*$E$616*$E$619</f>
        <v>10.299665497592036</v>
      </c>
      <c r="H288" s="232">
        <f>'Copia de Electricidad'!G247*$E$616*$E$619</f>
        <v>11.104534031082485</v>
      </c>
      <c r="I288" s="280"/>
      <c r="J288" s="618"/>
      <c r="K288" s="618"/>
      <c r="L288" s="618"/>
      <c r="M288" s="618"/>
      <c r="N288" s="618"/>
      <c r="O288" s="618"/>
      <c r="P288" s="618"/>
      <c r="Q288" s="618"/>
      <c r="R288" s="618"/>
      <c r="S288" s="618"/>
      <c r="T288" s="618"/>
      <c r="U288" s="618"/>
      <c r="V288" s="618"/>
      <c r="W288" s="618"/>
      <c r="X288" s="618"/>
      <c r="Y288" s="618"/>
      <c r="Z288" s="618"/>
      <c r="AA288" s="618"/>
      <c r="AB288" s="618"/>
      <c r="AC288" s="618"/>
      <c r="AD288" s="618"/>
      <c r="AE288" s="618"/>
      <c r="AF288" s="618"/>
      <c r="AG288" s="618"/>
      <c r="AH288" s="618"/>
      <c r="AI288" s="618"/>
      <c r="AJ288" s="618"/>
      <c r="AK288" s="618"/>
      <c r="AL288" s="618"/>
      <c r="AM288" s="3"/>
      <c r="AN288" s="3"/>
      <c r="AO288" s="3"/>
      <c r="AP288" s="3"/>
      <c r="AQ288" s="3"/>
      <c r="AR288" s="3"/>
      <c r="AS288" s="3"/>
      <c r="AT288" s="3"/>
      <c r="AU288" s="3"/>
      <c r="AV288" s="3"/>
      <c r="AW288" s="3"/>
      <c r="AX288" s="3"/>
      <c r="AY288" s="3"/>
      <c r="AZ288" s="3"/>
      <c r="BA288" s="3"/>
      <c r="BB288" s="3"/>
      <c r="BC288" s="3"/>
      <c r="BD288" s="3"/>
      <c r="BE288" s="3"/>
      <c r="BF288" s="3"/>
    </row>
    <row r="289" spans="1:58" ht="14.25" customHeight="1" x14ac:dyDescent="0.45">
      <c r="A289" s="618"/>
      <c r="B289" s="215"/>
      <c r="C289" s="220" t="s">
        <v>217</v>
      </c>
      <c r="D289" s="304" t="s">
        <v>209</v>
      </c>
      <c r="E289" s="232">
        <f>'Copia de Electricidad'!D248*$E$616*$E$619</f>
        <v>4.4398291423631662</v>
      </c>
      <c r="F289" s="232">
        <f>'Copia de Electricidad'!E248*$E$616*$E$619</f>
        <v>6.9170193209854558</v>
      </c>
      <c r="G289" s="232">
        <f>'Copia de Electricidad'!F248*$E$616*$E$619</f>
        <v>8.8806710849968749</v>
      </c>
      <c r="H289" s="232">
        <f>'Copia de Electricidad'!G248*$E$616*$E$619</f>
        <v>9.5041972473159557</v>
      </c>
      <c r="I289" s="280"/>
      <c r="J289" s="618"/>
      <c r="K289" s="618"/>
      <c r="L289" s="618"/>
      <c r="M289" s="618"/>
      <c r="N289" s="618"/>
      <c r="O289" s="618"/>
      <c r="P289" s="618"/>
      <c r="Q289" s="618"/>
      <c r="R289" s="618"/>
      <c r="S289" s="618"/>
      <c r="T289" s="618"/>
      <c r="U289" s="618"/>
      <c r="V289" s="618"/>
      <c r="W289" s="618"/>
      <c r="X289" s="618"/>
      <c r="Y289" s="618"/>
      <c r="Z289" s="618"/>
      <c r="AA289" s="618"/>
      <c r="AB289" s="618"/>
      <c r="AC289" s="618"/>
      <c r="AD289" s="618"/>
      <c r="AE289" s="618"/>
      <c r="AF289" s="618"/>
      <c r="AG289" s="618"/>
      <c r="AH289" s="618"/>
      <c r="AI289" s="618"/>
      <c r="AJ289" s="618"/>
      <c r="AK289" s="618"/>
      <c r="AL289" s="618"/>
      <c r="AM289" s="3"/>
      <c r="AN289" s="3"/>
      <c r="AO289" s="3"/>
      <c r="AP289" s="3"/>
      <c r="AQ289" s="3"/>
      <c r="AR289" s="3"/>
      <c r="AS289" s="3"/>
      <c r="AT289" s="3"/>
      <c r="AU289" s="3"/>
      <c r="AV289" s="3"/>
      <c r="AW289" s="3"/>
      <c r="AX289" s="3"/>
      <c r="AY289" s="3"/>
      <c r="AZ289" s="3"/>
      <c r="BA289" s="3"/>
      <c r="BB289" s="3"/>
      <c r="BC289" s="3"/>
      <c r="BD289" s="3"/>
      <c r="BE289" s="3"/>
      <c r="BF289" s="3"/>
    </row>
    <row r="290" spans="1:58" ht="14.25" customHeight="1" x14ac:dyDescent="0.45">
      <c r="A290" s="618"/>
      <c r="B290" s="215"/>
      <c r="C290" s="220" t="s">
        <v>218</v>
      </c>
      <c r="D290" s="304" t="s">
        <v>211</v>
      </c>
      <c r="E290" s="232">
        <f>'Copia de Electricidad'!D249*$E$616*$E$619</f>
        <v>29.999337571996644</v>
      </c>
      <c r="F290" s="232">
        <f>'Copia de Electricidad'!E249*$E$616*$E$619</f>
        <v>31.65598970008115</v>
      </c>
      <c r="G290" s="232">
        <f>'Copia de Electricidad'!F249*$E$616*$E$619</f>
        <v>33.279827423516998</v>
      </c>
      <c r="H290" s="232">
        <f>'Copia de Electricidad'!G249*$E$616*$E$619</f>
        <v>33.125825894329864</v>
      </c>
      <c r="I290" s="280"/>
      <c r="J290" s="618"/>
      <c r="K290" s="618"/>
      <c r="L290" s="618"/>
      <c r="M290" s="618"/>
      <c r="N290" s="618"/>
      <c r="O290" s="618"/>
      <c r="P290" s="618"/>
      <c r="Q290" s="618"/>
      <c r="R290" s="618"/>
      <c r="S290" s="618"/>
      <c r="T290" s="618"/>
      <c r="U290" s="618"/>
      <c r="V290" s="618"/>
      <c r="W290" s="618"/>
      <c r="X290" s="618"/>
      <c r="Y290" s="618"/>
      <c r="Z290" s="618"/>
      <c r="AA290" s="618"/>
      <c r="AB290" s="618"/>
      <c r="AC290" s="618"/>
      <c r="AD290" s="618"/>
      <c r="AE290" s="618"/>
      <c r="AF290" s="618"/>
      <c r="AG290" s="618"/>
      <c r="AH290" s="618"/>
      <c r="AI290" s="618"/>
      <c r="AJ290" s="618"/>
      <c r="AK290" s="618"/>
      <c r="AL290" s="618"/>
      <c r="AM290" s="3"/>
      <c r="AN290" s="3"/>
      <c r="AO290" s="3"/>
      <c r="AP290" s="3"/>
      <c r="AQ290" s="3"/>
      <c r="AR290" s="3"/>
      <c r="AS290" s="3"/>
      <c r="AT290" s="3"/>
      <c r="AU290" s="3"/>
      <c r="AV290" s="3"/>
      <c r="AW290" s="3"/>
      <c r="AX290" s="3"/>
      <c r="AY290" s="3"/>
      <c r="AZ290" s="3"/>
      <c r="BA290" s="3"/>
      <c r="BB290" s="3"/>
      <c r="BC290" s="3"/>
      <c r="BD290" s="3"/>
      <c r="BE290" s="3"/>
      <c r="BF290" s="3"/>
    </row>
    <row r="291" spans="1:58" ht="14.25" customHeight="1" x14ac:dyDescent="0.45">
      <c r="A291" s="618"/>
      <c r="B291" s="215"/>
      <c r="C291" s="220"/>
      <c r="D291" s="221" t="s">
        <v>350</v>
      </c>
      <c r="E291" s="28">
        <f>E251+E254+E255+E262+E263+E274</f>
        <v>91.296177188909127</v>
      </c>
      <c r="F291" s="28">
        <f>F251+F254+F255+F262+F263+F274</f>
        <v>101.32729579064069</v>
      </c>
      <c r="G291" s="28">
        <f>G251+G254+G255+G262+G263+G274</f>
        <v>98.220200982340458</v>
      </c>
      <c r="H291" s="28">
        <f>H251+H254+H255+H262+H263+H274</f>
        <v>101.36096248580306</v>
      </c>
      <c r="I291" s="42"/>
      <c r="J291" s="618"/>
      <c r="K291" s="618"/>
      <c r="L291" s="618"/>
      <c r="M291" s="618"/>
      <c r="N291" s="618"/>
      <c r="O291" s="618"/>
      <c r="P291" s="618"/>
      <c r="Q291" s="618"/>
      <c r="R291" s="618"/>
      <c r="S291" s="618"/>
      <c r="T291" s="618"/>
      <c r="U291" s="618"/>
      <c r="V291" s="618"/>
      <c r="W291" s="618"/>
      <c r="X291" s="618"/>
      <c r="Y291" s="618"/>
      <c r="Z291" s="618"/>
      <c r="AA291" s="618"/>
      <c r="AB291" s="618"/>
      <c r="AC291" s="618"/>
      <c r="AD291" s="618"/>
      <c r="AE291" s="618"/>
      <c r="AF291" s="618"/>
      <c r="AG291" s="618"/>
      <c r="AH291" s="618"/>
      <c r="AI291" s="618"/>
      <c r="AJ291" s="618"/>
      <c r="AK291" s="618"/>
      <c r="AL291" s="618"/>
      <c r="AM291" s="3"/>
      <c r="AN291" s="3"/>
      <c r="AO291" s="3"/>
      <c r="AP291" s="3"/>
      <c r="AQ291" s="3"/>
      <c r="AR291" s="3"/>
      <c r="AS291" s="3"/>
      <c r="AT291" s="3"/>
      <c r="AU291" s="3"/>
      <c r="AV291" s="3"/>
      <c r="AW291" s="3"/>
      <c r="AX291" s="3"/>
      <c r="AY291" s="3"/>
      <c r="AZ291" s="3"/>
      <c r="BA291" s="3"/>
      <c r="BB291" s="3"/>
      <c r="BC291" s="3"/>
      <c r="BD291" s="3"/>
      <c r="BE291" s="3"/>
      <c r="BF291" s="3"/>
    </row>
    <row r="292" spans="1:58" ht="14.25" customHeight="1" x14ac:dyDescent="0.45">
      <c r="A292" s="618"/>
      <c r="B292" s="215"/>
      <c r="C292" s="220"/>
      <c r="D292" s="221"/>
      <c r="E292" s="232"/>
      <c r="F292" s="232"/>
      <c r="G292" s="232"/>
      <c r="H292" s="232"/>
      <c r="I292" s="294"/>
      <c r="J292" s="618"/>
      <c r="K292" s="618"/>
      <c r="L292" s="618"/>
      <c r="M292" s="618"/>
      <c r="N292" s="618"/>
      <c r="O292" s="618"/>
      <c r="P292" s="618"/>
      <c r="Q292" s="618"/>
      <c r="R292" s="618"/>
      <c r="S292" s="618"/>
      <c r="T292" s="618"/>
      <c r="U292" s="618"/>
      <c r="V292" s="618"/>
      <c r="W292" s="618"/>
      <c r="X292" s="618"/>
      <c r="Y292" s="618"/>
      <c r="Z292" s="618"/>
      <c r="AA292" s="618"/>
      <c r="AB292" s="618"/>
      <c r="AC292" s="618"/>
      <c r="AD292" s="618"/>
      <c r="AE292" s="618"/>
      <c r="AF292" s="618"/>
      <c r="AG292" s="618"/>
      <c r="AH292" s="618"/>
      <c r="AI292" s="618"/>
      <c r="AJ292" s="618"/>
      <c r="AK292" s="618"/>
      <c r="AL292" s="618"/>
      <c r="AM292" s="3"/>
      <c r="AN292" s="3"/>
      <c r="AO292" s="3"/>
      <c r="AP292" s="3"/>
      <c r="AQ292" s="3"/>
      <c r="AR292" s="3"/>
      <c r="AS292" s="3"/>
      <c r="AT292" s="3"/>
      <c r="AU292" s="3"/>
      <c r="AV292" s="3"/>
      <c r="AW292" s="3"/>
      <c r="AX292" s="3"/>
      <c r="AY292" s="3"/>
      <c r="AZ292" s="3"/>
      <c r="BA292" s="3"/>
      <c r="BB292" s="3"/>
      <c r="BC292" s="3"/>
      <c r="BD292" s="3"/>
      <c r="BE292" s="3"/>
      <c r="BF292" s="3"/>
    </row>
    <row r="293" spans="1:58" ht="14.25" customHeight="1" x14ac:dyDescent="0.45">
      <c r="A293" s="618"/>
      <c r="B293" s="215"/>
      <c r="C293" s="220"/>
      <c r="D293" s="243" t="s">
        <v>351</v>
      </c>
      <c r="E293" s="123">
        <v>2018</v>
      </c>
      <c r="F293" s="123">
        <v>2019</v>
      </c>
      <c r="G293" s="123">
        <v>2020</v>
      </c>
      <c r="H293" s="123">
        <v>2021</v>
      </c>
      <c r="I293" s="123">
        <v>2022</v>
      </c>
      <c r="J293" s="141">
        <v>2023</v>
      </c>
      <c r="K293" s="141">
        <v>2024</v>
      </c>
      <c r="L293" s="141">
        <v>2025</v>
      </c>
      <c r="M293" s="141">
        <v>2026</v>
      </c>
      <c r="N293" s="141">
        <v>2027</v>
      </c>
      <c r="O293" s="141">
        <v>2028</v>
      </c>
      <c r="P293" s="141">
        <v>2029</v>
      </c>
      <c r="Q293" s="141">
        <v>2030</v>
      </c>
      <c r="R293" s="141">
        <v>2031</v>
      </c>
      <c r="S293" s="141">
        <v>2032</v>
      </c>
      <c r="T293" s="141">
        <v>2033</v>
      </c>
      <c r="U293" s="141">
        <v>2034</v>
      </c>
      <c r="V293" s="141">
        <v>2035</v>
      </c>
      <c r="W293" s="141">
        <v>2036</v>
      </c>
      <c r="X293" s="141">
        <v>2037</v>
      </c>
      <c r="Y293" s="141">
        <v>2038</v>
      </c>
      <c r="Z293" s="141">
        <v>2039</v>
      </c>
      <c r="AA293" s="141">
        <v>2040</v>
      </c>
      <c r="AB293" s="141">
        <v>2041</v>
      </c>
      <c r="AC293" s="141">
        <v>2042</v>
      </c>
      <c r="AD293" s="141">
        <v>2043</v>
      </c>
      <c r="AE293" s="141">
        <v>2044</v>
      </c>
      <c r="AF293" s="141">
        <v>2045</v>
      </c>
      <c r="AG293" s="141">
        <v>2046</v>
      </c>
      <c r="AH293" s="141">
        <v>2047</v>
      </c>
      <c r="AI293" s="141">
        <v>2048</v>
      </c>
      <c r="AJ293" s="141">
        <v>2049</v>
      </c>
      <c r="AK293" s="142">
        <v>2050</v>
      </c>
      <c r="AL293" s="141">
        <v>2051</v>
      </c>
      <c r="AM293" s="141">
        <v>2052</v>
      </c>
      <c r="AN293" s="141">
        <v>2053</v>
      </c>
      <c r="AO293" s="141">
        <v>2054</v>
      </c>
      <c r="AP293" s="141">
        <v>2055</v>
      </c>
      <c r="AQ293" s="141">
        <v>2056</v>
      </c>
      <c r="AR293" s="141">
        <v>2057</v>
      </c>
      <c r="AS293" s="141">
        <v>2058</v>
      </c>
      <c r="AT293" s="142">
        <v>2059</v>
      </c>
      <c r="AU293" s="141">
        <v>2060</v>
      </c>
      <c r="AV293" s="141">
        <v>2061</v>
      </c>
      <c r="AW293" s="141">
        <v>2062</v>
      </c>
      <c r="AX293" s="141">
        <v>2063</v>
      </c>
      <c r="AY293" s="141">
        <v>2064</v>
      </c>
      <c r="AZ293" s="141">
        <v>2065</v>
      </c>
      <c r="BA293" s="141">
        <v>2066</v>
      </c>
      <c r="BB293" s="141">
        <v>2067</v>
      </c>
      <c r="BC293" s="142">
        <v>2068</v>
      </c>
      <c r="BD293" s="141">
        <v>2069</v>
      </c>
      <c r="BE293" s="141">
        <v>2070</v>
      </c>
      <c r="BF293" s="3"/>
    </row>
    <row r="294" spans="1:58" ht="14.25" customHeight="1" x14ac:dyDescent="0.45">
      <c r="A294" s="618"/>
      <c r="B294" s="215"/>
      <c r="C294" s="220"/>
      <c r="D294" s="224" t="s">
        <v>339</v>
      </c>
      <c r="E294" s="295"/>
      <c r="F294" s="295"/>
      <c r="G294" s="295"/>
      <c r="H294" s="295"/>
      <c r="I294" s="295"/>
      <c r="J294" s="305"/>
      <c r="K294" s="305"/>
      <c r="L294" s="305"/>
      <c r="M294" s="305"/>
      <c r="N294" s="305"/>
      <c r="O294" s="305"/>
      <c r="P294" s="305"/>
      <c r="Q294" s="305"/>
      <c r="R294" s="305"/>
      <c r="S294" s="305"/>
      <c r="T294" s="305"/>
      <c r="U294" s="305"/>
      <c r="V294" s="305"/>
      <c r="W294" s="305"/>
      <c r="X294" s="305"/>
      <c r="Y294" s="305"/>
      <c r="Z294" s="305"/>
      <c r="AA294" s="305"/>
      <c r="AB294" s="305"/>
      <c r="AC294" s="305"/>
      <c r="AD294" s="305"/>
      <c r="AE294" s="305"/>
      <c r="AF294" s="305"/>
      <c r="AG294" s="305"/>
      <c r="AH294" s="305"/>
      <c r="AI294" s="305"/>
      <c r="AJ294" s="305"/>
      <c r="AK294" s="305"/>
      <c r="AL294" s="618"/>
      <c r="AM294" s="3"/>
      <c r="AN294" s="3"/>
      <c r="AO294" s="3"/>
      <c r="AP294" s="3"/>
      <c r="AQ294" s="3"/>
      <c r="AR294" s="3"/>
      <c r="AS294" s="3"/>
      <c r="AT294" s="3"/>
      <c r="AU294" s="3"/>
      <c r="AV294" s="3"/>
      <c r="AW294" s="3"/>
      <c r="AX294" s="3"/>
      <c r="AY294" s="3"/>
      <c r="AZ294" s="3"/>
      <c r="BA294" s="3"/>
      <c r="BB294" s="3"/>
      <c r="BC294" s="3"/>
      <c r="BD294" s="3"/>
      <c r="BE294" s="3"/>
      <c r="BF294" s="3"/>
    </row>
    <row r="295" spans="1:58" ht="14.25" customHeight="1" x14ac:dyDescent="0.45">
      <c r="A295" s="618"/>
      <c r="B295" s="215"/>
      <c r="C295" s="220"/>
      <c r="D295" s="224" t="s">
        <v>171</v>
      </c>
      <c r="E295" s="295">
        <f>E296</f>
        <v>2.3586003188598284E-2</v>
      </c>
      <c r="F295" s="295">
        <f>F296</f>
        <v>1.9954694542129378E-2</v>
      </c>
      <c r="G295" s="295">
        <f>G296</f>
        <v>1.965593807001146E-2</v>
      </c>
      <c r="H295" s="295">
        <f>H296</f>
        <v>7.0155963466996523E-3</v>
      </c>
      <c r="I295" s="295"/>
      <c r="J295" s="305"/>
      <c r="K295" s="305"/>
      <c r="L295" s="305"/>
      <c r="M295" s="305"/>
      <c r="N295" s="305"/>
      <c r="O295" s="305"/>
      <c r="P295" s="305"/>
      <c r="Q295" s="305"/>
      <c r="R295" s="305"/>
      <c r="S295" s="305"/>
      <c r="T295" s="305"/>
      <c r="U295" s="305"/>
      <c r="V295" s="305"/>
      <c r="W295" s="305"/>
      <c r="X295" s="305"/>
      <c r="Y295" s="305"/>
      <c r="Z295" s="305"/>
      <c r="AA295" s="305"/>
      <c r="AB295" s="305"/>
      <c r="AC295" s="305"/>
      <c r="AD295" s="305"/>
      <c r="AE295" s="305"/>
      <c r="AF295" s="305"/>
      <c r="AG295" s="305"/>
      <c r="AH295" s="305"/>
      <c r="AI295" s="305"/>
      <c r="AJ295" s="305"/>
      <c r="AK295" s="305"/>
      <c r="AL295" s="618"/>
      <c r="AM295" s="3"/>
      <c r="AN295" s="3"/>
      <c r="AO295" s="3"/>
      <c r="AP295" s="3"/>
      <c r="AQ295" s="3"/>
      <c r="AR295" s="3"/>
      <c r="AS295" s="3"/>
      <c r="AT295" s="3"/>
      <c r="AU295" s="3"/>
      <c r="AV295" s="3"/>
      <c r="AW295" s="3"/>
      <c r="AX295" s="3"/>
      <c r="AY295" s="3"/>
      <c r="AZ295" s="3"/>
      <c r="BA295" s="3"/>
      <c r="BB295" s="3"/>
      <c r="BC295" s="3"/>
      <c r="BD295" s="3"/>
      <c r="BE295" s="3"/>
      <c r="BF295" s="3"/>
    </row>
    <row r="296" spans="1:58" ht="14.25" customHeight="1" x14ac:dyDescent="0.45">
      <c r="A296" s="618"/>
      <c r="B296" s="215"/>
      <c r="C296" s="220" t="s">
        <v>222</v>
      </c>
      <c r="D296" s="247" t="s">
        <v>223</v>
      </c>
      <c r="E296" s="306">
        <f>'Copia de Electricidad'!D255*$E$616*$E$619</f>
        <v>2.3586003188598284E-2</v>
      </c>
      <c r="F296" s="306">
        <f>'Copia de Electricidad'!E255*$E$616*$E$619</f>
        <v>1.9954694542129378E-2</v>
      </c>
      <c r="G296" s="306">
        <f>'Copia de Electricidad'!F255*$E$616*$E$619</f>
        <v>1.965593807001146E-2</v>
      </c>
      <c r="H296" s="306">
        <f>'Copia de Electricidad'!G255*$E$616*$E$619</f>
        <v>7.0155963466996523E-3</v>
      </c>
      <c r="I296" s="306">
        <v>2.5288379845712812E-2</v>
      </c>
      <c r="J296" s="305">
        <v>2.5918073054243842E-2</v>
      </c>
      <c r="K296" s="305">
        <v>2.6547766262774861E-2</v>
      </c>
      <c r="L296" s="305">
        <v>2.7177459471305898E-2</v>
      </c>
      <c r="M296" s="305">
        <v>2.7807152679836931E-2</v>
      </c>
      <c r="N296" s="305">
        <v>2.8436845888367961E-2</v>
      </c>
      <c r="O296" s="305">
        <v>2.9066539096898988E-2</v>
      </c>
      <c r="P296" s="305">
        <v>2.9696232305430014E-2</v>
      </c>
      <c r="Q296" s="305">
        <v>3.0325925513961037E-2</v>
      </c>
      <c r="R296" s="305">
        <v>3.0565500946826914E-2</v>
      </c>
      <c r="S296" s="305">
        <v>3.0805076379692788E-2</v>
      </c>
      <c r="T296" s="305">
        <v>3.1044651812558673E-2</v>
      </c>
      <c r="U296" s="305">
        <v>3.1284227245424547E-2</v>
      </c>
      <c r="V296" s="305">
        <v>3.152380267829042E-2</v>
      </c>
      <c r="W296" s="305">
        <v>3.1763378111156294E-2</v>
      </c>
      <c r="X296" s="305">
        <v>3.2002953544022168E-2</v>
      </c>
      <c r="Y296" s="305">
        <v>3.2242528976888056E-2</v>
      </c>
      <c r="Z296" s="305">
        <v>3.248210440975393E-2</v>
      </c>
      <c r="AA296" s="305">
        <v>3.2721679842619797E-2</v>
      </c>
      <c r="AB296" s="305">
        <v>3.2754401936666136E-2</v>
      </c>
      <c r="AC296" s="305">
        <v>3.2787124030712482E-2</v>
      </c>
      <c r="AD296" s="305">
        <v>3.2819846124758828E-2</v>
      </c>
      <c r="AE296" s="305">
        <v>3.2852568218805174E-2</v>
      </c>
      <c r="AF296" s="305">
        <v>3.288529031285152E-2</v>
      </c>
      <c r="AG296" s="305">
        <v>3.2918012406897852E-2</v>
      </c>
      <c r="AH296" s="305">
        <v>3.2950734500944198E-2</v>
      </c>
      <c r="AI296" s="305">
        <v>3.2983456594990544E-2</v>
      </c>
      <c r="AJ296" s="305">
        <v>3.301617868903689E-2</v>
      </c>
      <c r="AK296" s="305">
        <v>3.3048900783083208E-2</v>
      </c>
      <c r="AL296" s="144">
        <f t="shared" ref="AL296:BE296" si="3">AK296</f>
        <v>3.3048900783083208E-2</v>
      </c>
      <c r="AM296" s="144">
        <f t="shared" si="3"/>
        <v>3.3048900783083208E-2</v>
      </c>
      <c r="AN296" s="144">
        <f t="shared" si="3"/>
        <v>3.3048900783083208E-2</v>
      </c>
      <c r="AO296" s="144">
        <f t="shared" si="3"/>
        <v>3.3048900783083208E-2</v>
      </c>
      <c r="AP296" s="144">
        <f t="shared" si="3"/>
        <v>3.3048900783083208E-2</v>
      </c>
      <c r="AQ296" s="144">
        <f t="shared" si="3"/>
        <v>3.3048900783083208E-2</v>
      </c>
      <c r="AR296" s="144">
        <f t="shared" si="3"/>
        <v>3.3048900783083208E-2</v>
      </c>
      <c r="AS296" s="144">
        <f t="shared" si="3"/>
        <v>3.3048900783083208E-2</v>
      </c>
      <c r="AT296" s="144">
        <f t="shared" si="3"/>
        <v>3.3048900783083208E-2</v>
      </c>
      <c r="AU296" s="144">
        <f t="shared" si="3"/>
        <v>3.3048900783083208E-2</v>
      </c>
      <c r="AV296" s="144">
        <f t="shared" si="3"/>
        <v>3.3048900783083208E-2</v>
      </c>
      <c r="AW296" s="144">
        <f t="shared" si="3"/>
        <v>3.3048900783083208E-2</v>
      </c>
      <c r="AX296" s="144">
        <f t="shared" si="3"/>
        <v>3.3048900783083208E-2</v>
      </c>
      <c r="AY296" s="144">
        <f t="shared" si="3"/>
        <v>3.3048900783083208E-2</v>
      </c>
      <c r="AZ296" s="144">
        <f t="shared" si="3"/>
        <v>3.3048900783083208E-2</v>
      </c>
      <c r="BA296" s="144">
        <f t="shared" si="3"/>
        <v>3.3048900783083208E-2</v>
      </c>
      <c r="BB296" s="144">
        <f t="shared" si="3"/>
        <v>3.3048900783083208E-2</v>
      </c>
      <c r="BC296" s="144">
        <f t="shared" si="3"/>
        <v>3.3048900783083208E-2</v>
      </c>
      <c r="BD296" s="144">
        <f t="shared" si="3"/>
        <v>3.3048900783083208E-2</v>
      </c>
      <c r="BE296" s="144">
        <f t="shared" si="3"/>
        <v>3.3048900783083208E-2</v>
      </c>
      <c r="BF296" s="3"/>
    </row>
    <row r="297" spans="1:58" ht="14.25" customHeight="1" x14ac:dyDescent="0.45">
      <c r="A297" s="618"/>
      <c r="B297" s="215"/>
      <c r="C297" s="220"/>
      <c r="D297" s="224" t="s">
        <v>172</v>
      </c>
      <c r="E297" s="295">
        <f>SUM(E298)</f>
        <v>5.9052648959703712E-2</v>
      </c>
      <c r="F297" s="295">
        <f>SUM(F298)</f>
        <v>7.7137812996397701E-2</v>
      </c>
      <c r="G297" s="295">
        <f>SUM(G298)</f>
        <v>7.3415805281261973E-2</v>
      </c>
      <c r="H297" s="295">
        <f>SUM(H298)</f>
        <v>6.8646520136716072E-2</v>
      </c>
      <c r="I297" s="295"/>
      <c r="J297" s="305"/>
      <c r="K297" s="305"/>
      <c r="L297" s="305"/>
      <c r="M297" s="305"/>
      <c r="N297" s="305"/>
      <c r="O297" s="305"/>
      <c r="P297" s="305"/>
      <c r="Q297" s="305"/>
      <c r="R297" s="305"/>
      <c r="S297" s="305"/>
      <c r="T297" s="305"/>
      <c r="U297" s="305"/>
      <c r="V297" s="305"/>
      <c r="W297" s="305"/>
      <c r="X297" s="305"/>
      <c r="Y297" s="305"/>
      <c r="Z297" s="305"/>
      <c r="AA297" s="305"/>
      <c r="AB297" s="305"/>
      <c r="AC297" s="305"/>
      <c r="AD297" s="305"/>
      <c r="AE297" s="305"/>
      <c r="AF297" s="305"/>
      <c r="AG297" s="305"/>
      <c r="AH297" s="305"/>
      <c r="AI297" s="305"/>
      <c r="AJ297" s="305"/>
      <c r="AK297" s="305"/>
      <c r="AL297" s="250"/>
      <c r="AM297" s="250"/>
      <c r="AN297" s="250"/>
      <c r="AO297" s="250"/>
      <c r="AP297" s="250"/>
      <c r="AQ297" s="250"/>
      <c r="AR297" s="250"/>
      <c r="AS297" s="250"/>
      <c r="AT297" s="250"/>
      <c r="AU297" s="250"/>
      <c r="AV297" s="250"/>
      <c r="AW297" s="250"/>
      <c r="AX297" s="250"/>
      <c r="AY297" s="250"/>
      <c r="AZ297" s="250"/>
      <c r="BA297" s="250"/>
      <c r="BB297" s="250"/>
      <c r="BC297" s="250"/>
      <c r="BD297" s="250"/>
      <c r="BE297" s="250"/>
      <c r="BF297" s="3"/>
    </row>
    <row r="298" spans="1:58" ht="14.25" customHeight="1" x14ac:dyDescent="0.45">
      <c r="A298" s="618"/>
      <c r="B298" s="215"/>
      <c r="C298" s="220"/>
      <c r="D298" s="228" t="s">
        <v>224</v>
      </c>
      <c r="E298" s="229">
        <f>SUM(E300:E301,E303:E304)</f>
        <v>5.9052648959703712E-2</v>
      </c>
      <c r="F298" s="229">
        <f>SUM(F300:F301,F303:F304)</f>
        <v>7.7137812996397701E-2</v>
      </c>
      <c r="G298" s="229">
        <f>SUM(G300:G301,G303:G304)</f>
        <v>7.3415805281261973E-2</v>
      </c>
      <c r="H298" s="229">
        <f>SUM(H300:H301,H303:H304)</f>
        <v>6.8646520136716072E-2</v>
      </c>
      <c r="I298" s="229"/>
      <c r="J298" s="305"/>
      <c r="K298" s="305"/>
      <c r="L298" s="305"/>
      <c r="M298" s="305"/>
      <c r="N298" s="305"/>
      <c r="O298" s="305"/>
      <c r="P298" s="305"/>
      <c r="Q298" s="305"/>
      <c r="R298" s="305"/>
      <c r="S298" s="305"/>
      <c r="T298" s="305"/>
      <c r="U298" s="305"/>
      <c r="V298" s="305"/>
      <c r="W298" s="305"/>
      <c r="X298" s="305"/>
      <c r="Y298" s="305"/>
      <c r="Z298" s="305"/>
      <c r="AA298" s="305"/>
      <c r="AB298" s="305"/>
      <c r="AC298" s="305"/>
      <c r="AD298" s="305"/>
      <c r="AE298" s="305"/>
      <c r="AF298" s="305"/>
      <c r="AG298" s="305"/>
      <c r="AH298" s="305"/>
      <c r="AI298" s="305"/>
      <c r="AJ298" s="305"/>
      <c r="AK298" s="305"/>
      <c r="AL298" s="250"/>
      <c r="AM298" s="250"/>
      <c r="AN298" s="250"/>
      <c r="AO298" s="250"/>
      <c r="AP298" s="250"/>
      <c r="AQ298" s="250"/>
      <c r="AR298" s="250"/>
      <c r="AS298" s="250"/>
      <c r="AT298" s="250"/>
      <c r="AU298" s="250"/>
      <c r="AV298" s="250"/>
      <c r="AW298" s="250"/>
      <c r="AX298" s="250"/>
      <c r="AY298" s="250"/>
      <c r="AZ298" s="250"/>
      <c r="BA298" s="250"/>
      <c r="BB298" s="250"/>
      <c r="BC298" s="250"/>
      <c r="BD298" s="250"/>
      <c r="BE298" s="250"/>
      <c r="BF298" s="3"/>
    </row>
    <row r="299" spans="1:58" ht="14.25" customHeight="1" x14ac:dyDescent="0.45">
      <c r="A299" s="618"/>
      <c r="B299" s="215"/>
      <c r="C299" s="220"/>
      <c r="D299" s="247" t="s">
        <v>225</v>
      </c>
      <c r="E299" s="306"/>
      <c r="F299" s="306"/>
      <c r="G299" s="306"/>
      <c r="H299" s="306"/>
      <c r="I299" s="306"/>
      <c r="J299" s="305"/>
      <c r="K299" s="305"/>
      <c r="L299" s="305"/>
      <c r="M299" s="305"/>
      <c r="N299" s="305"/>
      <c r="O299" s="305"/>
      <c r="P299" s="305"/>
      <c r="Q299" s="305"/>
      <c r="R299" s="305"/>
      <c r="S299" s="305"/>
      <c r="T299" s="305"/>
      <c r="U299" s="305"/>
      <c r="V299" s="305"/>
      <c r="W299" s="305"/>
      <c r="X299" s="305"/>
      <c r="Y299" s="305"/>
      <c r="Z299" s="305"/>
      <c r="AA299" s="305"/>
      <c r="AB299" s="305"/>
      <c r="AC299" s="305"/>
      <c r="AD299" s="305"/>
      <c r="AE299" s="305"/>
      <c r="AF299" s="305"/>
      <c r="AG299" s="305"/>
      <c r="AH299" s="305"/>
      <c r="AI299" s="305"/>
      <c r="AJ299" s="305"/>
      <c r="AK299" s="305"/>
      <c r="AL299" s="250"/>
      <c r="AM299" s="250"/>
      <c r="AN299" s="250"/>
      <c r="AO299" s="250"/>
      <c r="AP299" s="250"/>
      <c r="AQ299" s="250"/>
      <c r="AR299" s="250"/>
      <c r="AS299" s="250"/>
      <c r="AT299" s="250"/>
      <c r="AU299" s="250"/>
      <c r="AV299" s="250"/>
      <c r="AW299" s="250"/>
      <c r="AX299" s="250"/>
      <c r="AY299" s="250"/>
      <c r="AZ299" s="250"/>
      <c r="BA299" s="250"/>
      <c r="BB299" s="250"/>
      <c r="BC299" s="250"/>
      <c r="BD299" s="250"/>
      <c r="BE299" s="250"/>
      <c r="BF299" s="3"/>
    </row>
    <row r="300" spans="1:58" ht="14.25" customHeight="1" x14ac:dyDescent="0.45">
      <c r="A300" s="618"/>
      <c r="B300" s="215"/>
      <c r="C300" s="220"/>
      <c r="D300" s="221" t="s">
        <v>227</v>
      </c>
      <c r="E300" s="232">
        <f>'Copia de Electricidad'!D259*$E$616*$E$619</f>
        <v>1.7196162058607078E-2</v>
      </c>
      <c r="F300" s="232">
        <f>'Copia de Electricidad'!E259*$E$616*$E$619</f>
        <v>2.025647311728895E-2</v>
      </c>
      <c r="G300" s="232">
        <f>'Copia de Electricidad'!F259*$E$616*$E$619</f>
        <v>1.7551007324081429E-2</v>
      </c>
      <c r="H300" s="232">
        <f>'Copia de Electricidad'!G259*$E$616*$E$619</f>
        <v>1.2915892761359873E-2</v>
      </c>
      <c r="I300" s="232">
        <v>2.0081156737732191E-2</v>
      </c>
      <c r="J300" s="305">
        <v>2.0415358440804828E-2</v>
      </c>
      <c r="K300" s="305">
        <v>2.0755241047268339E-2</v>
      </c>
      <c r="L300" s="305">
        <v>2.1096373590783462E-2</v>
      </c>
      <c r="M300" s="305">
        <v>2.1442448831436294E-2</v>
      </c>
      <c r="N300" s="305">
        <v>2.1790972081584408E-2</v>
      </c>
      <c r="O300" s="305">
        <v>2.2143971247398666E-2</v>
      </c>
      <c r="P300" s="305">
        <v>2.249961723703868E-2</v>
      </c>
      <c r="Q300" s="305">
        <v>2.2860492907980392E-2</v>
      </c>
      <c r="R300" s="305">
        <v>2.3222443905126962E-2</v>
      </c>
      <c r="S300" s="305">
        <v>2.3587038268458746E-2</v>
      </c>
      <c r="T300" s="305">
        <v>2.3955206103278337E-2</v>
      </c>
      <c r="U300" s="305">
        <v>2.4325718218377309E-2</v>
      </c>
      <c r="V300" s="305">
        <v>2.4697770712332413E-2</v>
      </c>
      <c r="W300" s="305">
        <v>2.5071880502402902E-2</v>
      </c>
      <c r="X300" s="305">
        <v>2.5446654159455157E-2</v>
      </c>
      <c r="Y300" s="305">
        <v>2.5823198128458805E-2</v>
      </c>
      <c r="Z300" s="305">
        <v>2.6201882376950553E-2</v>
      </c>
      <c r="AA300" s="305">
        <v>2.6579821503908068E-2</v>
      </c>
      <c r="AB300" s="305">
        <v>2.6959748774170369E-2</v>
      </c>
      <c r="AC300" s="305">
        <v>2.7337101831058041E-2</v>
      </c>
      <c r="AD300" s="305">
        <v>2.7714475633788902E-2</v>
      </c>
      <c r="AE300" s="305">
        <v>2.8087382164954933E-2</v>
      </c>
      <c r="AF300" s="305">
        <v>2.845617410389021E-2</v>
      </c>
      <c r="AG300" s="305">
        <v>2.8820337990975997E-2</v>
      </c>
      <c r="AH300" s="305">
        <v>2.9178641177363355E-2</v>
      </c>
      <c r="AI300" s="305">
        <v>2.9530907323385255E-2</v>
      </c>
      <c r="AJ300" s="305">
        <v>2.9878460705364679E-2</v>
      </c>
      <c r="AK300" s="305">
        <v>3.0219638198206701E-2</v>
      </c>
      <c r="AL300" s="144">
        <f t="shared" ref="AL300:BE300" si="4">AK300</f>
        <v>3.0219638198206701E-2</v>
      </c>
      <c r="AM300" s="144">
        <f t="shared" si="4"/>
        <v>3.0219638198206701E-2</v>
      </c>
      <c r="AN300" s="144">
        <f t="shared" si="4"/>
        <v>3.0219638198206701E-2</v>
      </c>
      <c r="AO300" s="144">
        <f t="shared" si="4"/>
        <v>3.0219638198206701E-2</v>
      </c>
      <c r="AP300" s="144">
        <f t="shared" si="4"/>
        <v>3.0219638198206701E-2</v>
      </c>
      <c r="AQ300" s="144">
        <f t="shared" si="4"/>
        <v>3.0219638198206701E-2</v>
      </c>
      <c r="AR300" s="144">
        <f t="shared" si="4"/>
        <v>3.0219638198206701E-2</v>
      </c>
      <c r="AS300" s="144">
        <f t="shared" si="4"/>
        <v>3.0219638198206701E-2</v>
      </c>
      <c r="AT300" s="144">
        <f t="shared" si="4"/>
        <v>3.0219638198206701E-2</v>
      </c>
      <c r="AU300" s="144">
        <f t="shared" si="4"/>
        <v>3.0219638198206701E-2</v>
      </c>
      <c r="AV300" s="144">
        <f t="shared" si="4"/>
        <v>3.0219638198206701E-2</v>
      </c>
      <c r="AW300" s="144">
        <f t="shared" si="4"/>
        <v>3.0219638198206701E-2</v>
      </c>
      <c r="AX300" s="144">
        <f t="shared" si="4"/>
        <v>3.0219638198206701E-2</v>
      </c>
      <c r="AY300" s="144">
        <f t="shared" si="4"/>
        <v>3.0219638198206701E-2</v>
      </c>
      <c r="AZ300" s="144">
        <f t="shared" si="4"/>
        <v>3.0219638198206701E-2</v>
      </c>
      <c r="BA300" s="144">
        <f t="shared" si="4"/>
        <v>3.0219638198206701E-2</v>
      </c>
      <c r="BB300" s="144">
        <f t="shared" si="4"/>
        <v>3.0219638198206701E-2</v>
      </c>
      <c r="BC300" s="144">
        <f t="shared" si="4"/>
        <v>3.0219638198206701E-2</v>
      </c>
      <c r="BD300" s="144">
        <f t="shared" si="4"/>
        <v>3.0219638198206701E-2</v>
      </c>
      <c r="BE300" s="144">
        <f t="shared" si="4"/>
        <v>3.0219638198206701E-2</v>
      </c>
      <c r="BF300" s="3"/>
    </row>
    <row r="301" spans="1:58" ht="14.25" customHeight="1" x14ac:dyDescent="0.45">
      <c r="A301" s="618"/>
      <c r="B301" s="215"/>
      <c r="C301" s="220"/>
      <c r="D301" s="221" t="s">
        <v>229</v>
      </c>
      <c r="E301" s="232">
        <f>'Copia de Electricidad'!D260*$E$616*$E$619</f>
        <v>3.6891603332663031E-2</v>
      </c>
      <c r="F301" s="232">
        <f>'Copia de Electricidad'!E260*$E$616*$E$619</f>
        <v>4.1414864105426177E-2</v>
      </c>
      <c r="G301" s="232">
        <f>'Copia de Electricidad'!F260*$E$616*$E$619</f>
        <v>5.5439760750822027E-2</v>
      </c>
      <c r="H301" s="232">
        <f>'Copia de Electricidad'!G260*$E$616*$E$619</f>
        <v>5.4865561172907536E-2</v>
      </c>
      <c r="I301" s="232">
        <v>5.0145463060173701E-2</v>
      </c>
      <c r="J301" s="305">
        <v>5.0980011556306236E-2</v>
      </c>
      <c r="K301" s="305">
        <v>5.1828746064472644E-2</v>
      </c>
      <c r="L301" s="305">
        <v>5.2680601840655018E-2</v>
      </c>
      <c r="M301" s="305">
        <v>5.3544800224386027E-2</v>
      </c>
      <c r="N301" s="305">
        <v>5.4415111630953299E-2</v>
      </c>
      <c r="O301" s="305">
        <v>5.5296600026308075E-2</v>
      </c>
      <c r="P301" s="305">
        <v>5.618469791174923E-2</v>
      </c>
      <c r="Q301" s="305">
        <v>5.708585504442179E-2</v>
      </c>
      <c r="R301" s="305">
        <v>5.7989697417351535E-2</v>
      </c>
      <c r="S301" s="305">
        <v>5.890014064615462E-2</v>
      </c>
      <c r="T301" s="305">
        <v>5.9819507334140314E-2</v>
      </c>
      <c r="U301" s="305">
        <v>6.0744728018570872E-2</v>
      </c>
      <c r="V301" s="305">
        <v>6.1673795244913239E-2</v>
      </c>
      <c r="W301" s="305">
        <v>6.2607999828017735E-2</v>
      </c>
      <c r="X301" s="305">
        <v>6.3543862180026958E-2</v>
      </c>
      <c r="Y301" s="305">
        <v>6.4484145249115554E-2</v>
      </c>
      <c r="Z301" s="305">
        <v>6.5429772896079305E-2</v>
      </c>
      <c r="AA301" s="305">
        <v>6.6373539870131767E-2</v>
      </c>
      <c r="AB301" s="305">
        <v>6.7322271516685434E-2</v>
      </c>
      <c r="AC301" s="305">
        <v>6.8264574991626664E-2</v>
      </c>
      <c r="AD301" s="305">
        <v>6.920693027184617E-2</v>
      </c>
      <c r="AE301" s="305">
        <v>7.0138130148810804E-2</v>
      </c>
      <c r="AF301" s="305">
        <v>7.1059055312251221E-2</v>
      </c>
      <c r="AG301" s="305">
        <v>7.1968423581530105E-2</v>
      </c>
      <c r="AH301" s="305">
        <v>7.2863156859696812E-2</v>
      </c>
      <c r="AI301" s="305">
        <v>7.3742814801885923E-2</v>
      </c>
      <c r="AJ301" s="305">
        <v>7.4610704311693893E-2</v>
      </c>
      <c r="AK301" s="305">
        <v>7.5462672332645878E-2</v>
      </c>
      <c r="AL301" s="144">
        <f t="shared" ref="AL301:BE301" si="5">AK301</f>
        <v>7.5462672332645878E-2</v>
      </c>
      <c r="AM301" s="144">
        <f t="shared" si="5"/>
        <v>7.5462672332645878E-2</v>
      </c>
      <c r="AN301" s="144">
        <f t="shared" si="5"/>
        <v>7.5462672332645878E-2</v>
      </c>
      <c r="AO301" s="144">
        <f t="shared" si="5"/>
        <v>7.5462672332645878E-2</v>
      </c>
      <c r="AP301" s="144">
        <f t="shared" si="5"/>
        <v>7.5462672332645878E-2</v>
      </c>
      <c r="AQ301" s="144">
        <f t="shared" si="5"/>
        <v>7.5462672332645878E-2</v>
      </c>
      <c r="AR301" s="144">
        <f t="shared" si="5"/>
        <v>7.5462672332645878E-2</v>
      </c>
      <c r="AS301" s="144">
        <f t="shared" si="5"/>
        <v>7.5462672332645878E-2</v>
      </c>
      <c r="AT301" s="144">
        <f t="shared" si="5"/>
        <v>7.5462672332645878E-2</v>
      </c>
      <c r="AU301" s="144">
        <f t="shared" si="5"/>
        <v>7.5462672332645878E-2</v>
      </c>
      <c r="AV301" s="144">
        <f t="shared" si="5"/>
        <v>7.5462672332645878E-2</v>
      </c>
      <c r="AW301" s="144">
        <f t="shared" si="5"/>
        <v>7.5462672332645878E-2</v>
      </c>
      <c r="AX301" s="144">
        <f t="shared" si="5"/>
        <v>7.5462672332645878E-2</v>
      </c>
      <c r="AY301" s="144">
        <f t="shared" si="5"/>
        <v>7.5462672332645878E-2</v>
      </c>
      <c r="AZ301" s="144">
        <f t="shared" si="5"/>
        <v>7.5462672332645878E-2</v>
      </c>
      <c r="BA301" s="144">
        <f t="shared" si="5"/>
        <v>7.5462672332645878E-2</v>
      </c>
      <c r="BB301" s="144">
        <f t="shared" si="5"/>
        <v>7.5462672332645878E-2</v>
      </c>
      <c r="BC301" s="144">
        <f t="shared" si="5"/>
        <v>7.5462672332645878E-2</v>
      </c>
      <c r="BD301" s="144">
        <f t="shared" si="5"/>
        <v>7.5462672332645878E-2</v>
      </c>
      <c r="BE301" s="144">
        <f t="shared" si="5"/>
        <v>7.5462672332645878E-2</v>
      </c>
      <c r="BF301" s="3"/>
    </row>
    <row r="302" spans="1:58" ht="14.25" customHeight="1" x14ac:dyDescent="0.45">
      <c r="A302" s="618"/>
      <c r="B302" s="215"/>
      <c r="C302" s="220"/>
      <c r="D302" s="247" t="s">
        <v>230</v>
      </c>
      <c r="E302" s="306"/>
      <c r="F302" s="306"/>
      <c r="G302" s="306"/>
      <c r="H302" s="306"/>
      <c r="I302" s="306"/>
      <c r="J302" s="305"/>
      <c r="K302" s="305"/>
      <c r="L302" s="305"/>
      <c r="M302" s="305"/>
      <c r="N302" s="305"/>
      <c r="O302" s="305"/>
      <c r="P302" s="305"/>
      <c r="Q302" s="305"/>
      <c r="R302" s="305"/>
      <c r="S302" s="305"/>
      <c r="T302" s="305"/>
      <c r="U302" s="305"/>
      <c r="V302" s="305"/>
      <c r="W302" s="305"/>
      <c r="X302" s="305"/>
      <c r="Y302" s="305"/>
      <c r="Z302" s="305"/>
      <c r="AA302" s="305"/>
      <c r="AB302" s="305"/>
      <c r="AC302" s="305"/>
      <c r="AD302" s="305"/>
      <c r="AE302" s="305"/>
      <c r="AF302" s="305"/>
      <c r="AG302" s="305"/>
      <c r="AH302" s="305"/>
      <c r="AI302" s="305"/>
      <c r="AJ302" s="305"/>
      <c r="AK302" s="305"/>
      <c r="AL302" s="250"/>
      <c r="AM302" s="250"/>
      <c r="AN302" s="250"/>
      <c r="AO302" s="250"/>
      <c r="AP302" s="250"/>
      <c r="AQ302" s="250"/>
      <c r="AR302" s="250"/>
      <c r="AS302" s="250"/>
      <c r="AT302" s="250"/>
      <c r="AU302" s="250"/>
      <c r="AV302" s="250"/>
      <c r="AW302" s="250"/>
      <c r="AX302" s="250"/>
      <c r="AY302" s="250"/>
      <c r="AZ302" s="250"/>
      <c r="BA302" s="250"/>
      <c r="BB302" s="250"/>
      <c r="BC302" s="250"/>
      <c r="BD302" s="250"/>
      <c r="BE302" s="250"/>
      <c r="BF302" s="3"/>
    </row>
    <row r="303" spans="1:58" ht="14.25" customHeight="1" x14ac:dyDescent="0.45">
      <c r="A303" s="618"/>
      <c r="B303" s="215"/>
      <c r="C303" s="220"/>
      <c r="D303" s="221" t="s">
        <v>227</v>
      </c>
      <c r="E303" s="239">
        <f>'Copia de Electricidad'!D262*$E$616*$E$619</f>
        <v>4.9648835684336003E-3</v>
      </c>
      <c r="F303" s="239">
        <f>'Copia de Electricidad'!E262*$E$616*$E$619</f>
        <v>1.5466475773682566E-2</v>
      </c>
      <c r="G303" s="239">
        <f>'Copia de Electricidad'!F262*$E$616*$E$619</f>
        <v>4.2503720635851124E-4</v>
      </c>
      <c r="H303" s="239">
        <f>'Copia de Electricidad'!G262*$E$616*$E$619</f>
        <v>8.6506620244866227E-4</v>
      </c>
      <c r="I303" s="239"/>
      <c r="J303" s="305"/>
      <c r="K303" s="305"/>
      <c r="L303" s="305"/>
      <c r="M303" s="305"/>
      <c r="N303" s="305"/>
      <c r="O303" s="305"/>
      <c r="P303" s="305"/>
      <c r="Q303" s="305"/>
      <c r="R303" s="305"/>
      <c r="S303" s="305"/>
      <c r="T303" s="305"/>
      <c r="U303" s="305"/>
      <c r="V303" s="305"/>
      <c r="W303" s="305"/>
      <c r="X303" s="305"/>
      <c r="Y303" s="305"/>
      <c r="Z303" s="305"/>
      <c r="AA303" s="305"/>
      <c r="AB303" s="305"/>
      <c r="AC303" s="305"/>
      <c r="AD303" s="305"/>
      <c r="AE303" s="305"/>
      <c r="AF303" s="305"/>
      <c r="AG303" s="305"/>
      <c r="AH303" s="305"/>
      <c r="AI303" s="305"/>
      <c r="AJ303" s="305"/>
      <c r="AK303" s="305"/>
      <c r="AL303" s="250"/>
      <c r="AM303" s="250"/>
      <c r="AN303" s="250"/>
      <c r="AO303" s="250"/>
      <c r="AP303" s="250"/>
      <c r="AQ303" s="250"/>
      <c r="AR303" s="250"/>
      <c r="AS303" s="250"/>
      <c r="AT303" s="250"/>
      <c r="AU303" s="250"/>
      <c r="AV303" s="250"/>
      <c r="AW303" s="250"/>
      <c r="AX303" s="250"/>
      <c r="AY303" s="250"/>
      <c r="AZ303" s="250"/>
      <c r="BA303" s="250"/>
      <c r="BB303" s="250"/>
      <c r="BC303" s="250"/>
      <c r="BD303" s="250"/>
      <c r="BE303" s="250"/>
      <c r="BF303" s="3"/>
    </row>
    <row r="304" spans="1:58" ht="14.25" customHeight="1" x14ac:dyDescent="0.45">
      <c r="A304" s="618"/>
      <c r="B304" s="215"/>
      <c r="C304" s="220"/>
      <c r="D304" s="221" t="s">
        <v>229</v>
      </c>
      <c r="E304" s="239">
        <f>'Copia de Electricidad'!D263*$E$616*$E$619</f>
        <v>0</v>
      </c>
      <c r="F304" s="239">
        <f>'Copia de Electricidad'!E263*$E$616*$E$619</f>
        <v>0</v>
      </c>
      <c r="G304" s="239">
        <f>'Copia de Electricidad'!F263*$E$616*$E$619</f>
        <v>0</v>
      </c>
      <c r="H304" s="239">
        <f>'Copia de Electricidad'!G263*$E$616*$E$619</f>
        <v>0</v>
      </c>
      <c r="I304" s="239"/>
      <c r="J304" s="305"/>
      <c r="K304" s="305"/>
      <c r="L304" s="305"/>
      <c r="M304" s="305"/>
      <c r="N304" s="305"/>
      <c r="O304" s="305"/>
      <c r="P304" s="305"/>
      <c r="Q304" s="305"/>
      <c r="R304" s="305"/>
      <c r="S304" s="305"/>
      <c r="T304" s="305"/>
      <c r="U304" s="305"/>
      <c r="V304" s="305"/>
      <c r="W304" s="305"/>
      <c r="X304" s="305"/>
      <c r="Y304" s="305"/>
      <c r="Z304" s="305"/>
      <c r="AA304" s="305"/>
      <c r="AB304" s="305"/>
      <c r="AC304" s="305"/>
      <c r="AD304" s="305"/>
      <c r="AE304" s="305"/>
      <c r="AF304" s="305"/>
      <c r="AG304" s="305"/>
      <c r="AH304" s="305"/>
      <c r="AI304" s="305"/>
      <c r="AJ304" s="305"/>
      <c r="AK304" s="305"/>
      <c r="AL304" s="250"/>
      <c r="AM304" s="250"/>
      <c r="AN304" s="250"/>
      <c r="AO304" s="250"/>
      <c r="AP304" s="250"/>
      <c r="AQ304" s="250"/>
      <c r="AR304" s="250"/>
      <c r="AS304" s="250"/>
      <c r="AT304" s="250"/>
      <c r="AU304" s="250"/>
      <c r="AV304" s="250"/>
      <c r="AW304" s="250"/>
      <c r="AX304" s="250"/>
      <c r="AY304" s="250"/>
      <c r="AZ304" s="250"/>
      <c r="BA304" s="250"/>
      <c r="BB304" s="250"/>
      <c r="BC304" s="250"/>
      <c r="BD304" s="250"/>
      <c r="BE304" s="250"/>
      <c r="BF304" s="3"/>
    </row>
    <row r="305" spans="1:58" ht="14.25" customHeight="1" x14ac:dyDescent="0.45">
      <c r="A305" s="618"/>
      <c r="B305" s="215"/>
      <c r="C305" s="220"/>
      <c r="D305" s="224" t="s">
        <v>178</v>
      </c>
      <c r="E305" s="295">
        <f>SUM(E306:E307)</f>
        <v>1.1911906958021409E-2</v>
      </c>
      <c r="F305" s="295">
        <f>SUM(F306:F307)</f>
        <v>1.6161199699091643E-2</v>
      </c>
      <c r="G305" s="295">
        <f>SUM(G306:G307)</f>
        <v>1.4207230195575722E-2</v>
      </c>
      <c r="H305" s="295">
        <f>SUM(H306:H307)</f>
        <v>1.2320633946218941E-2</v>
      </c>
      <c r="I305" s="295"/>
      <c r="J305" s="305"/>
      <c r="K305" s="305"/>
      <c r="L305" s="305"/>
      <c r="M305" s="305"/>
      <c r="N305" s="305"/>
      <c r="O305" s="305"/>
      <c r="P305" s="305"/>
      <c r="Q305" s="305"/>
      <c r="R305" s="305"/>
      <c r="S305" s="305"/>
      <c r="T305" s="305"/>
      <c r="U305" s="305"/>
      <c r="V305" s="305"/>
      <c r="W305" s="305"/>
      <c r="X305" s="305"/>
      <c r="Y305" s="305"/>
      <c r="Z305" s="305"/>
      <c r="AA305" s="305"/>
      <c r="AB305" s="305"/>
      <c r="AC305" s="305"/>
      <c r="AD305" s="305"/>
      <c r="AE305" s="305"/>
      <c r="AF305" s="305"/>
      <c r="AG305" s="305"/>
      <c r="AH305" s="305"/>
      <c r="AI305" s="305"/>
      <c r="AJ305" s="305"/>
      <c r="AK305" s="305"/>
      <c r="AL305" s="250"/>
      <c r="AM305" s="250"/>
      <c r="AN305" s="250"/>
      <c r="AO305" s="250"/>
      <c r="AP305" s="250"/>
      <c r="AQ305" s="250"/>
      <c r="AR305" s="250"/>
      <c r="AS305" s="250"/>
      <c r="AT305" s="250"/>
      <c r="AU305" s="250"/>
      <c r="AV305" s="250"/>
      <c r="AW305" s="250"/>
      <c r="AX305" s="250"/>
      <c r="AY305" s="250"/>
      <c r="AZ305" s="250"/>
      <c r="BA305" s="250"/>
      <c r="BB305" s="250"/>
      <c r="BC305" s="250"/>
      <c r="BD305" s="250"/>
      <c r="BE305" s="250"/>
      <c r="BF305" s="3"/>
    </row>
    <row r="306" spans="1:58" ht="14.25" customHeight="1" x14ac:dyDescent="0.45">
      <c r="A306" s="618"/>
      <c r="B306" s="215"/>
      <c r="C306" s="220" t="s">
        <v>233</v>
      </c>
      <c r="D306" s="247" t="s">
        <v>223</v>
      </c>
      <c r="E306" s="307">
        <f>'Copia de Electricidad'!D265*$E$616*$E$619</f>
        <v>2.7137765765720759E-3</v>
      </c>
      <c r="F306" s="307">
        <f>'Copia de Electricidad'!E265*$E$616*$E$619</f>
        <v>2.608542631371581E-3</v>
      </c>
      <c r="G306" s="307">
        <f>'Copia de Electricidad'!F265*$E$616*$E$619</f>
        <v>2.6616093216863604E-3</v>
      </c>
      <c r="H306" s="307">
        <f>'Copia de Electricidad'!G265*$E$616*$E$619</f>
        <v>2.6574755164543822E-3</v>
      </c>
      <c r="I306" s="307">
        <v>2.4908329802083629E-3</v>
      </c>
      <c r="J306" s="305">
        <v>2.552855957591321E-3</v>
      </c>
      <c r="K306" s="305">
        <v>2.6148789349742796E-3</v>
      </c>
      <c r="L306" s="305">
        <v>2.6769019123572381E-3</v>
      </c>
      <c r="M306" s="305">
        <v>2.7389248897401967E-3</v>
      </c>
      <c r="N306" s="305">
        <v>2.8009478671231552E-3</v>
      </c>
      <c r="O306" s="305">
        <v>2.8629708445061137E-3</v>
      </c>
      <c r="P306" s="305">
        <v>2.9249938218890727E-3</v>
      </c>
      <c r="Q306" s="305">
        <v>2.98701679927203E-3</v>
      </c>
      <c r="R306" s="305">
        <v>3.0106142931830993E-3</v>
      </c>
      <c r="S306" s="305">
        <v>3.0342117870941691E-3</v>
      </c>
      <c r="T306" s="305">
        <v>3.0578092810052385E-3</v>
      </c>
      <c r="U306" s="305">
        <v>3.0814067749163078E-3</v>
      </c>
      <c r="V306" s="305">
        <v>3.1050042688273776E-3</v>
      </c>
      <c r="W306" s="305">
        <v>3.128601762738447E-3</v>
      </c>
      <c r="X306" s="305">
        <v>3.1521992566495168E-3</v>
      </c>
      <c r="Y306" s="305">
        <v>3.1757967505605862E-3</v>
      </c>
      <c r="Z306" s="305">
        <v>3.1993942444716555E-3</v>
      </c>
      <c r="AA306" s="305">
        <v>3.222991738382724E-3</v>
      </c>
      <c r="AB306" s="305">
        <v>3.2262147709189869E-3</v>
      </c>
      <c r="AC306" s="305">
        <v>3.2294378034552502E-3</v>
      </c>
      <c r="AD306" s="305">
        <v>3.232660835991513E-3</v>
      </c>
      <c r="AE306" s="305">
        <v>3.2358838685277763E-3</v>
      </c>
      <c r="AF306" s="305">
        <v>3.2391069010640396E-3</v>
      </c>
      <c r="AG306" s="305">
        <v>3.2423299336003025E-3</v>
      </c>
      <c r="AH306" s="305">
        <v>3.2455529661365654E-3</v>
      </c>
      <c r="AI306" s="305">
        <v>3.2487759986728291E-3</v>
      </c>
      <c r="AJ306" s="305">
        <v>3.2519990312090919E-3</v>
      </c>
      <c r="AK306" s="305">
        <v>3.2552220637453535E-3</v>
      </c>
      <c r="AL306" s="144">
        <f t="shared" ref="AL306:BE306" si="6">AK306</f>
        <v>3.2552220637453535E-3</v>
      </c>
      <c r="AM306" s="144">
        <f t="shared" si="6"/>
        <v>3.2552220637453535E-3</v>
      </c>
      <c r="AN306" s="144">
        <f t="shared" si="6"/>
        <v>3.2552220637453535E-3</v>
      </c>
      <c r="AO306" s="144">
        <f t="shared" si="6"/>
        <v>3.2552220637453535E-3</v>
      </c>
      <c r="AP306" s="144">
        <f t="shared" si="6"/>
        <v>3.2552220637453535E-3</v>
      </c>
      <c r="AQ306" s="144">
        <f t="shared" si="6"/>
        <v>3.2552220637453535E-3</v>
      </c>
      <c r="AR306" s="144">
        <f t="shared" si="6"/>
        <v>3.2552220637453535E-3</v>
      </c>
      <c r="AS306" s="144">
        <f t="shared" si="6"/>
        <v>3.2552220637453535E-3</v>
      </c>
      <c r="AT306" s="144">
        <f t="shared" si="6"/>
        <v>3.2552220637453535E-3</v>
      </c>
      <c r="AU306" s="144">
        <f t="shared" si="6"/>
        <v>3.2552220637453535E-3</v>
      </c>
      <c r="AV306" s="144">
        <f t="shared" si="6"/>
        <v>3.2552220637453535E-3</v>
      </c>
      <c r="AW306" s="144">
        <f t="shared" si="6"/>
        <v>3.2552220637453535E-3</v>
      </c>
      <c r="AX306" s="144">
        <f t="shared" si="6"/>
        <v>3.2552220637453535E-3</v>
      </c>
      <c r="AY306" s="144">
        <f t="shared" si="6"/>
        <v>3.2552220637453535E-3</v>
      </c>
      <c r="AZ306" s="144">
        <f t="shared" si="6"/>
        <v>3.2552220637453535E-3</v>
      </c>
      <c r="BA306" s="144">
        <f t="shared" si="6"/>
        <v>3.2552220637453535E-3</v>
      </c>
      <c r="BB306" s="144">
        <f t="shared" si="6"/>
        <v>3.2552220637453535E-3</v>
      </c>
      <c r="BC306" s="144">
        <f t="shared" si="6"/>
        <v>3.2552220637453535E-3</v>
      </c>
      <c r="BD306" s="144">
        <f t="shared" si="6"/>
        <v>3.2552220637453535E-3</v>
      </c>
      <c r="BE306" s="144">
        <f t="shared" si="6"/>
        <v>3.2552220637453535E-3</v>
      </c>
      <c r="BF306" s="3"/>
    </row>
    <row r="307" spans="1:58" ht="14.25" customHeight="1" x14ac:dyDescent="0.45">
      <c r="A307" s="618"/>
      <c r="B307" s="215"/>
      <c r="C307" s="220" t="s">
        <v>234</v>
      </c>
      <c r="D307" s="247" t="s">
        <v>225</v>
      </c>
      <c r="E307" s="307">
        <f>'Copia de Electricidad'!D266*$E$616*$E$619</f>
        <v>9.1981303814493327E-3</v>
      </c>
      <c r="F307" s="307">
        <f>'Copia de Electricidad'!E266*$E$616*$E$619</f>
        <v>1.3552657067720063E-2</v>
      </c>
      <c r="G307" s="307">
        <f>'Copia de Electricidad'!F266*$E$616*$E$619</f>
        <v>1.1545620873889361E-2</v>
      </c>
      <c r="H307" s="307">
        <f>'Copia de Electricidad'!G266*$E$616*$E$619</f>
        <v>9.6631584297645588E-3</v>
      </c>
      <c r="I307" s="239">
        <v>1.1305940356146977E-2</v>
      </c>
      <c r="J307" s="305">
        <v>1.1494100060849758E-2</v>
      </c>
      <c r="K307" s="305">
        <v>1.1685458184634923E-2</v>
      </c>
      <c r="L307" s="305">
        <v>1.1877520038485991E-2</v>
      </c>
      <c r="M307" s="305">
        <v>1.2072364692141237E-2</v>
      </c>
      <c r="N307" s="305">
        <v>1.2268587605510618E-2</v>
      </c>
      <c r="O307" s="305">
        <v>1.2467330514925126E-2</v>
      </c>
      <c r="P307" s="305">
        <v>1.2667563618988187E-2</v>
      </c>
      <c r="Q307" s="305">
        <v>1.2870741098499871E-2</v>
      </c>
      <c r="R307" s="305">
        <v>1.3074524000004637E-2</v>
      </c>
      <c r="S307" s="305">
        <v>1.327979514946343E-2</v>
      </c>
      <c r="T307" s="305">
        <v>1.3487078207699857E-2</v>
      </c>
      <c r="U307" s="305">
        <v>1.3695681124815071E-2</v>
      </c>
      <c r="V307" s="305">
        <v>1.3905151294335156E-2</v>
      </c>
      <c r="W307" s="305">
        <v>1.4115779747089581E-2</v>
      </c>
      <c r="X307" s="305">
        <v>1.4326781965190213E-2</v>
      </c>
      <c r="Y307" s="305">
        <v>1.4538780890880726E-2</v>
      </c>
      <c r="Z307" s="305">
        <v>1.4751984820473855E-2</v>
      </c>
      <c r="AA307" s="305">
        <v>1.4964769237399755E-2</v>
      </c>
      <c r="AB307" s="305">
        <v>1.5178673003669763E-2</v>
      </c>
      <c r="AC307" s="305">
        <v>1.5391127455875965E-2</v>
      </c>
      <c r="AD307" s="305">
        <v>1.5603593588249238E-2</v>
      </c>
      <c r="AE307" s="305">
        <v>1.5813544591313664E-2</v>
      </c>
      <c r="AF307" s="305">
        <v>1.6021179027909418E-2</v>
      </c>
      <c r="AG307" s="305">
        <v>1.6226207813901529E-2</v>
      </c>
      <c r="AH307" s="305">
        <v>1.6427936952696672E-2</v>
      </c>
      <c r="AI307" s="305">
        <v>1.6626267162874742E-2</v>
      </c>
      <c r="AJ307" s="305">
        <v>1.682194402843365E-2</v>
      </c>
      <c r="AK307" s="305">
        <v>1.7014031189313369E-2</v>
      </c>
      <c r="AL307" s="144">
        <f t="shared" ref="AL307:BE307" si="7">AK307</f>
        <v>1.7014031189313369E-2</v>
      </c>
      <c r="AM307" s="144">
        <f t="shared" si="7"/>
        <v>1.7014031189313369E-2</v>
      </c>
      <c r="AN307" s="144">
        <f t="shared" si="7"/>
        <v>1.7014031189313369E-2</v>
      </c>
      <c r="AO307" s="144">
        <f t="shared" si="7"/>
        <v>1.7014031189313369E-2</v>
      </c>
      <c r="AP307" s="144">
        <f t="shared" si="7"/>
        <v>1.7014031189313369E-2</v>
      </c>
      <c r="AQ307" s="144">
        <f t="shared" si="7"/>
        <v>1.7014031189313369E-2</v>
      </c>
      <c r="AR307" s="144">
        <f t="shared" si="7"/>
        <v>1.7014031189313369E-2</v>
      </c>
      <c r="AS307" s="144">
        <f t="shared" si="7"/>
        <v>1.7014031189313369E-2</v>
      </c>
      <c r="AT307" s="144">
        <f t="shared" si="7"/>
        <v>1.7014031189313369E-2</v>
      </c>
      <c r="AU307" s="144">
        <f t="shared" si="7"/>
        <v>1.7014031189313369E-2</v>
      </c>
      <c r="AV307" s="144">
        <f t="shared" si="7"/>
        <v>1.7014031189313369E-2</v>
      </c>
      <c r="AW307" s="144">
        <f t="shared" si="7"/>
        <v>1.7014031189313369E-2</v>
      </c>
      <c r="AX307" s="144">
        <f t="shared" si="7"/>
        <v>1.7014031189313369E-2</v>
      </c>
      <c r="AY307" s="144">
        <f t="shared" si="7"/>
        <v>1.7014031189313369E-2</v>
      </c>
      <c r="AZ307" s="144">
        <f t="shared" si="7"/>
        <v>1.7014031189313369E-2</v>
      </c>
      <c r="BA307" s="144">
        <f t="shared" si="7"/>
        <v>1.7014031189313369E-2</v>
      </c>
      <c r="BB307" s="144">
        <f t="shared" si="7"/>
        <v>1.7014031189313369E-2</v>
      </c>
      <c r="BC307" s="144">
        <f t="shared" si="7"/>
        <v>1.7014031189313369E-2</v>
      </c>
      <c r="BD307" s="144">
        <f t="shared" si="7"/>
        <v>1.7014031189313369E-2</v>
      </c>
      <c r="BE307" s="144">
        <f t="shared" si="7"/>
        <v>1.7014031189313369E-2</v>
      </c>
      <c r="BF307" s="3"/>
    </row>
    <row r="308" spans="1:58" ht="14.25" customHeight="1" x14ac:dyDescent="0.45">
      <c r="A308" s="618"/>
      <c r="B308" s="215"/>
      <c r="C308" s="220"/>
      <c r="D308" s="224" t="s">
        <v>179</v>
      </c>
      <c r="E308" s="295">
        <f>SUM(E309,E319,E324)</f>
        <v>13.819867425169914</v>
      </c>
      <c r="F308" s="295">
        <f>SUM(F309,F319,F324)</f>
        <v>14.708796505562336</v>
      </c>
      <c r="G308" s="295">
        <f>SUM(G309,G319,G324)</f>
        <v>14.094719642734757</v>
      </c>
      <c r="H308" s="295">
        <f>SUM(H309,H319,H324)</f>
        <v>14.423048127097751</v>
      </c>
      <c r="I308" s="295"/>
      <c r="J308" s="305"/>
      <c r="K308" s="305"/>
      <c r="L308" s="305"/>
      <c r="M308" s="305"/>
      <c r="N308" s="305"/>
      <c r="O308" s="305"/>
      <c r="P308" s="305"/>
      <c r="Q308" s="305"/>
      <c r="R308" s="305"/>
      <c r="S308" s="305"/>
      <c r="T308" s="305"/>
      <c r="U308" s="305"/>
      <c r="V308" s="305"/>
      <c r="W308" s="305"/>
      <c r="X308" s="305"/>
      <c r="Y308" s="305"/>
      <c r="Z308" s="305"/>
      <c r="AA308" s="305"/>
      <c r="AB308" s="305"/>
      <c r="AC308" s="305"/>
      <c r="AD308" s="305"/>
      <c r="AE308" s="305"/>
      <c r="AF308" s="305"/>
      <c r="AG308" s="305"/>
      <c r="AH308" s="305"/>
      <c r="AI308" s="305"/>
      <c r="AJ308" s="305"/>
      <c r="AK308" s="305"/>
      <c r="AL308" s="250"/>
      <c r="AM308" s="250"/>
      <c r="AN308" s="250"/>
      <c r="AO308" s="250"/>
      <c r="AP308" s="250"/>
      <c r="AQ308" s="250"/>
      <c r="AR308" s="250"/>
      <c r="AS308" s="250"/>
      <c r="AT308" s="250"/>
      <c r="AU308" s="250"/>
      <c r="AV308" s="250"/>
      <c r="AW308" s="250"/>
      <c r="AX308" s="250"/>
      <c r="AY308" s="250"/>
      <c r="AZ308" s="250"/>
      <c r="BA308" s="250"/>
      <c r="BB308" s="250"/>
      <c r="BC308" s="250"/>
      <c r="BD308" s="250"/>
      <c r="BE308" s="250"/>
      <c r="BF308" s="3"/>
    </row>
    <row r="309" spans="1:58" ht="14.25" customHeight="1" x14ac:dyDescent="0.45">
      <c r="A309" s="618"/>
      <c r="B309" s="215"/>
      <c r="C309" s="220"/>
      <c r="D309" s="228" t="s">
        <v>180</v>
      </c>
      <c r="E309" s="229">
        <f>SUM(E311:E318)</f>
        <v>12.56787201616967</v>
      </c>
      <c r="F309" s="229">
        <f>SUM(F311:F318)</f>
        <v>13.5425032617628</v>
      </c>
      <c r="G309" s="229">
        <f>SUM(G311:G318)</f>
        <v>13.092180962536633</v>
      </c>
      <c r="H309" s="229">
        <f>SUM(H311:H318)</f>
        <v>13.180736524103695</v>
      </c>
      <c r="I309" s="229"/>
      <c r="J309" s="305"/>
      <c r="K309" s="305"/>
      <c r="L309" s="305"/>
      <c r="M309" s="305"/>
      <c r="N309" s="305"/>
      <c r="O309" s="305"/>
      <c r="P309" s="305"/>
      <c r="Q309" s="305"/>
      <c r="R309" s="305"/>
      <c r="S309" s="305"/>
      <c r="T309" s="305"/>
      <c r="U309" s="305"/>
      <c r="V309" s="305"/>
      <c r="W309" s="305"/>
      <c r="X309" s="305"/>
      <c r="Y309" s="305"/>
      <c r="Z309" s="305"/>
      <c r="AA309" s="305"/>
      <c r="AB309" s="305"/>
      <c r="AC309" s="305"/>
      <c r="AD309" s="305"/>
      <c r="AE309" s="305"/>
      <c r="AF309" s="305"/>
      <c r="AG309" s="305"/>
      <c r="AH309" s="305"/>
      <c r="AI309" s="305"/>
      <c r="AJ309" s="305"/>
      <c r="AK309" s="305"/>
      <c r="AL309" s="250"/>
      <c r="AM309" s="250"/>
      <c r="AN309" s="250"/>
      <c r="AO309" s="250"/>
      <c r="AP309" s="250"/>
      <c r="AQ309" s="250"/>
      <c r="AR309" s="250"/>
      <c r="AS309" s="250"/>
      <c r="AT309" s="250"/>
      <c r="AU309" s="250"/>
      <c r="AV309" s="250"/>
      <c r="AW309" s="250"/>
      <c r="AX309" s="250"/>
      <c r="AY309" s="250"/>
      <c r="AZ309" s="250"/>
      <c r="BA309" s="250"/>
      <c r="BB309" s="250"/>
      <c r="BC309" s="250"/>
      <c r="BD309" s="250"/>
      <c r="BE309" s="250"/>
      <c r="BF309" s="3"/>
    </row>
    <row r="310" spans="1:58" ht="14.25" customHeight="1" x14ac:dyDescent="0.45">
      <c r="A310" s="618"/>
      <c r="B310" s="215"/>
      <c r="C310" s="220"/>
      <c r="D310" s="247" t="s">
        <v>225</v>
      </c>
      <c r="E310" s="306"/>
      <c r="F310" s="306"/>
      <c r="G310" s="306"/>
      <c r="H310" s="306"/>
      <c r="I310" s="306"/>
      <c r="J310" s="305"/>
      <c r="K310" s="305"/>
      <c r="L310" s="305"/>
      <c r="M310" s="305"/>
      <c r="N310" s="305"/>
      <c r="O310" s="305"/>
      <c r="P310" s="305"/>
      <c r="Q310" s="305"/>
      <c r="R310" s="305"/>
      <c r="S310" s="305"/>
      <c r="T310" s="305"/>
      <c r="U310" s="305"/>
      <c r="V310" s="305"/>
      <c r="W310" s="305"/>
      <c r="X310" s="305"/>
      <c r="Y310" s="305"/>
      <c r="Z310" s="305"/>
      <c r="AA310" s="305"/>
      <c r="AB310" s="305"/>
      <c r="AC310" s="305"/>
      <c r="AD310" s="305"/>
      <c r="AE310" s="305"/>
      <c r="AF310" s="305"/>
      <c r="AG310" s="305"/>
      <c r="AH310" s="308"/>
      <c r="AI310" s="308"/>
      <c r="AJ310" s="308"/>
      <c r="AK310" s="305"/>
      <c r="AL310" s="250"/>
      <c r="AM310" s="250"/>
      <c r="AN310" s="250"/>
      <c r="AO310" s="250"/>
      <c r="AP310" s="250"/>
      <c r="AQ310" s="250"/>
      <c r="AR310" s="250"/>
      <c r="AS310" s="250"/>
      <c r="AT310" s="250"/>
      <c r="AU310" s="250"/>
      <c r="AV310" s="250"/>
      <c r="AW310" s="250"/>
      <c r="AX310" s="250"/>
      <c r="AY310" s="250"/>
      <c r="AZ310" s="250"/>
      <c r="BA310" s="250"/>
      <c r="BB310" s="250"/>
      <c r="BC310" s="250"/>
      <c r="BD310" s="250"/>
      <c r="BE310" s="250"/>
      <c r="BF310" s="3"/>
    </row>
    <row r="311" spans="1:58" ht="14.25" customHeight="1" x14ac:dyDescent="0.45">
      <c r="A311" s="618"/>
      <c r="B311" s="215"/>
      <c r="C311" s="220" t="s">
        <v>235</v>
      </c>
      <c r="D311" s="243" t="s">
        <v>236</v>
      </c>
      <c r="E311" s="232">
        <f>'Copia de Electricidad'!D270*$E$616*$E$619</f>
        <v>0.43270039621413703</v>
      </c>
      <c r="F311" s="232">
        <f>'Copia de Electricidad'!E270*$E$616*$E$619</f>
        <v>0.39093061488840219</v>
      </c>
      <c r="G311" s="232">
        <f>'Copia de Electricidad'!F270*$E$616*$E$619</f>
        <v>0.43032588668140792</v>
      </c>
      <c r="H311" s="232">
        <f>'Copia de Electricidad'!G270*$E$616*$E$619</f>
        <v>5.4123072534759967E-2</v>
      </c>
      <c r="I311" s="232">
        <v>0.41814211421753761</v>
      </c>
      <c r="J311" s="305"/>
      <c r="K311" s="305"/>
      <c r="L311" s="305"/>
      <c r="M311" s="305"/>
      <c r="N311" s="305"/>
      <c r="O311" s="305"/>
      <c r="P311" s="305"/>
      <c r="Q311" s="305"/>
      <c r="R311" s="305"/>
      <c r="S311" s="305"/>
      <c r="T311" s="305"/>
      <c r="U311" s="305"/>
      <c r="V311" s="305"/>
      <c r="W311" s="305"/>
      <c r="X311" s="305"/>
      <c r="Y311" s="305"/>
      <c r="Z311" s="305"/>
      <c r="AA311" s="305"/>
      <c r="AB311" s="305"/>
      <c r="AC311" s="305"/>
      <c r="AD311" s="305"/>
      <c r="AE311" s="305"/>
      <c r="AF311" s="305"/>
      <c r="AG311" s="305"/>
      <c r="AH311" s="308"/>
      <c r="AI311" s="308"/>
      <c r="AJ311" s="308"/>
      <c r="AK311" s="305"/>
      <c r="AL311" s="250"/>
      <c r="AM311" s="250"/>
      <c r="AN311" s="250"/>
      <c r="AO311" s="250"/>
      <c r="AP311" s="250"/>
      <c r="AQ311" s="250"/>
      <c r="AR311" s="250"/>
      <c r="AS311" s="250"/>
      <c r="AT311" s="250"/>
      <c r="AU311" s="250"/>
      <c r="AV311" s="250"/>
      <c r="AW311" s="250"/>
      <c r="AX311" s="250"/>
      <c r="AY311" s="250"/>
      <c r="AZ311" s="250"/>
      <c r="BA311" s="250"/>
      <c r="BB311" s="250"/>
      <c r="BC311" s="250"/>
      <c r="BD311" s="250"/>
      <c r="BE311" s="250"/>
      <c r="BF311" s="3"/>
    </row>
    <row r="312" spans="1:58" ht="14.25" customHeight="1" x14ac:dyDescent="0.45">
      <c r="A312" s="618"/>
      <c r="B312" s="215"/>
      <c r="C312" s="220"/>
      <c r="D312" s="247" t="s">
        <v>223</v>
      </c>
      <c r="E312" s="306"/>
      <c r="F312" s="306"/>
      <c r="G312" s="306"/>
      <c r="H312" s="306"/>
      <c r="I312" s="306"/>
      <c r="J312" s="305"/>
      <c r="K312" s="305"/>
      <c r="L312" s="305"/>
      <c r="M312" s="305"/>
      <c r="N312" s="305"/>
      <c r="O312" s="305"/>
      <c r="P312" s="305"/>
      <c r="Q312" s="305"/>
      <c r="R312" s="305"/>
      <c r="S312" s="305"/>
      <c r="T312" s="305"/>
      <c r="U312" s="305"/>
      <c r="V312" s="305"/>
      <c r="W312" s="305"/>
      <c r="X312" s="305"/>
      <c r="Y312" s="305"/>
      <c r="Z312" s="305"/>
      <c r="AA312" s="305"/>
      <c r="AB312" s="305"/>
      <c r="AC312" s="305"/>
      <c r="AD312" s="305"/>
      <c r="AE312" s="305"/>
      <c r="AF312" s="305"/>
      <c r="AG312" s="305"/>
      <c r="AH312" s="308"/>
      <c r="AI312" s="308"/>
      <c r="AJ312" s="308"/>
      <c r="AK312" s="305"/>
      <c r="AL312" s="250"/>
      <c r="AM312" s="250"/>
      <c r="AN312" s="250"/>
      <c r="AO312" s="250"/>
      <c r="AP312" s="250"/>
      <c r="AQ312" s="250"/>
      <c r="AR312" s="250"/>
      <c r="AS312" s="250"/>
      <c r="AT312" s="250"/>
      <c r="AU312" s="250"/>
      <c r="AV312" s="250"/>
      <c r="AW312" s="250"/>
      <c r="AX312" s="250"/>
      <c r="AY312" s="250"/>
      <c r="AZ312" s="250"/>
      <c r="BA312" s="250"/>
      <c r="BB312" s="250"/>
      <c r="BC312" s="250"/>
      <c r="BD312" s="250"/>
      <c r="BE312" s="250"/>
      <c r="BF312" s="3"/>
    </row>
    <row r="313" spans="1:58" ht="14.25" customHeight="1" x14ac:dyDescent="0.45">
      <c r="A313" s="618"/>
      <c r="B313" s="215"/>
      <c r="C313" s="220" t="s">
        <v>237</v>
      </c>
      <c r="D313" s="243" t="s">
        <v>236</v>
      </c>
      <c r="E313" s="232">
        <f>'Copia de Electricidad'!D272*$E$616*$E$619</f>
        <v>0.16729498980591478</v>
      </c>
      <c r="F313" s="232">
        <f>'Copia de Electricidad'!E272*$E$616*$E$619</f>
        <v>0.17261134571738854</v>
      </c>
      <c r="G313" s="232">
        <f>'Copia de Electricidad'!F272*$E$616*$E$619</f>
        <v>0.15157285850587504</v>
      </c>
      <c r="H313" s="232">
        <f>'Copia de Electricidad'!G272*$E$616*$E$619</f>
        <v>0.1673302683041851</v>
      </c>
      <c r="I313" s="232">
        <v>0.17642600211707543</v>
      </c>
      <c r="J313" s="305"/>
      <c r="K313" s="305"/>
      <c r="L313" s="305"/>
      <c r="M313" s="305"/>
      <c r="N313" s="305"/>
      <c r="O313" s="305"/>
      <c r="P313" s="305"/>
      <c r="Q313" s="305"/>
      <c r="R313" s="305"/>
      <c r="S313" s="305"/>
      <c r="T313" s="305"/>
      <c r="U313" s="305"/>
      <c r="V313" s="305"/>
      <c r="W313" s="305"/>
      <c r="X313" s="305"/>
      <c r="Y313" s="305"/>
      <c r="Z313" s="305"/>
      <c r="AA313" s="305"/>
      <c r="AB313" s="305"/>
      <c r="AC313" s="305"/>
      <c r="AD313" s="305"/>
      <c r="AE313" s="305"/>
      <c r="AF313" s="305"/>
      <c r="AG313" s="305"/>
      <c r="AH313" s="308"/>
      <c r="AI313" s="308"/>
      <c r="AJ313" s="308"/>
      <c r="AK313" s="305"/>
      <c r="AL313" s="250"/>
      <c r="AM313" s="250"/>
      <c r="AN313" s="250"/>
      <c r="AO313" s="250"/>
      <c r="AP313" s="250"/>
      <c r="AQ313" s="250"/>
      <c r="AR313" s="250"/>
      <c r="AS313" s="250"/>
      <c r="AT313" s="250"/>
      <c r="AU313" s="250"/>
      <c r="AV313" s="250"/>
      <c r="AW313" s="250"/>
      <c r="AX313" s="250"/>
      <c r="AY313" s="250"/>
      <c r="AZ313" s="250"/>
      <c r="BA313" s="250"/>
      <c r="BB313" s="250"/>
      <c r="BC313" s="250"/>
      <c r="BD313" s="250"/>
      <c r="BE313" s="250"/>
      <c r="BF313" s="3"/>
    </row>
    <row r="314" spans="1:58" ht="14.25" customHeight="1" x14ac:dyDescent="0.45">
      <c r="A314" s="618"/>
      <c r="B314" s="215"/>
      <c r="C314" s="220"/>
      <c r="D314" s="247" t="s">
        <v>238</v>
      </c>
      <c r="E314" s="306"/>
      <c r="F314" s="306"/>
      <c r="G314" s="306"/>
      <c r="H314" s="306"/>
      <c r="I314" s="306"/>
      <c r="J314" s="305"/>
      <c r="K314" s="305"/>
      <c r="L314" s="305"/>
      <c r="M314" s="305"/>
      <c r="N314" s="305"/>
      <c r="O314" s="305"/>
      <c r="P314" s="305"/>
      <c r="Q314" s="305"/>
      <c r="R314" s="305"/>
      <c r="S314" s="305"/>
      <c r="T314" s="305"/>
      <c r="U314" s="305"/>
      <c r="V314" s="305"/>
      <c r="W314" s="305"/>
      <c r="X314" s="305"/>
      <c r="Y314" s="305"/>
      <c r="Z314" s="305"/>
      <c r="AA314" s="305"/>
      <c r="AB314" s="305"/>
      <c r="AC314" s="305"/>
      <c r="AD314" s="305"/>
      <c r="AE314" s="305"/>
      <c r="AF314" s="305"/>
      <c r="AG314" s="305"/>
      <c r="AH314" s="308"/>
      <c r="AI314" s="308"/>
      <c r="AJ314" s="308"/>
      <c r="AK314" s="305"/>
      <c r="AL314" s="250"/>
      <c r="AM314" s="250"/>
      <c r="AN314" s="250"/>
      <c r="AO314" s="250"/>
      <c r="AP314" s="250"/>
      <c r="AQ314" s="250"/>
      <c r="AR314" s="250"/>
      <c r="AS314" s="250"/>
      <c r="AT314" s="250"/>
      <c r="AU314" s="250"/>
      <c r="AV314" s="250"/>
      <c r="AW314" s="250"/>
      <c r="AX314" s="250"/>
      <c r="AY314" s="250"/>
      <c r="AZ314" s="250"/>
      <c r="BA314" s="250"/>
      <c r="BB314" s="250"/>
      <c r="BC314" s="250"/>
      <c r="BD314" s="250"/>
      <c r="BE314" s="250"/>
      <c r="BF314" s="3"/>
    </row>
    <row r="315" spans="1:58" ht="14.25" customHeight="1" x14ac:dyDescent="0.45">
      <c r="A315" s="618"/>
      <c r="B315" s="215"/>
      <c r="C315" s="220" t="s">
        <v>239</v>
      </c>
      <c r="D315" s="243" t="s">
        <v>240</v>
      </c>
      <c r="E315" s="309">
        <f>'Copia de Electricidad'!D274*$E$616*$E$619</f>
        <v>6.1733477417638296</v>
      </c>
      <c r="F315" s="309">
        <f>'Copia de Electricidad'!E274*$E$616*$E$619</f>
        <v>6.0833170956848344</v>
      </c>
      <c r="G315" s="310">
        <f>'Copia de Electricidad'!F274*$E$616*$E$619</f>
        <v>5.888688991034396</v>
      </c>
      <c r="H315" s="310">
        <f>'Copia de Electricidad'!G274*$E$616*$E$619</f>
        <v>6.2429099765640172</v>
      </c>
      <c r="I315" s="309">
        <v>0.62</v>
      </c>
      <c r="J315" s="305"/>
      <c r="K315" s="305"/>
      <c r="L315" s="305"/>
      <c r="M315" s="305"/>
      <c r="N315" s="305"/>
      <c r="O315" s="305"/>
      <c r="P315" s="305"/>
      <c r="Q315" s="305"/>
      <c r="R315" s="305"/>
      <c r="S315" s="305"/>
      <c r="T315" s="305"/>
      <c r="U315" s="305"/>
      <c r="V315" s="305"/>
      <c r="W315" s="305"/>
      <c r="X315" s="305"/>
      <c r="Y315" s="305"/>
      <c r="Z315" s="305"/>
      <c r="AA315" s="305"/>
      <c r="AB315" s="305"/>
      <c r="AC315" s="305"/>
      <c r="AD315" s="305"/>
      <c r="AE315" s="305"/>
      <c r="AF315" s="305"/>
      <c r="AG315" s="305"/>
      <c r="AH315" s="308"/>
      <c r="AI315" s="308"/>
      <c r="AJ315" s="308"/>
      <c r="AK315" s="305"/>
      <c r="AL315" s="250"/>
      <c r="AM315" s="250"/>
      <c r="AN315" s="250"/>
      <c r="AO315" s="250"/>
      <c r="AP315" s="250"/>
      <c r="AQ315" s="250"/>
      <c r="AR315" s="250"/>
      <c r="AS315" s="250"/>
      <c r="AT315" s="250"/>
      <c r="AU315" s="250"/>
      <c r="AV315" s="250"/>
      <c r="AW315" s="250"/>
      <c r="AX315" s="250"/>
      <c r="AY315" s="250"/>
      <c r="AZ315" s="250"/>
      <c r="BA315" s="250"/>
      <c r="BB315" s="250"/>
      <c r="BC315" s="250"/>
      <c r="BD315" s="250"/>
      <c r="BE315" s="250"/>
      <c r="BF315" s="3"/>
    </row>
    <row r="316" spans="1:58" ht="14.25" customHeight="1" x14ac:dyDescent="0.45">
      <c r="A316" s="618"/>
      <c r="B316" s="215"/>
      <c r="C316" s="220" t="s">
        <v>241</v>
      </c>
      <c r="D316" s="243" t="s">
        <v>236</v>
      </c>
      <c r="E316" s="309">
        <f>'Copia de Electricidad'!D275*$E$616*$E$619</f>
        <v>3.3806036127133026</v>
      </c>
      <c r="F316" s="309">
        <f>'Copia de Electricidad'!E275*$E$616*$E$619</f>
        <v>4.6115294101722144</v>
      </c>
      <c r="G316" s="311">
        <f>'Copia de Electricidad'!F275*$E$616*$E$619</f>
        <v>4.3923622974545813</v>
      </c>
      <c r="H316" s="309">
        <f>'Copia de Electricidad'!G275*$E$616*$E$619</f>
        <v>4.2525678199035006</v>
      </c>
      <c r="I316" s="309"/>
      <c r="J316" s="305"/>
      <c r="K316" s="305"/>
      <c r="L316" s="305"/>
      <c r="M316" s="305"/>
      <c r="N316" s="305"/>
      <c r="O316" s="305"/>
      <c r="P316" s="305"/>
      <c r="Q316" s="305"/>
      <c r="R316" s="305"/>
      <c r="S316" s="305"/>
      <c r="T316" s="305"/>
      <c r="U316" s="305"/>
      <c r="V316" s="305"/>
      <c r="W316" s="305"/>
      <c r="X316" s="305"/>
      <c r="Y316" s="305"/>
      <c r="Z316" s="305"/>
      <c r="AA316" s="305"/>
      <c r="AB316" s="305"/>
      <c r="AC316" s="305"/>
      <c r="AD316" s="305"/>
      <c r="AE316" s="305"/>
      <c r="AF316" s="305"/>
      <c r="AG316" s="305"/>
      <c r="AH316" s="308"/>
      <c r="AI316" s="308"/>
      <c r="AJ316" s="308"/>
      <c r="AK316" s="305"/>
      <c r="AL316" s="250"/>
      <c r="AM316" s="250"/>
      <c r="AN316" s="250"/>
      <c r="AO316" s="250"/>
      <c r="AP316" s="250"/>
      <c r="AQ316" s="250"/>
      <c r="AR316" s="250"/>
      <c r="AS316" s="250"/>
      <c r="AT316" s="250"/>
      <c r="AU316" s="250"/>
      <c r="AV316" s="250"/>
      <c r="AW316" s="250"/>
      <c r="AX316" s="250"/>
      <c r="AY316" s="250"/>
      <c r="AZ316" s="250"/>
      <c r="BA316" s="250"/>
      <c r="BB316" s="250"/>
      <c r="BC316" s="250"/>
      <c r="BD316" s="250"/>
      <c r="BE316" s="250"/>
      <c r="BF316" s="3"/>
    </row>
    <row r="317" spans="1:58" ht="14.25" customHeight="1" x14ac:dyDescent="0.45">
      <c r="A317" s="618"/>
      <c r="B317" s="215"/>
      <c r="C317" s="220" t="s">
        <v>242</v>
      </c>
      <c r="D317" s="243" t="s">
        <v>243</v>
      </c>
      <c r="E317" s="309">
        <f>'Copia de Electricidad'!D276*$E$616*$E$619</f>
        <v>0.2575263520496211</v>
      </c>
      <c r="F317" s="309">
        <f>'Copia de Electricidad'!E276*$E$616*$E$619</f>
        <v>0.23785670320179342</v>
      </c>
      <c r="G317" s="309">
        <f>'Copia de Electricidad'!F276*$E$616*$E$619</f>
        <v>0.24978138552478479</v>
      </c>
      <c r="H317" s="309">
        <f>'Copia de Electricidad'!G276*$E$616*$E$619</f>
        <v>0.25535890608017148</v>
      </c>
      <c r="I317" s="309"/>
      <c r="J317" s="305"/>
      <c r="K317" s="305"/>
      <c r="L317" s="305"/>
      <c r="M317" s="305"/>
      <c r="N317" s="305"/>
      <c r="O317" s="305"/>
      <c r="P317" s="305"/>
      <c r="Q317" s="305"/>
      <c r="R317" s="305"/>
      <c r="S317" s="305"/>
      <c r="T317" s="305"/>
      <c r="U317" s="305"/>
      <c r="V317" s="305"/>
      <c r="W317" s="305"/>
      <c r="X317" s="305"/>
      <c r="Y317" s="305"/>
      <c r="Z317" s="305"/>
      <c r="AA317" s="305"/>
      <c r="AB317" s="305"/>
      <c r="AC317" s="305"/>
      <c r="AD317" s="305"/>
      <c r="AE317" s="305"/>
      <c r="AF317" s="305"/>
      <c r="AG317" s="305"/>
      <c r="AH317" s="308"/>
      <c r="AI317" s="308"/>
      <c r="AJ317" s="308"/>
      <c r="AK317" s="305"/>
      <c r="AL317" s="250"/>
      <c r="AM317" s="250"/>
      <c r="AN317" s="250"/>
      <c r="AO317" s="250"/>
      <c r="AP317" s="250"/>
      <c r="AQ317" s="250"/>
      <c r="AR317" s="250"/>
      <c r="AS317" s="250"/>
      <c r="AT317" s="250"/>
      <c r="AU317" s="250"/>
      <c r="AV317" s="250"/>
      <c r="AW317" s="250"/>
      <c r="AX317" s="250"/>
      <c r="AY317" s="250"/>
      <c r="AZ317" s="250"/>
      <c r="BA317" s="250"/>
      <c r="BB317" s="250"/>
      <c r="BC317" s="250"/>
      <c r="BD317" s="250"/>
      <c r="BE317" s="250"/>
      <c r="BF317" s="3"/>
    </row>
    <row r="318" spans="1:58" ht="14.25" customHeight="1" x14ac:dyDescent="0.45">
      <c r="A318" s="618"/>
      <c r="B318" s="215"/>
      <c r="C318" s="220" t="s">
        <v>244</v>
      </c>
      <c r="D318" s="243" t="s">
        <v>245</v>
      </c>
      <c r="E318" s="309">
        <f>'Copia de Electricidad'!D277*$E$616*$E$619</f>
        <v>2.1563989236228625</v>
      </c>
      <c r="F318" s="309">
        <f>'Copia de Electricidad'!E277*$E$616*$E$619</f>
        <v>2.0462580920981668</v>
      </c>
      <c r="G318" s="310">
        <f>'Copia de Electricidad'!F277*$E$616*$E$619</f>
        <v>1.9794495433355883</v>
      </c>
      <c r="H318" s="310">
        <f>'Copia de Electricidad'!G277*$E$616*$E$619</f>
        <v>2.2084464807170594</v>
      </c>
      <c r="I318" s="309"/>
      <c r="J318" s="305"/>
      <c r="K318" s="305"/>
      <c r="L318" s="305"/>
      <c r="M318" s="305"/>
      <c r="N318" s="305"/>
      <c r="O318" s="305"/>
      <c r="P318" s="305"/>
      <c r="Q318" s="305"/>
      <c r="R318" s="305"/>
      <c r="S318" s="305"/>
      <c r="T318" s="305"/>
      <c r="U318" s="305"/>
      <c r="V318" s="305"/>
      <c r="W318" s="305"/>
      <c r="X318" s="305"/>
      <c r="Y318" s="305"/>
      <c r="Z318" s="305"/>
      <c r="AA318" s="305"/>
      <c r="AB318" s="305"/>
      <c r="AC318" s="305"/>
      <c r="AD318" s="305"/>
      <c r="AE318" s="305"/>
      <c r="AF318" s="305"/>
      <c r="AG318" s="305"/>
      <c r="AH318" s="308"/>
      <c r="AI318" s="308"/>
      <c r="AJ318" s="308"/>
      <c r="AK318" s="305"/>
      <c r="AL318" s="250"/>
      <c r="AM318" s="250"/>
      <c r="AN318" s="250"/>
      <c r="AO318" s="250"/>
      <c r="AP318" s="250"/>
      <c r="AQ318" s="250"/>
      <c r="AR318" s="250"/>
      <c r="AS318" s="250"/>
      <c r="AT318" s="250"/>
      <c r="AU318" s="250"/>
      <c r="AV318" s="250"/>
      <c r="AW318" s="250"/>
      <c r="AX318" s="250"/>
      <c r="AY318" s="250"/>
      <c r="AZ318" s="250"/>
      <c r="BA318" s="250"/>
      <c r="BB318" s="250"/>
      <c r="BC318" s="250"/>
      <c r="BD318" s="250"/>
      <c r="BE318" s="250"/>
      <c r="BF318" s="3"/>
    </row>
    <row r="319" spans="1:58" ht="14.25" customHeight="1" x14ac:dyDescent="0.45">
      <c r="A319" s="618"/>
      <c r="B319" s="215"/>
      <c r="C319" s="220"/>
      <c r="D319" s="228" t="s">
        <v>188</v>
      </c>
      <c r="E319" s="312">
        <f>SUM(E321:E323)</f>
        <v>1.1462218025423112</v>
      </c>
      <c r="F319" s="312">
        <f>SUM(F321:F323)</f>
        <v>1.0688304207061539</v>
      </c>
      <c r="G319" s="312">
        <f>SUM(G321:G323)</f>
        <v>0.98431388780542295</v>
      </c>
      <c r="H319" s="312">
        <f>SUM(H321:H323)</f>
        <v>1.1415192068003743</v>
      </c>
      <c r="I319" s="312"/>
      <c r="J319" s="305"/>
      <c r="K319" s="305"/>
      <c r="L319" s="305"/>
      <c r="M319" s="305"/>
      <c r="N319" s="305"/>
      <c r="O319" s="305"/>
      <c r="P319" s="305"/>
      <c r="Q319" s="305"/>
      <c r="R319" s="305"/>
      <c r="S319" s="305"/>
      <c r="T319" s="305"/>
      <c r="U319" s="305"/>
      <c r="V319" s="305"/>
      <c r="W319" s="305"/>
      <c r="X319" s="305"/>
      <c r="Y319" s="305"/>
      <c r="Z319" s="305"/>
      <c r="AA319" s="305"/>
      <c r="AB319" s="305"/>
      <c r="AC319" s="305"/>
      <c r="AD319" s="305"/>
      <c r="AE319" s="305"/>
      <c r="AF319" s="305"/>
      <c r="AG319" s="305"/>
      <c r="AH319" s="308"/>
      <c r="AI319" s="308"/>
      <c r="AJ319" s="308"/>
      <c r="AK319" s="305"/>
      <c r="AL319" s="250"/>
      <c r="AM319" s="250"/>
      <c r="AN319" s="250"/>
      <c r="AO319" s="250"/>
      <c r="AP319" s="250"/>
      <c r="AQ319" s="250"/>
      <c r="AR319" s="250"/>
      <c r="AS319" s="250"/>
      <c r="AT319" s="250"/>
      <c r="AU319" s="250"/>
      <c r="AV319" s="250"/>
      <c r="AW319" s="250"/>
      <c r="AX319" s="250"/>
      <c r="AY319" s="250"/>
      <c r="AZ319" s="250"/>
      <c r="BA319" s="250"/>
      <c r="BB319" s="250"/>
      <c r="BC319" s="250"/>
      <c r="BD319" s="250"/>
      <c r="BE319" s="250"/>
      <c r="BF319" s="3"/>
    </row>
    <row r="320" spans="1:58" ht="14.25" customHeight="1" x14ac:dyDescent="0.45">
      <c r="A320" s="618"/>
      <c r="B320" s="215"/>
      <c r="C320" s="220"/>
      <c r="D320" s="247" t="s">
        <v>238</v>
      </c>
      <c r="E320" s="313"/>
      <c r="F320" s="313"/>
      <c r="G320" s="313"/>
      <c r="H320" s="313"/>
      <c r="I320" s="313"/>
      <c r="J320" s="305"/>
      <c r="K320" s="305"/>
      <c r="L320" s="305"/>
      <c r="M320" s="305"/>
      <c r="N320" s="305"/>
      <c r="O320" s="305"/>
      <c r="P320" s="305"/>
      <c r="Q320" s="305"/>
      <c r="R320" s="305"/>
      <c r="S320" s="305"/>
      <c r="T320" s="305"/>
      <c r="U320" s="305"/>
      <c r="V320" s="305"/>
      <c r="W320" s="305"/>
      <c r="X320" s="305"/>
      <c r="Y320" s="305"/>
      <c r="Z320" s="305"/>
      <c r="AA320" s="305"/>
      <c r="AB320" s="305"/>
      <c r="AC320" s="305"/>
      <c r="AD320" s="305"/>
      <c r="AE320" s="305"/>
      <c r="AF320" s="305"/>
      <c r="AG320" s="305"/>
      <c r="AH320" s="308"/>
      <c r="AI320" s="308"/>
      <c r="AJ320" s="308"/>
      <c r="AK320" s="305"/>
      <c r="AL320" s="250"/>
      <c r="AM320" s="250"/>
      <c r="AN320" s="250"/>
      <c r="AO320" s="250"/>
      <c r="AP320" s="250"/>
      <c r="AQ320" s="250"/>
      <c r="AR320" s="250"/>
      <c r="AS320" s="250"/>
      <c r="AT320" s="250"/>
      <c r="AU320" s="250"/>
      <c r="AV320" s="250"/>
      <c r="AW320" s="250"/>
      <c r="AX320" s="250"/>
      <c r="AY320" s="250"/>
      <c r="AZ320" s="250"/>
      <c r="BA320" s="250"/>
      <c r="BB320" s="250"/>
      <c r="BC320" s="250"/>
      <c r="BD320" s="250"/>
      <c r="BE320" s="250"/>
      <c r="BF320" s="3"/>
    </row>
    <row r="321" spans="1:58" ht="14.25" customHeight="1" x14ac:dyDescent="0.45">
      <c r="A321" s="618"/>
      <c r="B321" s="215"/>
      <c r="C321" s="220" t="s">
        <v>246</v>
      </c>
      <c r="D321" s="243" t="s">
        <v>236</v>
      </c>
      <c r="E321" s="43">
        <f>'Copia de Electricidad'!D280*$E$616*$E$619</f>
        <v>0.56457202108179305</v>
      </c>
      <c r="F321" s="43">
        <f>'Copia de Electricidad'!E280*$E$616*$E$619</f>
        <v>0.55416591293809569</v>
      </c>
      <c r="G321" s="44">
        <f>'Copia de Electricidad'!F280*$E$616*$E$619</f>
        <v>0.49379485713910076</v>
      </c>
      <c r="H321" s="45">
        <f>'Copia de Electricidad'!G280*$E$616*$E$619</f>
        <v>0.50357343277808397</v>
      </c>
      <c r="I321" s="45"/>
      <c r="J321" s="305"/>
      <c r="K321" s="305"/>
      <c r="L321" s="305"/>
      <c r="M321" s="305"/>
      <c r="N321" s="305"/>
      <c r="O321" s="305"/>
      <c r="P321" s="305"/>
      <c r="Q321" s="305"/>
      <c r="R321" s="305"/>
      <c r="S321" s="305"/>
      <c r="T321" s="305"/>
      <c r="U321" s="305"/>
      <c r="V321" s="305"/>
      <c r="W321" s="305"/>
      <c r="X321" s="305"/>
      <c r="Y321" s="305"/>
      <c r="Z321" s="305"/>
      <c r="AA321" s="305"/>
      <c r="AB321" s="305"/>
      <c r="AC321" s="305"/>
      <c r="AD321" s="305"/>
      <c r="AE321" s="305"/>
      <c r="AF321" s="305"/>
      <c r="AG321" s="305"/>
      <c r="AH321" s="308"/>
      <c r="AI321" s="308"/>
      <c r="AJ321" s="308"/>
      <c r="AK321" s="305"/>
      <c r="AL321" s="250"/>
      <c r="AM321" s="250"/>
      <c r="AN321" s="250"/>
      <c r="AO321" s="250"/>
      <c r="AP321" s="250"/>
      <c r="AQ321" s="250"/>
      <c r="AR321" s="250"/>
      <c r="AS321" s="250"/>
      <c r="AT321" s="250"/>
      <c r="AU321" s="250"/>
      <c r="AV321" s="250"/>
      <c r="AW321" s="250"/>
      <c r="AX321" s="250"/>
      <c r="AY321" s="250"/>
      <c r="AZ321" s="250"/>
      <c r="BA321" s="250"/>
      <c r="BB321" s="250"/>
      <c r="BC321" s="250"/>
      <c r="BD321" s="250"/>
      <c r="BE321" s="250"/>
      <c r="BF321" s="3"/>
    </row>
    <row r="322" spans="1:58" ht="14.25" customHeight="1" x14ac:dyDescent="0.45">
      <c r="A322" s="618"/>
      <c r="B322" s="215"/>
      <c r="C322" s="220" t="s">
        <v>247</v>
      </c>
      <c r="D322" s="243" t="s">
        <v>248</v>
      </c>
      <c r="E322" s="43">
        <f>'Copia de Electricidad'!D281*$E$616*$E$619</f>
        <v>0.53543750866355</v>
      </c>
      <c r="F322" s="43">
        <f>'Copia de Electricidad'!E281*$E$616*$E$619</f>
        <v>0.48766237686504016</v>
      </c>
      <c r="G322" s="44">
        <f>'Copia de Electricidad'!F281*$E$616*$E$619</f>
        <v>0.46653296939210137</v>
      </c>
      <c r="H322" s="46">
        <f>'Copia de Electricidad'!G281*$E$616*$E$619</f>
        <v>0.63096614789726968</v>
      </c>
      <c r="I322" s="45"/>
      <c r="J322" s="305"/>
      <c r="K322" s="305"/>
      <c r="L322" s="305"/>
      <c r="M322" s="305"/>
      <c r="N322" s="305"/>
      <c r="O322" s="305"/>
      <c r="P322" s="305"/>
      <c r="Q322" s="305"/>
      <c r="R322" s="305"/>
      <c r="S322" s="305"/>
      <c r="T322" s="305"/>
      <c r="U322" s="305"/>
      <c r="V322" s="305"/>
      <c r="W322" s="305"/>
      <c r="X322" s="305"/>
      <c r="Y322" s="305"/>
      <c r="Z322" s="305"/>
      <c r="AA322" s="305"/>
      <c r="AB322" s="305"/>
      <c r="AC322" s="305"/>
      <c r="AD322" s="305"/>
      <c r="AE322" s="305"/>
      <c r="AF322" s="305"/>
      <c r="AG322" s="305"/>
      <c r="AH322" s="308"/>
      <c r="AI322" s="308"/>
      <c r="AJ322" s="308"/>
      <c r="AK322" s="305"/>
      <c r="AL322" s="250"/>
      <c r="AM322" s="250"/>
      <c r="AN322" s="250"/>
      <c r="AO322" s="250"/>
      <c r="AP322" s="250"/>
      <c r="AQ322" s="250"/>
      <c r="AR322" s="250"/>
      <c r="AS322" s="250"/>
      <c r="AT322" s="250"/>
      <c r="AU322" s="250"/>
      <c r="AV322" s="250"/>
      <c r="AW322" s="250"/>
      <c r="AX322" s="250"/>
      <c r="AY322" s="250"/>
      <c r="AZ322" s="250"/>
      <c r="BA322" s="250"/>
      <c r="BB322" s="250"/>
      <c r="BC322" s="250"/>
      <c r="BD322" s="250"/>
      <c r="BE322" s="250"/>
      <c r="BF322" s="3"/>
    </row>
    <row r="323" spans="1:58" ht="14.25" customHeight="1" x14ac:dyDescent="0.45">
      <c r="A323" s="618"/>
      <c r="B323" s="215"/>
      <c r="C323" s="220" t="s">
        <v>249</v>
      </c>
      <c r="D323" s="243" t="s">
        <v>240</v>
      </c>
      <c r="E323" s="43">
        <f>'Copia de Electricidad'!D282*$E$616*$E$619</f>
        <v>4.6212272796968046E-2</v>
      </c>
      <c r="F323" s="43">
        <f>'Copia de Electricidad'!E282*$E$616*$E$619</f>
        <v>2.7002130903017896E-2</v>
      </c>
      <c r="G323" s="44">
        <f>'Copia de Electricidad'!F282*$E$616*$E$619</f>
        <v>2.3986061274220826E-2</v>
      </c>
      <c r="H323" s="46">
        <f>'Copia de Electricidad'!G282*$E$616*$E$619</f>
        <v>6.9796261250205226E-3</v>
      </c>
      <c r="I323" s="45"/>
      <c r="J323" s="305"/>
      <c r="K323" s="305"/>
      <c r="L323" s="305"/>
      <c r="M323" s="305"/>
      <c r="N323" s="305"/>
      <c r="O323" s="305"/>
      <c r="P323" s="305"/>
      <c r="Q323" s="305"/>
      <c r="R323" s="305"/>
      <c r="S323" s="305"/>
      <c r="T323" s="305"/>
      <c r="U323" s="305"/>
      <c r="V323" s="305"/>
      <c r="W323" s="305"/>
      <c r="X323" s="305"/>
      <c r="Y323" s="305"/>
      <c r="Z323" s="305"/>
      <c r="AA323" s="305"/>
      <c r="AB323" s="305"/>
      <c r="AC323" s="305"/>
      <c r="AD323" s="305"/>
      <c r="AE323" s="305"/>
      <c r="AF323" s="305"/>
      <c r="AG323" s="305"/>
      <c r="AH323" s="308"/>
      <c r="AI323" s="308"/>
      <c r="AJ323" s="308"/>
      <c r="AK323" s="305"/>
      <c r="AL323" s="250"/>
      <c r="AM323" s="250"/>
      <c r="AN323" s="250"/>
      <c r="AO323" s="250"/>
      <c r="AP323" s="250"/>
      <c r="AQ323" s="250"/>
      <c r="AR323" s="250"/>
      <c r="AS323" s="250"/>
      <c r="AT323" s="250"/>
      <c r="AU323" s="250"/>
      <c r="AV323" s="250"/>
      <c r="AW323" s="250"/>
      <c r="AX323" s="250"/>
      <c r="AY323" s="250"/>
      <c r="AZ323" s="250"/>
      <c r="BA323" s="250"/>
      <c r="BB323" s="250"/>
      <c r="BC323" s="250"/>
      <c r="BD323" s="250"/>
      <c r="BE323" s="250"/>
      <c r="BF323" s="3"/>
    </row>
    <row r="324" spans="1:58" ht="14.25" customHeight="1" x14ac:dyDescent="0.45">
      <c r="A324" s="618"/>
      <c r="B324" s="215"/>
      <c r="C324" s="220"/>
      <c r="D324" s="228" t="s">
        <v>193</v>
      </c>
      <c r="E324" s="229">
        <f>SUM(E326:E330)</f>
        <v>0.10577360645793345</v>
      </c>
      <c r="F324" s="229">
        <f>SUM(F326:F330)</f>
        <v>9.7462823093381765E-2</v>
      </c>
      <c r="G324" s="229">
        <f>SUM(G326:G330)</f>
        <v>1.8224792392701895E-2</v>
      </c>
      <c r="H324" s="229">
        <f>SUM(H326:H330)</f>
        <v>0.10079239619368158</v>
      </c>
      <c r="I324" s="229"/>
      <c r="J324" s="305"/>
      <c r="K324" s="305"/>
      <c r="L324" s="305"/>
      <c r="M324" s="305"/>
      <c r="N324" s="305"/>
      <c r="O324" s="305"/>
      <c r="P324" s="305"/>
      <c r="Q324" s="305"/>
      <c r="R324" s="305"/>
      <c r="S324" s="305"/>
      <c r="T324" s="305"/>
      <c r="U324" s="305"/>
      <c r="V324" s="305"/>
      <c r="W324" s="305"/>
      <c r="X324" s="305"/>
      <c r="Y324" s="305"/>
      <c r="Z324" s="305"/>
      <c r="AA324" s="305"/>
      <c r="AB324" s="305"/>
      <c r="AC324" s="305"/>
      <c r="AD324" s="305"/>
      <c r="AE324" s="305"/>
      <c r="AF324" s="305"/>
      <c r="AG324" s="305"/>
      <c r="AH324" s="308"/>
      <c r="AI324" s="308"/>
      <c r="AJ324" s="308"/>
      <c r="AK324" s="305"/>
      <c r="AL324" s="250"/>
      <c r="AM324" s="250"/>
      <c r="AN324" s="250"/>
      <c r="AO324" s="250"/>
      <c r="AP324" s="250"/>
      <c r="AQ324" s="250"/>
      <c r="AR324" s="250"/>
      <c r="AS324" s="250"/>
      <c r="AT324" s="250"/>
      <c r="AU324" s="250"/>
      <c r="AV324" s="250"/>
      <c r="AW324" s="250"/>
      <c r="AX324" s="250"/>
      <c r="AY324" s="250"/>
      <c r="AZ324" s="250"/>
      <c r="BA324" s="250"/>
      <c r="BB324" s="250"/>
      <c r="BC324" s="250"/>
      <c r="BD324" s="250"/>
      <c r="BE324" s="250"/>
      <c r="BF324" s="3"/>
    </row>
    <row r="325" spans="1:58" ht="14.25" customHeight="1" x14ac:dyDescent="0.45">
      <c r="A325" s="618"/>
      <c r="B325" s="215"/>
      <c r="C325" s="220"/>
      <c r="D325" s="247" t="s">
        <v>225</v>
      </c>
      <c r="E325" s="306"/>
      <c r="F325" s="306"/>
      <c r="G325" s="306"/>
      <c r="H325" s="306"/>
      <c r="I325" s="306"/>
      <c r="J325" s="305"/>
      <c r="K325" s="305"/>
      <c r="L325" s="305"/>
      <c r="M325" s="305"/>
      <c r="N325" s="305"/>
      <c r="O325" s="305"/>
      <c r="P325" s="305"/>
      <c r="Q325" s="305"/>
      <c r="R325" s="305"/>
      <c r="S325" s="305"/>
      <c r="T325" s="305"/>
      <c r="U325" s="305"/>
      <c r="V325" s="305"/>
      <c r="W325" s="305"/>
      <c r="X325" s="305"/>
      <c r="Y325" s="305"/>
      <c r="Z325" s="305"/>
      <c r="AA325" s="305"/>
      <c r="AB325" s="305"/>
      <c r="AC325" s="305"/>
      <c r="AD325" s="305"/>
      <c r="AE325" s="305"/>
      <c r="AF325" s="305"/>
      <c r="AG325" s="305"/>
      <c r="AH325" s="305"/>
      <c r="AI325" s="305"/>
      <c r="AJ325" s="305"/>
      <c r="AK325" s="305"/>
      <c r="AL325" s="618"/>
      <c r="AM325" s="3"/>
      <c r="AN325" s="3"/>
      <c r="AO325" s="3"/>
      <c r="AP325" s="3"/>
      <c r="AQ325" s="3"/>
      <c r="AR325" s="3"/>
      <c r="AS325" s="3"/>
      <c r="AT325" s="3"/>
      <c r="AU325" s="3"/>
      <c r="AV325" s="3"/>
      <c r="AW325" s="3"/>
      <c r="AX325" s="3"/>
      <c r="AY325" s="3"/>
      <c r="AZ325" s="3"/>
      <c r="BA325" s="3"/>
      <c r="BB325" s="3"/>
      <c r="BC325" s="3"/>
      <c r="BD325" s="3"/>
      <c r="BE325" s="3"/>
      <c r="BF325" s="3"/>
    </row>
    <row r="326" spans="1:58" ht="14.25" customHeight="1" x14ac:dyDescent="0.45">
      <c r="A326" s="618"/>
      <c r="B326" s="215"/>
      <c r="C326" s="220" t="s">
        <v>250</v>
      </c>
      <c r="D326" s="243" t="s">
        <v>236</v>
      </c>
      <c r="E326" s="47">
        <f>'Copia de Electricidad'!D285*$E$616*$E$619</f>
        <v>6.0801835004730329E-6</v>
      </c>
      <c r="F326" s="47">
        <f>'Copia de Electricidad'!E285*$E$616*$E$619</f>
        <v>0</v>
      </c>
      <c r="G326" s="47">
        <f>'Copia de Electricidad'!F285*$E$616*$E$619</f>
        <v>0</v>
      </c>
      <c r="H326" s="47">
        <f>'Copia de Electricidad'!G285*$E$616*$E$619</f>
        <v>0</v>
      </c>
      <c r="I326" s="48"/>
      <c r="J326" s="305"/>
      <c r="K326" s="305"/>
      <c r="L326" s="305"/>
      <c r="M326" s="305"/>
      <c r="N326" s="305"/>
      <c r="O326" s="305"/>
      <c r="P326" s="305"/>
      <c r="Q326" s="305"/>
      <c r="R326" s="305"/>
      <c r="S326" s="305"/>
      <c r="T326" s="305"/>
      <c r="U326" s="305"/>
      <c r="V326" s="305"/>
      <c r="W326" s="305"/>
      <c r="X326" s="305"/>
      <c r="Y326" s="305"/>
      <c r="Z326" s="305"/>
      <c r="AA326" s="305"/>
      <c r="AB326" s="305"/>
      <c r="AC326" s="305"/>
      <c r="AD326" s="305"/>
      <c r="AE326" s="305"/>
      <c r="AF326" s="305"/>
      <c r="AG326" s="305"/>
      <c r="AH326" s="305"/>
      <c r="AI326" s="305"/>
      <c r="AJ326" s="305"/>
      <c r="AK326" s="305"/>
      <c r="AL326" s="618"/>
      <c r="AM326" s="3"/>
      <c r="AN326" s="3"/>
      <c r="AO326" s="3"/>
      <c r="AP326" s="3"/>
      <c r="AQ326" s="3"/>
      <c r="AR326" s="3"/>
      <c r="AS326" s="3"/>
      <c r="AT326" s="3"/>
      <c r="AU326" s="3"/>
      <c r="AV326" s="3"/>
      <c r="AW326" s="3"/>
      <c r="AX326" s="3"/>
      <c r="AY326" s="3"/>
      <c r="AZ326" s="3"/>
      <c r="BA326" s="3"/>
      <c r="BB326" s="3"/>
      <c r="BC326" s="3"/>
      <c r="BD326" s="3"/>
      <c r="BE326" s="3"/>
      <c r="BF326" s="3"/>
    </row>
    <row r="327" spans="1:58" ht="14.25" customHeight="1" x14ac:dyDescent="0.45">
      <c r="A327" s="618"/>
      <c r="B327" s="215"/>
      <c r="C327" s="220"/>
      <c r="D327" s="247" t="s">
        <v>230</v>
      </c>
      <c r="E327" s="306"/>
      <c r="F327" s="306"/>
      <c r="G327" s="306"/>
      <c r="H327" s="306"/>
      <c r="I327" s="306"/>
      <c r="J327" s="305"/>
      <c r="K327" s="305"/>
      <c r="L327" s="305"/>
      <c r="M327" s="305"/>
      <c r="N327" s="305"/>
      <c r="O327" s="305"/>
      <c r="P327" s="305"/>
      <c r="Q327" s="305"/>
      <c r="R327" s="305"/>
      <c r="S327" s="305"/>
      <c r="T327" s="305"/>
      <c r="U327" s="305"/>
      <c r="V327" s="305"/>
      <c r="W327" s="305"/>
      <c r="X327" s="305"/>
      <c r="Y327" s="305"/>
      <c r="Z327" s="305"/>
      <c r="AA327" s="305"/>
      <c r="AB327" s="305"/>
      <c r="AC327" s="305"/>
      <c r="AD327" s="305"/>
      <c r="AE327" s="305"/>
      <c r="AF327" s="305"/>
      <c r="AG327" s="305"/>
      <c r="AH327" s="305"/>
      <c r="AI327" s="305"/>
      <c r="AJ327" s="305"/>
      <c r="AK327" s="305"/>
      <c r="AL327" s="618"/>
      <c r="AM327" s="3"/>
      <c r="AN327" s="3"/>
      <c r="AO327" s="3"/>
      <c r="AP327" s="3"/>
      <c r="AQ327" s="3"/>
      <c r="AR327" s="3"/>
      <c r="AS327" s="3"/>
      <c r="AT327" s="3"/>
      <c r="AU327" s="3"/>
      <c r="AV327" s="3"/>
      <c r="AW327" s="3"/>
      <c r="AX327" s="3"/>
      <c r="AY327" s="3"/>
      <c r="AZ327" s="3"/>
      <c r="BA327" s="3"/>
      <c r="BB327" s="3"/>
      <c r="BC327" s="3"/>
      <c r="BD327" s="3"/>
      <c r="BE327" s="3"/>
      <c r="BF327" s="3"/>
    </row>
    <row r="328" spans="1:58" ht="14.25" customHeight="1" x14ac:dyDescent="0.45">
      <c r="A328" s="618"/>
      <c r="B328" s="215"/>
      <c r="C328" s="220" t="s">
        <v>251</v>
      </c>
      <c r="D328" s="243" t="s">
        <v>236</v>
      </c>
      <c r="E328" s="218">
        <f>'Copia de Electricidad'!D287*$E$616*$E$619</f>
        <v>1.0793225148768695E-4</v>
      </c>
      <c r="F328" s="218">
        <f>'Copia de Electricidad'!E287*$E$616*$E$619</f>
        <v>4.3388765098050153E-5</v>
      </c>
      <c r="G328" s="218">
        <f>'Copia de Electricidad'!F287*$E$616*$E$619</f>
        <v>4.3172900595074785E-7</v>
      </c>
      <c r="H328" s="218">
        <f>'Copia de Electricidad'!G287*$E$616*$E$619</f>
        <v>0</v>
      </c>
      <c r="I328" s="218"/>
      <c r="J328" s="305"/>
      <c r="K328" s="305"/>
      <c r="L328" s="305"/>
      <c r="M328" s="305"/>
      <c r="N328" s="305"/>
      <c r="O328" s="305"/>
      <c r="P328" s="305"/>
      <c r="Q328" s="305"/>
      <c r="R328" s="305"/>
      <c r="S328" s="305"/>
      <c r="T328" s="305"/>
      <c r="U328" s="305"/>
      <c r="V328" s="305"/>
      <c r="W328" s="305"/>
      <c r="X328" s="305"/>
      <c r="Y328" s="305"/>
      <c r="Z328" s="305"/>
      <c r="AA328" s="305"/>
      <c r="AB328" s="305"/>
      <c r="AC328" s="305"/>
      <c r="AD328" s="305"/>
      <c r="AE328" s="305"/>
      <c r="AF328" s="305"/>
      <c r="AG328" s="305"/>
      <c r="AH328" s="305"/>
      <c r="AI328" s="305"/>
      <c r="AJ328" s="305"/>
      <c r="AK328" s="305"/>
      <c r="AL328" s="618"/>
      <c r="AM328" s="3"/>
      <c r="AN328" s="3"/>
      <c r="AO328" s="3"/>
      <c r="AP328" s="3"/>
      <c r="AQ328" s="3"/>
      <c r="AR328" s="3"/>
      <c r="AS328" s="3"/>
      <c r="AT328" s="3"/>
      <c r="AU328" s="3"/>
      <c r="AV328" s="3"/>
      <c r="AW328" s="3"/>
      <c r="AX328" s="3"/>
      <c r="AY328" s="3"/>
      <c r="AZ328" s="3"/>
      <c r="BA328" s="3"/>
      <c r="BB328" s="3"/>
      <c r="BC328" s="3"/>
      <c r="BD328" s="3"/>
      <c r="BE328" s="3"/>
      <c r="BF328" s="3"/>
    </row>
    <row r="329" spans="1:58" ht="14.25" customHeight="1" x14ac:dyDescent="0.45">
      <c r="A329" s="618"/>
      <c r="B329" s="215"/>
      <c r="C329" s="220"/>
      <c r="D329" s="247" t="s">
        <v>238</v>
      </c>
      <c r="E329" s="306"/>
      <c r="F329" s="306"/>
      <c r="G329" s="306"/>
      <c r="H329" s="306"/>
      <c r="I329" s="306"/>
      <c r="J329" s="305"/>
      <c r="K329" s="305"/>
      <c r="L329" s="305"/>
      <c r="M329" s="305"/>
      <c r="N329" s="305"/>
      <c r="O329" s="305"/>
      <c r="P329" s="305"/>
      <c r="Q329" s="305"/>
      <c r="R329" s="305"/>
      <c r="S329" s="305"/>
      <c r="T329" s="305"/>
      <c r="U329" s="305"/>
      <c r="V329" s="305"/>
      <c r="W329" s="305"/>
      <c r="X329" s="305"/>
      <c r="Y329" s="305"/>
      <c r="Z329" s="305"/>
      <c r="AA329" s="305"/>
      <c r="AB329" s="305"/>
      <c r="AC329" s="305"/>
      <c r="AD329" s="305"/>
      <c r="AE329" s="305"/>
      <c r="AF329" s="305"/>
      <c r="AG329" s="305"/>
      <c r="AH329" s="305"/>
      <c r="AI329" s="305"/>
      <c r="AJ329" s="305"/>
      <c r="AK329" s="305"/>
      <c r="AL329" s="618"/>
      <c r="AM329" s="3"/>
      <c r="AN329" s="3"/>
      <c r="AO329" s="3"/>
      <c r="AP329" s="3"/>
      <c r="AQ329" s="3"/>
      <c r="AR329" s="3"/>
      <c r="AS329" s="3"/>
      <c r="AT329" s="3"/>
      <c r="AU329" s="3"/>
      <c r="AV329" s="3"/>
      <c r="AW329" s="3"/>
      <c r="AX329" s="3"/>
      <c r="AY329" s="3"/>
      <c r="AZ329" s="3"/>
      <c r="BA329" s="3"/>
      <c r="BB329" s="3"/>
      <c r="BC329" s="3"/>
      <c r="BD329" s="3"/>
      <c r="BE329" s="3"/>
      <c r="BF329" s="3"/>
    </row>
    <row r="330" spans="1:58" ht="14.25" customHeight="1" x14ac:dyDescent="0.45">
      <c r="A330" s="618"/>
      <c r="B330" s="215"/>
      <c r="C330" s="220" t="s">
        <v>252</v>
      </c>
      <c r="D330" s="243" t="s">
        <v>245</v>
      </c>
      <c r="E330" s="232">
        <f>'Copia de Electricidad'!D289*$E$616*$E$619</f>
        <v>0.10565959402294529</v>
      </c>
      <c r="F330" s="232">
        <f>'Copia de Electricidad'!E289*$E$616*$E$619</f>
        <v>9.7419434328283719E-2</v>
      </c>
      <c r="G330" s="232">
        <f>'Copia de Electricidad'!F289*$E$616*$E$619</f>
        <v>1.8224360663695944E-2</v>
      </c>
      <c r="H330" s="232">
        <f>'Copia de Electricidad'!G289*$E$616*$E$619</f>
        <v>0.10079239619368158</v>
      </c>
      <c r="I330" s="232"/>
      <c r="J330" s="305"/>
      <c r="K330" s="305"/>
      <c r="L330" s="305"/>
      <c r="M330" s="305"/>
      <c r="N330" s="305"/>
      <c r="O330" s="305"/>
      <c r="P330" s="305"/>
      <c r="Q330" s="305"/>
      <c r="R330" s="305"/>
      <c r="S330" s="305"/>
      <c r="T330" s="305"/>
      <c r="U330" s="305"/>
      <c r="V330" s="305"/>
      <c r="W330" s="305"/>
      <c r="X330" s="305"/>
      <c r="Y330" s="305"/>
      <c r="Z330" s="305"/>
      <c r="AA330" s="305"/>
      <c r="AB330" s="305"/>
      <c r="AC330" s="305"/>
      <c r="AD330" s="305"/>
      <c r="AE330" s="305"/>
      <c r="AF330" s="305"/>
      <c r="AG330" s="305"/>
      <c r="AH330" s="305"/>
      <c r="AI330" s="305"/>
      <c r="AJ330" s="305"/>
      <c r="AK330" s="305"/>
      <c r="AL330" s="618"/>
      <c r="AM330" s="3"/>
      <c r="AN330" s="3"/>
      <c r="AO330" s="3"/>
      <c r="AP330" s="3"/>
      <c r="AQ330" s="3"/>
      <c r="AR330" s="3"/>
      <c r="AS330" s="3"/>
      <c r="AT330" s="3"/>
      <c r="AU330" s="3"/>
      <c r="AV330" s="3"/>
      <c r="AW330" s="3"/>
      <c r="AX330" s="3"/>
      <c r="AY330" s="3"/>
      <c r="AZ330" s="3"/>
      <c r="BA330" s="3"/>
      <c r="BB330" s="3"/>
      <c r="BC330" s="3"/>
      <c r="BD330" s="3"/>
      <c r="BE330" s="3"/>
      <c r="BF330" s="3"/>
    </row>
    <row r="331" spans="1:58" ht="14.25" customHeight="1" x14ac:dyDescent="0.45">
      <c r="A331" s="618"/>
      <c r="B331" s="215"/>
      <c r="C331" s="220"/>
      <c r="D331" s="314" t="s">
        <v>347</v>
      </c>
      <c r="E331" s="295"/>
      <c r="F331" s="295"/>
      <c r="G331" s="295"/>
      <c r="H331" s="295"/>
      <c r="I331" s="295"/>
      <c r="J331" s="305"/>
      <c r="K331" s="305"/>
      <c r="L331" s="305"/>
      <c r="M331" s="305"/>
      <c r="N331" s="305"/>
      <c r="O331" s="305"/>
      <c r="P331" s="305"/>
      <c r="Q331" s="305"/>
      <c r="R331" s="305"/>
      <c r="S331" s="305"/>
      <c r="T331" s="305"/>
      <c r="U331" s="305"/>
      <c r="V331" s="305"/>
      <c r="W331" s="305"/>
      <c r="X331" s="305"/>
      <c r="Y331" s="305"/>
      <c r="Z331" s="305"/>
      <c r="AA331" s="305"/>
      <c r="AB331" s="305"/>
      <c r="AC331" s="305"/>
      <c r="AD331" s="305"/>
      <c r="AE331" s="305"/>
      <c r="AF331" s="305"/>
      <c r="AG331" s="305"/>
      <c r="AH331" s="305"/>
      <c r="AI331" s="305"/>
      <c r="AJ331" s="305"/>
      <c r="AK331" s="305"/>
      <c r="AL331" s="618"/>
      <c r="AM331" s="3"/>
      <c r="AN331" s="3"/>
      <c r="AO331" s="3"/>
      <c r="AP331" s="3"/>
      <c r="AQ331" s="3"/>
      <c r="AR331" s="3"/>
      <c r="AS331" s="3"/>
      <c r="AT331" s="3"/>
      <c r="AU331" s="3"/>
      <c r="AV331" s="3"/>
      <c r="AW331" s="3"/>
      <c r="AX331" s="3"/>
      <c r="AY331" s="3"/>
      <c r="AZ331" s="3"/>
      <c r="BA331" s="3"/>
      <c r="BB331" s="3"/>
      <c r="BC331" s="3"/>
      <c r="BD331" s="3"/>
      <c r="BE331" s="3"/>
      <c r="BF331" s="3"/>
    </row>
    <row r="332" spans="1:58" ht="14.25" customHeight="1" x14ac:dyDescent="0.45">
      <c r="A332" s="618"/>
      <c r="B332" s="215"/>
      <c r="C332" s="220"/>
      <c r="D332" s="221" t="s">
        <v>59</v>
      </c>
      <c r="E332" s="295">
        <f>E294+E295+E297+E308+E331</f>
        <v>13.902506077318217</v>
      </c>
      <c r="F332" s="295">
        <f>F294+F295+F297+F308+F331</f>
        <v>14.805889013100863</v>
      </c>
      <c r="G332" s="295">
        <f>G294+G295+G297+G308+G331</f>
        <v>14.187791386086031</v>
      </c>
      <c r="H332" s="295">
        <f>H294+H295+H297+H308+H331</f>
        <v>14.498710243581167</v>
      </c>
      <c r="I332" s="295"/>
      <c r="J332" s="618"/>
      <c r="K332" s="618"/>
      <c r="L332" s="618"/>
      <c r="M332" s="618"/>
      <c r="N332" s="618"/>
      <c r="O332" s="618"/>
      <c r="P332" s="618"/>
      <c r="Q332" s="618"/>
      <c r="R332" s="618"/>
      <c r="S332" s="618"/>
      <c r="T332" s="618"/>
      <c r="U332" s="618"/>
      <c r="V332" s="618"/>
      <c r="W332" s="618"/>
      <c r="X332" s="618"/>
      <c r="Y332" s="618"/>
      <c r="Z332" s="618"/>
      <c r="AA332" s="618"/>
      <c r="AB332" s="618"/>
      <c r="AC332" s="618"/>
      <c r="AD332" s="618"/>
      <c r="AE332" s="618"/>
      <c r="AF332" s="618"/>
      <c r="AG332" s="618"/>
      <c r="AH332" s="618"/>
      <c r="AI332" s="618"/>
      <c r="AJ332" s="618"/>
      <c r="AK332" s="618"/>
      <c r="AL332" s="618"/>
      <c r="AM332" s="3"/>
      <c r="AN332" s="3"/>
      <c r="AO332" s="3"/>
      <c r="AP332" s="3"/>
      <c r="AQ332" s="3"/>
      <c r="AR332" s="3"/>
      <c r="AS332" s="3"/>
      <c r="AT332" s="3"/>
      <c r="AU332" s="3"/>
      <c r="AV332" s="3"/>
      <c r="AW332" s="3"/>
      <c r="AX332" s="3"/>
      <c r="AY332" s="3"/>
      <c r="AZ332" s="3"/>
      <c r="BA332" s="3"/>
      <c r="BB332" s="3"/>
      <c r="BC332" s="3"/>
      <c r="BD332" s="3"/>
      <c r="BE332" s="3"/>
      <c r="BF332" s="3"/>
    </row>
    <row r="333" spans="1:58" ht="14.25" customHeight="1" x14ac:dyDescent="0.45">
      <c r="A333" s="618"/>
      <c r="B333" s="215"/>
      <c r="C333" s="220"/>
      <c r="D333" s="243"/>
      <c r="E333" s="232"/>
      <c r="F333" s="232"/>
      <c r="G333" s="232"/>
      <c r="H333" s="294"/>
      <c r="I333" s="618"/>
      <c r="J333" s="618"/>
      <c r="K333" s="618"/>
      <c r="L333" s="618"/>
      <c r="M333" s="618"/>
      <c r="N333" s="618"/>
      <c r="O333" s="618"/>
      <c r="P333" s="618"/>
      <c r="Q333" s="618"/>
      <c r="R333" s="618"/>
      <c r="S333" s="618"/>
      <c r="T333" s="618"/>
      <c r="U333" s="618"/>
      <c r="V333" s="618"/>
      <c r="W333" s="618"/>
      <c r="X333" s="618"/>
      <c r="Y333" s="618"/>
      <c r="Z333" s="618"/>
      <c r="AA333" s="618"/>
      <c r="AB333" s="618"/>
      <c r="AC333" s="618"/>
      <c r="AD333" s="618"/>
      <c r="AE333" s="618"/>
      <c r="AF333" s="618"/>
      <c r="AG333" s="618"/>
      <c r="AH333" s="618"/>
      <c r="AI333" s="618"/>
      <c r="AJ333" s="618"/>
      <c r="AK333" s="618"/>
      <c r="AL333" s="618"/>
      <c r="AM333" s="3"/>
      <c r="AN333" s="3"/>
      <c r="AO333" s="3"/>
      <c r="AP333" s="3"/>
      <c r="AQ333" s="3"/>
      <c r="AR333" s="3"/>
      <c r="AS333" s="3"/>
      <c r="AT333" s="3"/>
      <c r="AU333" s="3"/>
      <c r="AV333" s="3"/>
      <c r="AW333" s="3"/>
      <c r="AX333" s="3"/>
      <c r="AY333" s="3"/>
      <c r="AZ333" s="3"/>
      <c r="BA333" s="3"/>
      <c r="BB333" s="3"/>
      <c r="BC333" s="3"/>
      <c r="BD333" s="3"/>
      <c r="BE333" s="3"/>
      <c r="BF333" s="3"/>
    </row>
    <row r="334" spans="1:58" ht="14.25" customHeight="1" x14ac:dyDescent="0.45">
      <c r="A334" s="618"/>
      <c r="B334" s="215"/>
      <c r="C334" s="220"/>
      <c r="D334" s="243" t="s">
        <v>352</v>
      </c>
      <c r="E334" s="222">
        <v>2018</v>
      </c>
      <c r="F334" s="222">
        <v>2019</v>
      </c>
      <c r="G334" s="222">
        <v>2020</v>
      </c>
      <c r="H334" s="223">
        <v>2021</v>
      </c>
      <c r="I334" s="618"/>
      <c r="J334" s="618"/>
      <c r="K334" s="618"/>
      <c r="L334" s="618"/>
      <c r="M334" s="618"/>
      <c r="N334" s="618"/>
      <c r="O334" s="618"/>
      <c r="P334" s="618"/>
      <c r="Q334" s="618"/>
      <c r="R334" s="618"/>
      <c r="S334" s="618"/>
      <c r="T334" s="618"/>
      <c r="U334" s="618"/>
      <c r="V334" s="618"/>
      <c r="W334" s="618"/>
      <c r="X334" s="618"/>
      <c r="Y334" s="618"/>
      <c r="Z334" s="618"/>
      <c r="AA334" s="618"/>
      <c r="AB334" s="618"/>
      <c r="AC334" s="618"/>
      <c r="AD334" s="618"/>
      <c r="AE334" s="618"/>
      <c r="AF334" s="618"/>
      <c r="AG334" s="618"/>
      <c r="AH334" s="618"/>
      <c r="AI334" s="618"/>
      <c r="AJ334" s="618"/>
      <c r="AK334" s="618"/>
      <c r="AL334" s="618"/>
      <c r="AM334" s="3"/>
      <c r="AN334" s="3"/>
      <c r="AO334" s="3"/>
      <c r="AP334" s="3"/>
      <c r="AQ334" s="3"/>
      <c r="AR334" s="3"/>
      <c r="AS334" s="3"/>
      <c r="AT334" s="3"/>
      <c r="AU334" s="3"/>
      <c r="AV334" s="3"/>
      <c r="AW334" s="3"/>
      <c r="AX334" s="3"/>
      <c r="AY334" s="3"/>
      <c r="AZ334" s="3"/>
      <c r="BA334" s="3"/>
      <c r="BB334" s="3"/>
      <c r="BC334" s="3"/>
      <c r="BD334" s="3"/>
      <c r="BE334" s="3"/>
      <c r="BF334" s="3"/>
    </row>
    <row r="335" spans="1:58" ht="14.25" customHeight="1" x14ac:dyDescent="0.45">
      <c r="A335" s="618"/>
      <c r="B335" s="215"/>
      <c r="C335" s="220"/>
      <c r="D335" s="224" t="s">
        <v>339</v>
      </c>
      <c r="E335" s="295">
        <f>SUM(E251,E294)</f>
        <v>1.3759203419650334</v>
      </c>
      <c r="F335" s="295">
        <f>SUM(F251,F294)</f>
        <v>1.4878806610556581</v>
      </c>
      <c r="G335" s="295">
        <f>SUM(G251,G294)</f>
        <v>1.5347486942352482</v>
      </c>
      <c r="H335" s="296">
        <f>SUM(H251,H294)</f>
        <v>1.3412302309670938</v>
      </c>
      <c r="I335" s="618"/>
      <c r="J335" s="618"/>
      <c r="K335" s="618"/>
      <c r="L335" s="618"/>
      <c r="M335" s="618"/>
      <c r="N335" s="618"/>
      <c r="O335" s="618"/>
      <c r="P335" s="618"/>
      <c r="Q335" s="618"/>
      <c r="R335" s="618"/>
      <c r="S335" s="618"/>
      <c r="T335" s="618"/>
      <c r="U335" s="618"/>
      <c r="V335" s="618"/>
      <c r="W335" s="618"/>
      <c r="X335" s="618"/>
      <c r="Y335" s="618"/>
      <c r="Z335" s="618"/>
      <c r="AA335" s="618"/>
      <c r="AB335" s="618"/>
      <c r="AC335" s="618"/>
      <c r="AD335" s="618"/>
      <c r="AE335" s="618"/>
      <c r="AF335" s="618"/>
      <c r="AG335" s="618"/>
      <c r="AH335" s="618"/>
      <c r="AI335" s="618"/>
      <c r="AJ335" s="618"/>
      <c r="AK335" s="618"/>
      <c r="AL335" s="618"/>
      <c r="AM335" s="3"/>
      <c r="AN335" s="3"/>
      <c r="AO335" s="3"/>
      <c r="AP335" s="3"/>
      <c r="AQ335" s="3"/>
      <c r="AR335" s="3"/>
      <c r="AS335" s="3"/>
      <c r="AT335" s="3"/>
      <c r="AU335" s="3"/>
      <c r="AV335" s="3"/>
      <c r="AW335" s="3"/>
      <c r="AX335" s="3"/>
      <c r="AY335" s="3"/>
      <c r="AZ335" s="3"/>
      <c r="BA335" s="3"/>
      <c r="BB335" s="3"/>
      <c r="BC335" s="3"/>
      <c r="BD335" s="3"/>
      <c r="BE335" s="3"/>
      <c r="BF335" s="3"/>
    </row>
    <row r="336" spans="1:58" ht="14.25" customHeight="1" x14ac:dyDescent="0.45">
      <c r="A336" s="618"/>
      <c r="B336" s="215"/>
      <c r="C336" s="220"/>
      <c r="D336" s="224" t="s">
        <v>340</v>
      </c>
      <c r="E336" s="295">
        <f>SUM(E254,E295)</f>
        <v>0.28873956767668257</v>
      </c>
      <c r="F336" s="295">
        <f>SUM(F254,F295)</f>
        <v>0.30770207700830282</v>
      </c>
      <c r="G336" s="295">
        <f>SUM(G254,G295)</f>
        <v>0.27739930589995715</v>
      </c>
      <c r="H336" s="296">
        <f>SUM(H254,H295)</f>
        <v>0.22309603577988338</v>
      </c>
      <c r="I336" s="618"/>
      <c r="J336" s="618"/>
      <c r="K336" s="618"/>
      <c r="L336" s="618"/>
      <c r="M336" s="618"/>
      <c r="N336" s="618"/>
      <c r="O336" s="618"/>
      <c r="P336" s="618"/>
      <c r="Q336" s="618"/>
      <c r="R336" s="618"/>
      <c r="S336" s="618"/>
      <c r="T336" s="618"/>
      <c r="U336" s="618"/>
      <c r="V336" s="618"/>
      <c r="W336" s="618"/>
      <c r="X336" s="618"/>
      <c r="Y336" s="618"/>
      <c r="Z336" s="618"/>
      <c r="AA336" s="618"/>
      <c r="AB336" s="618"/>
      <c r="AC336" s="618"/>
      <c r="AD336" s="618"/>
      <c r="AE336" s="618"/>
      <c r="AF336" s="618"/>
      <c r="AG336" s="618"/>
      <c r="AH336" s="618"/>
      <c r="AI336" s="618"/>
      <c r="AJ336" s="618"/>
      <c r="AK336" s="618"/>
      <c r="AL336" s="618"/>
      <c r="AM336" s="3"/>
      <c r="AN336" s="3"/>
      <c r="AO336" s="3"/>
      <c r="AP336" s="3"/>
      <c r="AQ336" s="3"/>
      <c r="AR336" s="3"/>
      <c r="AS336" s="3"/>
      <c r="AT336" s="3"/>
      <c r="AU336" s="3"/>
      <c r="AV336" s="3"/>
      <c r="AW336" s="3"/>
      <c r="AX336" s="3"/>
      <c r="AY336" s="3"/>
      <c r="AZ336" s="3"/>
      <c r="BA336" s="3"/>
      <c r="BB336" s="3"/>
      <c r="BC336" s="3"/>
      <c r="BD336" s="3"/>
      <c r="BE336" s="3"/>
      <c r="BF336" s="3"/>
    </row>
    <row r="337" spans="1:58" ht="14.25" customHeight="1" x14ac:dyDescent="0.45">
      <c r="A337" s="618"/>
      <c r="B337" s="215"/>
      <c r="C337" s="220"/>
      <c r="D337" s="224" t="s">
        <v>341</v>
      </c>
      <c r="E337" s="295">
        <f>SUM(E338:E339)</f>
        <v>74.394200959388797</v>
      </c>
      <c r="F337" s="295">
        <f>SUM(F338:F339)</f>
        <v>88.650418872815067</v>
      </c>
      <c r="G337" s="295">
        <f>SUM(G338:G339)</f>
        <v>87.544773227991016</v>
      </c>
      <c r="H337" s="296">
        <f>SUM(H338:H339)</f>
        <v>92.0108324031292</v>
      </c>
      <c r="I337" s="618"/>
      <c r="J337" s="618"/>
      <c r="K337" s="618"/>
      <c r="L337" s="618"/>
      <c r="M337" s="618"/>
      <c r="N337" s="618"/>
      <c r="O337" s="618"/>
      <c r="P337" s="618"/>
      <c r="Q337" s="618"/>
      <c r="R337" s="618"/>
      <c r="S337" s="618"/>
      <c r="T337" s="618"/>
      <c r="U337" s="618"/>
      <c r="V337" s="618"/>
      <c r="W337" s="618"/>
      <c r="X337" s="618"/>
      <c r="Y337" s="618"/>
      <c r="Z337" s="618"/>
      <c r="AA337" s="618"/>
      <c r="AB337" s="618"/>
      <c r="AC337" s="618"/>
      <c r="AD337" s="618"/>
      <c r="AE337" s="618"/>
      <c r="AF337" s="618"/>
      <c r="AG337" s="618"/>
      <c r="AH337" s="618"/>
      <c r="AI337" s="618"/>
      <c r="AJ337" s="618"/>
      <c r="AK337" s="618"/>
      <c r="AL337" s="618"/>
      <c r="AM337" s="3"/>
      <c r="AN337" s="3"/>
      <c r="AO337" s="3"/>
      <c r="AP337" s="3"/>
      <c r="AQ337" s="3"/>
      <c r="AR337" s="3"/>
      <c r="AS337" s="3"/>
      <c r="AT337" s="3"/>
      <c r="AU337" s="3"/>
      <c r="AV337" s="3"/>
      <c r="AW337" s="3"/>
      <c r="AX337" s="3"/>
      <c r="AY337" s="3"/>
      <c r="AZ337" s="3"/>
      <c r="BA337" s="3"/>
      <c r="BB337" s="3"/>
      <c r="BC337" s="3"/>
      <c r="BD337" s="3"/>
      <c r="BE337" s="3"/>
      <c r="BF337" s="3"/>
    </row>
    <row r="338" spans="1:58" ht="14.25" customHeight="1" x14ac:dyDescent="0.45">
      <c r="A338" s="618"/>
      <c r="B338" s="215"/>
      <c r="C338" s="220"/>
      <c r="D338" s="228" t="s">
        <v>173</v>
      </c>
      <c r="E338" s="229">
        <f>SUM(E256)</f>
        <v>27.737653219489321</v>
      </c>
      <c r="F338" s="229">
        <f>SUM(F256)</f>
        <v>32.205948855043715</v>
      </c>
      <c r="G338" s="229">
        <f>SUM(G256)</f>
        <v>29.053183047679433</v>
      </c>
      <c r="H338" s="297">
        <f>SUM(H256)</f>
        <v>31.319432746924779</v>
      </c>
      <c r="I338" s="618"/>
      <c r="J338" s="618"/>
      <c r="K338" s="618"/>
      <c r="L338" s="618"/>
      <c r="M338" s="618"/>
      <c r="N338" s="618"/>
      <c r="O338" s="618"/>
      <c r="P338" s="618"/>
      <c r="Q338" s="618"/>
      <c r="R338" s="618"/>
      <c r="S338" s="618"/>
      <c r="T338" s="618"/>
      <c r="U338" s="618"/>
      <c r="V338" s="618"/>
      <c r="W338" s="618"/>
      <c r="X338" s="618"/>
      <c r="Y338" s="618"/>
      <c r="Z338" s="618"/>
      <c r="AA338" s="618"/>
      <c r="AB338" s="618"/>
      <c r="AC338" s="618"/>
      <c r="AD338" s="618"/>
      <c r="AE338" s="618"/>
      <c r="AF338" s="618"/>
      <c r="AG338" s="618"/>
      <c r="AH338" s="618"/>
      <c r="AI338" s="618"/>
      <c r="AJ338" s="618"/>
      <c r="AK338" s="618"/>
      <c r="AL338" s="618"/>
      <c r="AM338" s="3"/>
      <c r="AN338" s="3"/>
      <c r="AO338" s="3"/>
      <c r="AP338" s="3"/>
      <c r="AQ338" s="3"/>
      <c r="AR338" s="3"/>
      <c r="AS338" s="3"/>
      <c r="AT338" s="3"/>
      <c r="AU338" s="3"/>
      <c r="AV338" s="3"/>
      <c r="AW338" s="3"/>
      <c r="AX338" s="3"/>
      <c r="AY338" s="3"/>
      <c r="AZ338" s="3"/>
      <c r="BA338" s="3"/>
      <c r="BB338" s="3"/>
      <c r="BC338" s="3"/>
      <c r="BD338" s="3"/>
      <c r="BE338" s="3"/>
      <c r="BF338" s="3"/>
    </row>
    <row r="339" spans="1:58" ht="14.25" customHeight="1" x14ac:dyDescent="0.45">
      <c r="A339" s="618"/>
      <c r="B339" s="215"/>
      <c r="C339" s="220"/>
      <c r="D339" s="228" t="s">
        <v>176</v>
      </c>
      <c r="E339" s="229">
        <f>SUM(E259,E298)</f>
        <v>46.65654773989948</v>
      </c>
      <c r="F339" s="229">
        <f>SUM(F259,F298)</f>
        <v>56.444470017771359</v>
      </c>
      <c r="G339" s="229">
        <f>SUM(G259,G298)</f>
        <v>58.49159018031159</v>
      </c>
      <c r="H339" s="297">
        <f>SUM(H259,H298)</f>
        <v>60.691399656204425</v>
      </c>
      <c r="I339" s="618"/>
      <c r="J339" s="618"/>
      <c r="K339" s="618"/>
      <c r="L339" s="618"/>
      <c r="M339" s="618"/>
      <c r="N339" s="618"/>
      <c r="O339" s="618"/>
      <c r="P339" s="618"/>
      <c r="Q339" s="618"/>
      <c r="R339" s="618"/>
      <c r="S339" s="618"/>
      <c r="T339" s="618"/>
      <c r="U339" s="618"/>
      <c r="V339" s="618"/>
      <c r="W339" s="618"/>
      <c r="X339" s="618"/>
      <c r="Y339" s="618"/>
      <c r="Z339" s="618"/>
      <c r="AA339" s="618"/>
      <c r="AB339" s="618"/>
      <c r="AC339" s="618"/>
      <c r="AD339" s="618"/>
      <c r="AE339" s="618"/>
      <c r="AF339" s="618"/>
      <c r="AG339" s="618"/>
      <c r="AH339" s="618"/>
      <c r="AI339" s="618"/>
      <c r="AJ339" s="618"/>
      <c r="AK339" s="618"/>
      <c r="AL339" s="618"/>
      <c r="AM339" s="3"/>
      <c r="AN339" s="3"/>
      <c r="AO339" s="3"/>
      <c r="AP339" s="3"/>
      <c r="AQ339" s="3"/>
      <c r="AR339" s="3"/>
      <c r="AS339" s="3"/>
      <c r="AT339" s="3"/>
      <c r="AU339" s="3"/>
      <c r="AV339" s="3"/>
      <c r="AW339" s="3"/>
      <c r="AX339" s="3"/>
      <c r="AY339" s="3"/>
      <c r="AZ339" s="3"/>
      <c r="BA339" s="3"/>
      <c r="BB339" s="3"/>
      <c r="BC339" s="3"/>
      <c r="BD339" s="3"/>
      <c r="BE339" s="3"/>
      <c r="BF339" s="3"/>
    </row>
    <row r="340" spans="1:58" ht="14.25" customHeight="1" x14ac:dyDescent="0.45">
      <c r="A340" s="618"/>
      <c r="B340" s="215"/>
      <c r="C340" s="220"/>
      <c r="D340" s="224" t="s">
        <v>342</v>
      </c>
      <c r="E340" s="295">
        <f>SUM(E262,E305)</f>
        <v>0.1370053864322506</v>
      </c>
      <c r="F340" s="295">
        <f>SUM(F262,F305)</f>
        <v>0.13535438275866063</v>
      </c>
      <c r="G340" s="295">
        <f>SUM(G262,G305)</f>
        <v>0.13586756721305043</v>
      </c>
      <c r="H340" s="296">
        <f>SUM(H262,H305)</f>
        <v>0.13262911693782733</v>
      </c>
      <c r="I340" s="618"/>
      <c r="J340" s="618"/>
      <c r="K340" s="618"/>
      <c r="L340" s="618"/>
      <c r="M340" s="618"/>
      <c r="N340" s="618"/>
      <c r="O340" s="618"/>
      <c r="P340" s="618"/>
      <c r="Q340" s="618"/>
      <c r="R340" s="618"/>
      <c r="S340" s="618"/>
      <c r="T340" s="618"/>
      <c r="U340" s="618"/>
      <c r="V340" s="618"/>
      <c r="W340" s="618"/>
      <c r="X340" s="618"/>
      <c r="Y340" s="618"/>
      <c r="Z340" s="618"/>
      <c r="AA340" s="618"/>
      <c r="AB340" s="618"/>
      <c r="AC340" s="618"/>
      <c r="AD340" s="618"/>
      <c r="AE340" s="618"/>
      <c r="AF340" s="618"/>
      <c r="AG340" s="618"/>
      <c r="AH340" s="618"/>
      <c r="AI340" s="618"/>
      <c r="AJ340" s="618"/>
      <c r="AK340" s="618"/>
      <c r="AL340" s="618"/>
      <c r="AM340" s="3"/>
      <c r="AN340" s="3"/>
      <c r="AO340" s="3"/>
      <c r="AP340" s="3"/>
      <c r="AQ340" s="3"/>
      <c r="AR340" s="3"/>
      <c r="AS340" s="3"/>
      <c r="AT340" s="3"/>
      <c r="AU340" s="3"/>
      <c r="AV340" s="3"/>
      <c r="AW340" s="3"/>
      <c r="AX340" s="3"/>
      <c r="AY340" s="3"/>
      <c r="AZ340" s="3"/>
      <c r="BA340" s="3"/>
      <c r="BB340" s="3"/>
      <c r="BC340" s="3"/>
      <c r="BD340" s="3"/>
      <c r="BE340" s="3"/>
      <c r="BF340" s="3"/>
    </row>
    <row r="341" spans="1:58" ht="14.25" customHeight="1" x14ac:dyDescent="0.45">
      <c r="A341" s="618"/>
      <c r="B341" s="215"/>
      <c r="C341" s="220"/>
      <c r="D341" s="224" t="s">
        <v>343</v>
      </c>
      <c r="E341" s="295">
        <f>SUM(E342,E343,E344)</f>
        <v>28.85092373738145</v>
      </c>
      <c r="F341" s="295">
        <f>SUM(F342,F343,F344)</f>
        <v>25.419906960761857</v>
      </c>
      <c r="G341" s="295">
        <f>SUM(G342,G343,G344)</f>
        <v>22.771146145184701</v>
      </c>
      <c r="H341" s="296">
        <f>SUM(H342,H343,H344)</f>
        <v>22.012632718010565</v>
      </c>
      <c r="I341" s="618"/>
      <c r="J341" s="618"/>
      <c r="K341" s="618"/>
      <c r="L341" s="618"/>
      <c r="M341" s="618"/>
      <c r="N341" s="618"/>
      <c r="O341" s="618"/>
      <c r="P341" s="618"/>
      <c r="Q341" s="618"/>
      <c r="R341" s="618"/>
      <c r="S341" s="618"/>
      <c r="T341" s="618"/>
      <c r="U341" s="618"/>
      <c r="V341" s="618"/>
      <c r="W341" s="618"/>
      <c r="X341" s="618"/>
      <c r="Y341" s="618"/>
      <c r="Z341" s="618"/>
      <c r="AA341" s="618"/>
      <c r="AB341" s="618"/>
      <c r="AC341" s="618"/>
      <c r="AD341" s="618"/>
      <c r="AE341" s="618"/>
      <c r="AF341" s="618"/>
      <c r="AG341" s="618"/>
      <c r="AH341" s="618"/>
      <c r="AI341" s="618"/>
      <c r="AJ341" s="618"/>
      <c r="AK341" s="618"/>
      <c r="AL341" s="618"/>
      <c r="AM341" s="3"/>
      <c r="AN341" s="3"/>
      <c r="AO341" s="3"/>
      <c r="AP341" s="3"/>
      <c r="AQ341" s="3"/>
      <c r="AR341" s="3"/>
      <c r="AS341" s="3"/>
      <c r="AT341" s="3"/>
      <c r="AU341" s="3"/>
      <c r="AV341" s="3"/>
      <c r="AW341" s="3"/>
      <c r="AX341" s="3"/>
      <c r="AY341" s="3"/>
      <c r="AZ341" s="3"/>
      <c r="BA341" s="3"/>
      <c r="BB341" s="3"/>
      <c r="BC341" s="3"/>
      <c r="BD341" s="3"/>
      <c r="BE341" s="3"/>
      <c r="BF341" s="3"/>
    </row>
    <row r="342" spans="1:58" ht="14.25" customHeight="1" x14ac:dyDescent="0.45">
      <c r="A342" s="618"/>
      <c r="B342" s="215"/>
      <c r="C342" s="220"/>
      <c r="D342" s="228" t="s">
        <v>180</v>
      </c>
      <c r="E342" s="229">
        <f>SUM(E264,E309)</f>
        <v>17.783066305866768</v>
      </c>
      <c r="F342" s="315">
        <f>SUM(F264,F309)</f>
        <v>16.615776498811602</v>
      </c>
      <c r="G342" s="315">
        <f>SUM(G264,G309)</f>
        <v>15.909587840203059</v>
      </c>
      <c r="H342" s="297">
        <f>SUM(H264,H309)</f>
        <v>15.598240113590029</v>
      </c>
      <c r="I342" s="618"/>
      <c r="J342" s="618"/>
      <c r="K342" s="618"/>
      <c r="L342" s="618"/>
      <c r="M342" s="618"/>
      <c r="N342" s="618"/>
      <c r="O342" s="618"/>
      <c r="P342" s="618"/>
      <c r="Q342" s="618"/>
      <c r="R342" s="618"/>
      <c r="S342" s="618"/>
      <c r="T342" s="618"/>
      <c r="U342" s="618"/>
      <c r="V342" s="618"/>
      <c r="W342" s="618"/>
      <c r="X342" s="618"/>
      <c r="Y342" s="618"/>
      <c r="Z342" s="618"/>
      <c r="AA342" s="618"/>
      <c r="AB342" s="618"/>
      <c r="AC342" s="618"/>
      <c r="AD342" s="618"/>
      <c r="AE342" s="618"/>
      <c r="AF342" s="618"/>
      <c r="AG342" s="618"/>
      <c r="AH342" s="618"/>
      <c r="AI342" s="618"/>
      <c r="AJ342" s="618"/>
      <c r="AK342" s="618"/>
      <c r="AL342" s="618"/>
      <c r="AM342" s="3"/>
      <c r="AN342" s="3"/>
      <c r="AO342" s="3"/>
      <c r="AP342" s="3"/>
      <c r="AQ342" s="3"/>
      <c r="AR342" s="3"/>
      <c r="AS342" s="3"/>
      <c r="AT342" s="3"/>
      <c r="AU342" s="3"/>
      <c r="AV342" s="3"/>
      <c r="AW342" s="3"/>
      <c r="AX342" s="3"/>
      <c r="AY342" s="3"/>
      <c r="AZ342" s="3"/>
      <c r="BA342" s="3"/>
      <c r="BB342" s="3"/>
      <c r="BC342" s="3"/>
      <c r="BD342" s="3"/>
      <c r="BE342" s="3"/>
      <c r="BF342" s="3"/>
    </row>
    <row r="343" spans="1:58" ht="14.25" customHeight="1" x14ac:dyDescent="0.45">
      <c r="A343" s="618"/>
      <c r="B343" s="215"/>
      <c r="C343" s="220"/>
      <c r="D343" s="228" t="s">
        <v>188</v>
      </c>
      <c r="E343" s="229">
        <f>SUM(E269,E319)</f>
        <v>4.8152341705814878</v>
      </c>
      <c r="F343" s="315">
        <f>SUM(F269,F319)</f>
        <v>4.2659653424419597</v>
      </c>
      <c r="G343" s="315">
        <f>SUM(G269,G319)</f>
        <v>3.5320968502988155</v>
      </c>
      <c r="H343" s="297">
        <f>SUM(H269,H319)</f>
        <v>3.2805018971230027</v>
      </c>
      <c r="I343" s="618"/>
      <c r="J343" s="618"/>
      <c r="K343" s="618"/>
      <c r="L343" s="618"/>
      <c r="M343" s="618"/>
      <c r="N343" s="618"/>
      <c r="O343" s="618"/>
      <c r="P343" s="618"/>
      <c r="Q343" s="618"/>
      <c r="R343" s="618"/>
      <c r="S343" s="618"/>
      <c r="T343" s="618"/>
      <c r="U343" s="618"/>
      <c r="V343" s="618"/>
      <c r="W343" s="618"/>
      <c r="X343" s="618"/>
      <c r="Y343" s="618"/>
      <c r="Z343" s="618"/>
      <c r="AA343" s="618"/>
      <c r="AB343" s="618"/>
      <c r="AC343" s="618"/>
      <c r="AD343" s="618"/>
      <c r="AE343" s="618"/>
      <c r="AF343" s="618"/>
      <c r="AG343" s="618"/>
      <c r="AH343" s="618"/>
      <c r="AI343" s="618"/>
      <c r="AJ343" s="618"/>
      <c r="AK343" s="618"/>
      <c r="AL343" s="3"/>
      <c r="AM343" s="3"/>
      <c r="AN343" s="3"/>
      <c r="AO343" s="3"/>
      <c r="AP343" s="3"/>
      <c r="AQ343" s="3"/>
      <c r="AR343" s="3"/>
      <c r="AS343" s="3"/>
      <c r="AT343" s="3"/>
      <c r="AU343" s="3"/>
      <c r="AV343" s="3"/>
      <c r="AW343" s="3"/>
      <c r="AX343" s="3"/>
      <c r="AY343" s="3"/>
      <c r="AZ343" s="3"/>
      <c r="BA343" s="3"/>
      <c r="BB343" s="3"/>
      <c r="BC343" s="3"/>
      <c r="BD343" s="3"/>
      <c r="BE343" s="3"/>
      <c r="BF343" s="3"/>
    </row>
    <row r="344" spans="1:58" ht="14.25" customHeight="1" x14ac:dyDescent="0.45">
      <c r="A344" s="618"/>
      <c r="B344" s="215"/>
      <c r="C344" s="220"/>
      <c r="D344" s="228" t="s">
        <v>193</v>
      </c>
      <c r="E344" s="229">
        <f>SUM(E272,E324)</f>
        <v>6.2526232609331931</v>
      </c>
      <c r="F344" s="229">
        <f>SUM(F272,F324)</f>
        <v>4.5381651195082959</v>
      </c>
      <c r="G344" s="229">
        <f>SUM(G272,G324)</f>
        <v>3.3294614546828289</v>
      </c>
      <c r="H344" s="297">
        <f>SUM(H272,H324)</f>
        <v>3.1338907072975308</v>
      </c>
      <c r="I344" s="618"/>
      <c r="J344" s="618"/>
      <c r="K344" s="618"/>
      <c r="L344" s="618"/>
      <c r="M344" s="618"/>
      <c r="N344" s="618"/>
      <c r="O344" s="618"/>
      <c r="P344" s="618"/>
      <c r="Q344" s="618"/>
      <c r="R344" s="618"/>
      <c r="S344" s="618"/>
      <c r="T344" s="618"/>
      <c r="U344" s="618"/>
      <c r="V344" s="618"/>
      <c r="W344" s="618"/>
      <c r="X344" s="618"/>
      <c r="Y344" s="618"/>
      <c r="Z344" s="618"/>
      <c r="AA344" s="618"/>
      <c r="AB344" s="618"/>
      <c r="AC344" s="618"/>
      <c r="AD344" s="618"/>
      <c r="AE344" s="618"/>
      <c r="AF344" s="618"/>
      <c r="AG344" s="618"/>
      <c r="AH344" s="618"/>
      <c r="AI344" s="618"/>
      <c r="AJ344" s="618"/>
      <c r="AK344" s="618"/>
      <c r="AL344" s="3"/>
      <c r="AM344" s="3"/>
      <c r="AN344" s="3"/>
      <c r="AO344" s="3"/>
      <c r="AP344" s="3"/>
      <c r="AQ344" s="3"/>
      <c r="AR344" s="3"/>
      <c r="AS344" s="3"/>
      <c r="AT344" s="3"/>
      <c r="AU344" s="3"/>
      <c r="AV344" s="3"/>
      <c r="AW344" s="3"/>
      <c r="AX344" s="3"/>
      <c r="AY344" s="3"/>
      <c r="AZ344" s="3"/>
      <c r="BA344" s="3"/>
      <c r="BB344" s="3"/>
      <c r="BC344" s="3"/>
      <c r="BD344" s="3"/>
      <c r="BE344" s="3"/>
      <c r="BF344" s="3"/>
    </row>
    <row r="345" spans="1:58" ht="14.25" customHeight="1" x14ac:dyDescent="0.45">
      <c r="A345" s="618"/>
      <c r="B345" s="215"/>
      <c r="C345" s="220"/>
      <c r="D345" s="224" t="s">
        <v>347</v>
      </c>
      <c r="E345" s="295">
        <f>SUM(E274,E331)</f>
        <v>0.16380518034114624</v>
      </c>
      <c r="F345" s="295">
        <f>SUM(F274,F331)</f>
        <v>0.1480830490411065</v>
      </c>
      <c r="G345" s="295">
        <f>SUM(G274,G331)</f>
        <v>0.15826465809811166</v>
      </c>
      <c r="H345" s="296">
        <f>SUM(H274,H331)</f>
        <v>0.15157285850587507</v>
      </c>
      <c r="I345" s="618"/>
      <c r="J345" s="618"/>
      <c r="K345" s="618"/>
      <c r="L345" s="618"/>
      <c r="M345" s="618"/>
      <c r="N345" s="618"/>
      <c r="O345" s="618"/>
      <c r="P345" s="618"/>
      <c r="Q345" s="618"/>
      <c r="R345" s="618"/>
      <c r="S345" s="618"/>
      <c r="T345" s="618"/>
      <c r="U345" s="618"/>
      <c r="V345" s="618"/>
      <c r="W345" s="618"/>
      <c r="X345" s="618"/>
      <c r="Y345" s="618"/>
      <c r="Z345" s="618"/>
      <c r="AA345" s="618"/>
      <c r="AB345" s="618"/>
      <c r="AC345" s="618"/>
      <c r="AD345" s="618"/>
      <c r="AE345" s="618"/>
      <c r="AF345" s="618"/>
      <c r="AG345" s="618"/>
      <c r="AH345" s="618"/>
      <c r="AI345" s="618"/>
      <c r="AJ345" s="618"/>
      <c r="AK345" s="618"/>
      <c r="AL345" s="3"/>
      <c r="AM345" s="3"/>
      <c r="AN345" s="3"/>
      <c r="AO345" s="3"/>
      <c r="AP345" s="3"/>
      <c r="AQ345" s="3"/>
      <c r="AR345" s="3"/>
      <c r="AS345" s="3"/>
      <c r="AT345" s="3"/>
      <c r="AU345" s="3"/>
      <c r="AV345" s="3"/>
      <c r="AW345" s="3"/>
      <c r="AX345" s="3"/>
      <c r="AY345" s="3"/>
      <c r="AZ345" s="3"/>
      <c r="BA345" s="3"/>
      <c r="BB345" s="3"/>
      <c r="BC345" s="3"/>
      <c r="BD345" s="3"/>
      <c r="BE345" s="3"/>
      <c r="BF345" s="3"/>
    </row>
    <row r="346" spans="1:58" ht="14.25" customHeight="1" x14ac:dyDescent="0.45">
      <c r="A346" s="618"/>
      <c r="B346" s="258"/>
      <c r="C346" s="259"/>
      <c r="D346" s="316" t="s">
        <v>59</v>
      </c>
      <c r="E346" s="317">
        <f>E335+E337+E336+E340+E341+E345</f>
        <v>105.21059517318535</v>
      </c>
      <c r="F346" s="317">
        <f>F335+F337+F336+F340+F341+F345</f>
        <v>116.14934600344066</v>
      </c>
      <c r="G346" s="317">
        <f>G335+G337+G336+G340+G341+G345</f>
        <v>112.42219959862209</v>
      </c>
      <c r="H346" s="318">
        <f>H335+H337+H336+H340+H341+H345</f>
        <v>115.87199336333045</v>
      </c>
      <c r="I346" s="618"/>
      <c r="J346" s="618"/>
      <c r="K346" s="618"/>
      <c r="L346" s="618"/>
      <c r="M346" s="618"/>
      <c r="N346" s="618"/>
      <c r="O346" s="618"/>
      <c r="P346" s="618"/>
      <c r="Q346" s="618"/>
      <c r="R346" s="618"/>
      <c r="S346" s="618"/>
      <c r="T346" s="618"/>
      <c r="U346" s="618"/>
      <c r="V346" s="618"/>
      <c r="W346" s="618"/>
      <c r="X346" s="618"/>
      <c r="Y346" s="618"/>
      <c r="Z346" s="618"/>
      <c r="AA346" s="618"/>
      <c r="AB346" s="618"/>
      <c r="AC346" s="618"/>
      <c r="AD346" s="618"/>
      <c r="AE346" s="618"/>
      <c r="AF346" s="618"/>
      <c r="AG346" s="618"/>
      <c r="AH346" s="618"/>
      <c r="AI346" s="618"/>
      <c r="AJ346" s="618"/>
      <c r="AK346" s="618"/>
      <c r="AL346" s="3"/>
      <c r="AM346" s="3"/>
      <c r="AN346" s="3"/>
      <c r="AO346" s="3"/>
      <c r="AP346" s="3"/>
      <c r="AQ346" s="3"/>
      <c r="AR346" s="3"/>
      <c r="AS346" s="3"/>
      <c r="AT346" s="3"/>
      <c r="AU346" s="3"/>
      <c r="AV346" s="3"/>
      <c r="AW346" s="3"/>
      <c r="AX346" s="3"/>
      <c r="AY346" s="3"/>
      <c r="AZ346" s="3"/>
      <c r="BA346" s="3"/>
      <c r="BB346" s="3"/>
      <c r="BC346" s="3"/>
      <c r="BD346" s="3"/>
      <c r="BE346" s="3"/>
      <c r="BF346" s="3"/>
    </row>
    <row r="347" spans="1:58" ht="14.25" customHeight="1" x14ac:dyDescent="0.45">
      <c r="A347" s="618"/>
      <c r="B347" s="618"/>
      <c r="C347" s="618"/>
      <c r="D347" s="618"/>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row>
    <row r="348" spans="1:58" ht="14.25" customHeight="1" x14ac:dyDescent="0.45">
      <c r="A348" s="618"/>
      <c r="B348" s="26"/>
      <c r="C348" s="211"/>
      <c r="D348" s="211"/>
      <c r="E348" s="270">
        <v>8760</v>
      </c>
      <c r="F348" s="270">
        <v>0.95</v>
      </c>
      <c r="G348" s="270"/>
      <c r="H348" s="270"/>
      <c r="I348" s="270"/>
      <c r="J348" s="270"/>
      <c r="K348" s="270"/>
      <c r="L348" s="270"/>
      <c r="M348" s="270"/>
      <c r="N348" s="270"/>
      <c r="O348" s="270"/>
      <c r="P348" s="270"/>
      <c r="Q348" s="270"/>
      <c r="R348" s="270"/>
      <c r="S348" s="270"/>
      <c r="T348" s="270"/>
      <c r="U348" s="270"/>
      <c r="V348" s="270"/>
      <c r="W348" s="270"/>
      <c r="X348" s="270"/>
      <c r="Y348" s="270"/>
      <c r="Z348" s="270"/>
      <c r="AA348" s="270"/>
      <c r="AB348" s="270"/>
      <c r="AC348" s="270"/>
      <c r="AD348" s="270"/>
      <c r="AE348" s="270"/>
      <c r="AF348" s="270"/>
      <c r="AG348" s="270"/>
      <c r="AH348" s="270"/>
      <c r="AI348" s="270"/>
      <c r="AJ348" s="270"/>
      <c r="AK348" s="270"/>
      <c r="AL348" s="270"/>
      <c r="AM348" s="270"/>
      <c r="AN348" s="270"/>
      <c r="AO348" s="270"/>
      <c r="AP348" s="270"/>
      <c r="AQ348" s="270"/>
      <c r="AR348" s="270"/>
      <c r="AS348" s="270"/>
      <c r="AT348" s="270"/>
      <c r="AU348" s="270"/>
      <c r="AV348" s="270"/>
      <c r="AW348" s="270"/>
      <c r="AX348" s="270"/>
      <c r="AY348" s="270"/>
      <c r="AZ348" s="270"/>
      <c r="BA348" s="270"/>
      <c r="BB348" s="270"/>
      <c r="BC348" s="270"/>
      <c r="BD348" s="270"/>
      <c r="BE348" s="270"/>
      <c r="BF348" s="3"/>
    </row>
    <row r="349" spans="1:58" ht="14.25" customHeight="1" x14ac:dyDescent="0.45">
      <c r="A349" s="618"/>
      <c r="B349" s="215"/>
      <c r="C349" s="220"/>
      <c r="D349" s="243" t="s">
        <v>353</v>
      </c>
      <c r="E349" s="123">
        <v>2018</v>
      </c>
      <c r="F349" s="123">
        <v>2019</v>
      </c>
      <c r="G349" s="123">
        <v>2020</v>
      </c>
      <c r="H349" s="123">
        <v>2021</v>
      </c>
      <c r="I349" s="141">
        <v>2022</v>
      </c>
      <c r="J349" s="141">
        <v>2023</v>
      </c>
      <c r="K349" s="141">
        <v>2024</v>
      </c>
      <c r="L349" s="141">
        <v>2025</v>
      </c>
      <c r="M349" s="141">
        <v>2026</v>
      </c>
      <c r="N349" s="141">
        <v>2027</v>
      </c>
      <c r="O349" s="141">
        <v>2028</v>
      </c>
      <c r="P349" s="141">
        <v>2029</v>
      </c>
      <c r="Q349" s="141">
        <v>2030</v>
      </c>
      <c r="R349" s="141">
        <v>2031</v>
      </c>
      <c r="S349" s="141">
        <v>2032</v>
      </c>
      <c r="T349" s="141">
        <v>2033</v>
      </c>
      <c r="U349" s="141">
        <v>2034</v>
      </c>
      <c r="V349" s="141">
        <v>2035</v>
      </c>
      <c r="W349" s="141">
        <v>2036</v>
      </c>
      <c r="X349" s="141">
        <v>2037</v>
      </c>
      <c r="Y349" s="141">
        <v>2038</v>
      </c>
      <c r="Z349" s="141">
        <v>2039</v>
      </c>
      <c r="AA349" s="141">
        <v>2040</v>
      </c>
      <c r="AB349" s="141">
        <v>2041</v>
      </c>
      <c r="AC349" s="141">
        <v>2042</v>
      </c>
      <c r="AD349" s="141">
        <v>2043</v>
      </c>
      <c r="AE349" s="141">
        <v>2044</v>
      </c>
      <c r="AF349" s="141">
        <v>2045</v>
      </c>
      <c r="AG349" s="141">
        <v>2046</v>
      </c>
      <c r="AH349" s="141">
        <v>2047</v>
      </c>
      <c r="AI349" s="141">
        <v>2048</v>
      </c>
      <c r="AJ349" s="141">
        <v>2049</v>
      </c>
      <c r="AK349" s="141">
        <v>2050</v>
      </c>
      <c r="AL349" s="141">
        <v>2051</v>
      </c>
      <c r="AM349" s="141">
        <v>2052</v>
      </c>
      <c r="AN349" s="141">
        <v>2053</v>
      </c>
      <c r="AO349" s="141">
        <v>2054</v>
      </c>
      <c r="AP349" s="141">
        <v>2055</v>
      </c>
      <c r="AQ349" s="141">
        <v>2056</v>
      </c>
      <c r="AR349" s="141">
        <v>2057</v>
      </c>
      <c r="AS349" s="141">
        <v>2058</v>
      </c>
      <c r="AT349" s="141">
        <v>2059</v>
      </c>
      <c r="AU349" s="141">
        <v>2060</v>
      </c>
      <c r="AV349" s="141">
        <v>2061</v>
      </c>
      <c r="AW349" s="141">
        <v>2062</v>
      </c>
      <c r="AX349" s="141">
        <v>2063</v>
      </c>
      <c r="AY349" s="141">
        <v>2064</v>
      </c>
      <c r="AZ349" s="141">
        <v>2065</v>
      </c>
      <c r="BA349" s="141">
        <v>2066</v>
      </c>
      <c r="BB349" s="141">
        <v>2067</v>
      </c>
      <c r="BC349" s="141">
        <v>2068</v>
      </c>
      <c r="BD349" s="141">
        <v>2069</v>
      </c>
      <c r="BE349" s="141">
        <v>2070</v>
      </c>
      <c r="BF349" s="3"/>
    </row>
    <row r="350" spans="1:58" ht="14.25" customHeight="1" x14ac:dyDescent="0.45">
      <c r="A350" s="618"/>
      <c r="B350" s="215"/>
      <c r="C350" s="220"/>
      <c r="D350" s="224" t="s">
        <v>339</v>
      </c>
      <c r="E350" s="224">
        <f t="shared" ref="E350:H369" si="8">ROUND(IFERROR(E251/($E$348*0.0036*E6*$F$348),0),4)</f>
        <v>0.31830000000000003</v>
      </c>
      <c r="F350" s="224">
        <f t="shared" si="8"/>
        <v>0.34420000000000001</v>
      </c>
      <c r="G350" s="224">
        <f t="shared" si="8"/>
        <v>0.35499999999999998</v>
      </c>
      <c r="H350" s="224">
        <f t="shared" si="8"/>
        <v>0.31019999999999998</v>
      </c>
      <c r="I350" s="319">
        <v>0.32</v>
      </c>
      <c r="J350" s="319">
        <v>0.32</v>
      </c>
      <c r="K350" s="319">
        <v>0.32</v>
      </c>
      <c r="L350" s="319">
        <v>0.32</v>
      </c>
      <c r="M350" s="319">
        <v>0.32</v>
      </c>
      <c r="N350" s="319">
        <v>0.32</v>
      </c>
      <c r="O350" s="319">
        <v>0.32</v>
      </c>
      <c r="P350" s="319">
        <v>0.32</v>
      </c>
      <c r="Q350" s="319">
        <v>0.32</v>
      </c>
      <c r="R350" s="319">
        <v>0.32</v>
      </c>
      <c r="S350" s="319">
        <v>0.32</v>
      </c>
      <c r="T350" s="319">
        <v>0.32</v>
      </c>
      <c r="U350" s="319">
        <v>0.32</v>
      </c>
      <c r="V350" s="319">
        <v>0.32</v>
      </c>
      <c r="W350" s="319">
        <v>0.32</v>
      </c>
      <c r="X350" s="319">
        <v>0.32</v>
      </c>
      <c r="Y350" s="319">
        <v>0.32</v>
      </c>
      <c r="Z350" s="319">
        <v>0.32</v>
      </c>
      <c r="AA350" s="319">
        <v>0.32</v>
      </c>
      <c r="AB350" s="319">
        <v>0.32</v>
      </c>
      <c r="AC350" s="319">
        <v>0.32</v>
      </c>
      <c r="AD350" s="319">
        <v>0.32</v>
      </c>
      <c r="AE350" s="319">
        <v>0.32</v>
      </c>
      <c r="AF350" s="319">
        <v>0.32</v>
      </c>
      <c r="AG350" s="319">
        <v>0.32</v>
      </c>
      <c r="AH350" s="319">
        <v>0.32</v>
      </c>
      <c r="AI350" s="319">
        <v>0.32</v>
      </c>
      <c r="AJ350" s="319">
        <v>0.32</v>
      </c>
      <c r="AK350" s="319">
        <v>0.32</v>
      </c>
      <c r="AL350" s="319">
        <v>0.32</v>
      </c>
      <c r="AM350" s="319">
        <v>0.32</v>
      </c>
      <c r="AN350" s="319">
        <v>0.32</v>
      </c>
      <c r="AO350" s="319">
        <v>0.32</v>
      </c>
      <c r="AP350" s="319">
        <v>0.32</v>
      </c>
      <c r="AQ350" s="319">
        <v>0.32</v>
      </c>
      <c r="AR350" s="319">
        <v>0.32</v>
      </c>
      <c r="AS350" s="319">
        <v>0.32</v>
      </c>
      <c r="AT350" s="319">
        <v>0.32</v>
      </c>
      <c r="AU350" s="319">
        <v>0.32</v>
      </c>
      <c r="AV350" s="319">
        <v>0.32</v>
      </c>
      <c r="AW350" s="319">
        <v>0.32</v>
      </c>
      <c r="AX350" s="319">
        <v>0.32</v>
      </c>
      <c r="AY350" s="319">
        <v>0.32</v>
      </c>
      <c r="AZ350" s="319">
        <v>0.32</v>
      </c>
      <c r="BA350" s="319">
        <v>0.32</v>
      </c>
      <c r="BB350" s="319">
        <v>0.32</v>
      </c>
      <c r="BC350" s="319">
        <v>0.32</v>
      </c>
      <c r="BD350" s="319">
        <v>0.32</v>
      </c>
      <c r="BE350" s="319">
        <v>0.32</v>
      </c>
      <c r="BF350" s="3"/>
    </row>
    <row r="351" spans="1:58" ht="14.25" customHeight="1" x14ac:dyDescent="0.45">
      <c r="A351" s="618"/>
      <c r="B351" s="215"/>
      <c r="C351" s="220"/>
      <c r="D351" s="228" t="s">
        <v>167</v>
      </c>
      <c r="E351" s="224">
        <f t="shared" si="8"/>
        <v>0</v>
      </c>
      <c r="F351" s="224">
        <f t="shared" si="8"/>
        <v>0</v>
      </c>
      <c r="G351" s="224">
        <f t="shared" si="8"/>
        <v>0</v>
      </c>
      <c r="H351" s="224">
        <f t="shared" si="8"/>
        <v>0</v>
      </c>
      <c r="I351" s="319">
        <v>0</v>
      </c>
      <c r="J351" s="319">
        <v>0</v>
      </c>
      <c r="K351" s="319">
        <v>0</v>
      </c>
      <c r="L351" s="319">
        <v>0</v>
      </c>
      <c r="M351" s="319">
        <v>0</v>
      </c>
      <c r="N351" s="319">
        <v>0</v>
      </c>
      <c r="O351" s="319">
        <v>0</v>
      </c>
      <c r="P351" s="319">
        <v>0</v>
      </c>
      <c r="Q351" s="319">
        <v>0</v>
      </c>
      <c r="R351" s="319">
        <v>0</v>
      </c>
      <c r="S351" s="319">
        <v>0</v>
      </c>
      <c r="T351" s="319">
        <v>0</v>
      </c>
      <c r="U351" s="319">
        <v>0</v>
      </c>
      <c r="V351" s="319">
        <v>0</v>
      </c>
      <c r="W351" s="319">
        <v>0</v>
      </c>
      <c r="X351" s="319">
        <v>0</v>
      </c>
      <c r="Y351" s="319">
        <v>0</v>
      </c>
      <c r="Z351" s="319">
        <v>0</v>
      </c>
      <c r="AA351" s="319">
        <v>0</v>
      </c>
      <c r="AB351" s="319">
        <v>0</v>
      </c>
      <c r="AC351" s="319">
        <v>0</v>
      </c>
      <c r="AD351" s="319">
        <v>0</v>
      </c>
      <c r="AE351" s="319">
        <v>0</v>
      </c>
      <c r="AF351" s="319">
        <v>0</v>
      </c>
      <c r="AG351" s="319">
        <v>0</v>
      </c>
      <c r="AH351" s="319">
        <v>0</v>
      </c>
      <c r="AI351" s="319">
        <v>0</v>
      </c>
      <c r="AJ351" s="319">
        <v>0</v>
      </c>
      <c r="AK351" s="319">
        <v>0</v>
      </c>
      <c r="AL351" s="319">
        <v>0</v>
      </c>
      <c r="AM351" s="319">
        <v>0</v>
      </c>
      <c r="AN351" s="319">
        <v>0</v>
      </c>
      <c r="AO351" s="319">
        <v>0</v>
      </c>
      <c r="AP351" s="319">
        <v>0</v>
      </c>
      <c r="AQ351" s="319">
        <v>0</v>
      </c>
      <c r="AR351" s="319">
        <v>0</v>
      </c>
      <c r="AS351" s="319">
        <v>0</v>
      </c>
      <c r="AT351" s="319">
        <v>0</v>
      </c>
      <c r="AU351" s="319">
        <v>0</v>
      </c>
      <c r="AV351" s="319">
        <v>0</v>
      </c>
      <c r="AW351" s="319">
        <v>0</v>
      </c>
      <c r="AX351" s="319">
        <v>0</v>
      </c>
      <c r="AY351" s="319">
        <v>0</v>
      </c>
      <c r="AZ351" s="319">
        <v>0</v>
      </c>
      <c r="BA351" s="319">
        <v>0</v>
      </c>
      <c r="BB351" s="319">
        <v>0</v>
      </c>
      <c r="BC351" s="319">
        <v>0</v>
      </c>
      <c r="BD351" s="319">
        <v>0</v>
      </c>
      <c r="BE351" s="319">
        <v>0</v>
      </c>
      <c r="BF351" s="3"/>
    </row>
    <row r="352" spans="1:58" ht="14.25" customHeight="1" x14ac:dyDescent="0.45">
      <c r="A352" s="618"/>
      <c r="B352" s="215"/>
      <c r="C352" s="220" t="s">
        <v>168</v>
      </c>
      <c r="D352" s="221" t="s">
        <v>169</v>
      </c>
      <c r="E352" s="224">
        <f t="shared" si="8"/>
        <v>0.31830000000000003</v>
      </c>
      <c r="F352" s="224">
        <f t="shared" si="8"/>
        <v>0.34420000000000001</v>
      </c>
      <c r="G352" s="224">
        <f t="shared" si="8"/>
        <v>0.35499999999999998</v>
      </c>
      <c r="H352" s="224">
        <f t="shared" si="8"/>
        <v>0.31019999999999998</v>
      </c>
      <c r="I352" s="646">
        <v>0.4</v>
      </c>
      <c r="J352" s="646">
        <v>0.4</v>
      </c>
      <c r="K352" s="646">
        <v>0.4</v>
      </c>
      <c r="L352" s="646">
        <v>0.4</v>
      </c>
      <c r="M352" s="646">
        <v>0.4</v>
      </c>
      <c r="N352" s="646">
        <v>0.4</v>
      </c>
      <c r="O352" s="646">
        <v>0.4</v>
      </c>
      <c r="P352" s="646">
        <v>0.4</v>
      </c>
      <c r="Q352" s="646">
        <v>0.4</v>
      </c>
      <c r="R352" s="646">
        <v>0.4</v>
      </c>
      <c r="S352" s="646">
        <v>0.4</v>
      </c>
      <c r="T352" s="646">
        <v>0.4</v>
      </c>
      <c r="U352" s="646">
        <v>0.4</v>
      </c>
      <c r="V352" s="646">
        <v>0.4</v>
      </c>
      <c r="W352" s="646">
        <v>0.4</v>
      </c>
      <c r="X352" s="646">
        <v>0.4</v>
      </c>
      <c r="Y352" s="646">
        <v>0.4</v>
      </c>
      <c r="Z352" s="646">
        <v>0.4</v>
      </c>
      <c r="AA352" s="646">
        <v>0.4</v>
      </c>
      <c r="AB352" s="646">
        <v>0.4</v>
      </c>
      <c r="AC352" s="646">
        <v>0.4</v>
      </c>
      <c r="AD352" s="646">
        <v>0.4</v>
      </c>
      <c r="AE352" s="646">
        <v>0.4</v>
      </c>
      <c r="AF352" s="646">
        <v>0.4</v>
      </c>
      <c r="AG352" s="646">
        <v>0.4</v>
      </c>
      <c r="AH352" s="646">
        <v>0.4</v>
      </c>
      <c r="AI352" s="646">
        <v>0.4</v>
      </c>
      <c r="AJ352" s="646">
        <v>0.4</v>
      </c>
      <c r="AK352" s="646">
        <v>0.4</v>
      </c>
      <c r="AL352" s="646">
        <v>0.4</v>
      </c>
      <c r="AM352" s="646">
        <v>0.4</v>
      </c>
      <c r="AN352" s="646">
        <v>0.4</v>
      </c>
      <c r="AO352" s="646">
        <v>0.4</v>
      </c>
      <c r="AP352" s="646">
        <v>0.4</v>
      </c>
      <c r="AQ352" s="646">
        <v>0.4</v>
      </c>
      <c r="AR352" s="646">
        <v>0.4</v>
      </c>
      <c r="AS352" s="646">
        <v>0.4</v>
      </c>
      <c r="AT352" s="646">
        <v>0.4</v>
      </c>
      <c r="AU352" s="646">
        <v>0.4</v>
      </c>
      <c r="AV352" s="646">
        <v>0.4</v>
      </c>
      <c r="AW352" s="646">
        <v>0.4</v>
      </c>
      <c r="AX352" s="646">
        <v>0.4</v>
      </c>
      <c r="AY352" s="646">
        <v>0.4</v>
      </c>
      <c r="AZ352" s="646">
        <v>0.4</v>
      </c>
      <c r="BA352" s="646">
        <v>0.4</v>
      </c>
      <c r="BB352" s="646">
        <v>0.4</v>
      </c>
      <c r="BC352" s="646">
        <v>0.4</v>
      </c>
      <c r="BD352" s="646">
        <v>0.4</v>
      </c>
      <c r="BE352" s="646">
        <v>0.4</v>
      </c>
      <c r="BF352" s="3"/>
    </row>
    <row r="353" spans="1:58" ht="14.25" customHeight="1" x14ac:dyDescent="0.45">
      <c r="A353" s="618"/>
      <c r="B353" s="215"/>
      <c r="C353" s="220" t="s">
        <v>170</v>
      </c>
      <c r="D353" s="224" t="s">
        <v>340</v>
      </c>
      <c r="E353" s="224">
        <f t="shared" si="8"/>
        <v>0.53639999999999999</v>
      </c>
      <c r="F353" s="224">
        <f t="shared" si="8"/>
        <v>0.58209999999999995</v>
      </c>
      <c r="G353" s="224">
        <f t="shared" si="8"/>
        <v>0.52139999999999997</v>
      </c>
      <c r="H353" s="224">
        <f t="shared" si="8"/>
        <v>0.43709999999999999</v>
      </c>
      <c r="I353" s="319">
        <v>0.54</v>
      </c>
      <c r="J353" s="319">
        <v>0.54</v>
      </c>
      <c r="K353" s="319">
        <v>0.54</v>
      </c>
      <c r="L353" s="319">
        <v>0.54</v>
      </c>
      <c r="M353" s="319">
        <v>0.54</v>
      </c>
      <c r="N353" s="319">
        <v>0.54</v>
      </c>
      <c r="O353" s="319">
        <v>0.54</v>
      </c>
      <c r="P353" s="319">
        <v>0.54</v>
      </c>
      <c r="Q353" s="319">
        <v>0.54</v>
      </c>
      <c r="R353" s="319">
        <v>0.54</v>
      </c>
      <c r="S353" s="319">
        <v>0.54</v>
      </c>
      <c r="T353" s="319">
        <v>0.54</v>
      </c>
      <c r="U353" s="319">
        <v>0.54</v>
      </c>
      <c r="V353" s="319">
        <v>0.54</v>
      </c>
      <c r="W353" s="319">
        <v>0.54</v>
      </c>
      <c r="X353" s="319">
        <v>0.54</v>
      </c>
      <c r="Y353" s="319">
        <v>0.54</v>
      </c>
      <c r="Z353" s="319">
        <v>0.54</v>
      </c>
      <c r="AA353" s="319">
        <v>0.54</v>
      </c>
      <c r="AB353" s="319">
        <v>0.54</v>
      </c>
      <c r="AC353" s="319">
        <v>0.54</v>
      </c>
      <c r="AD353" s="319">
        <v>0.54</v>
      </c>
      <c r="AE353" s="319">
        <v>0.54</v>
      </c>
      <c r="AF353" s="319">
        <v>0.54</v>
      </c>
      <c r="AG353" s="319">
        <v>0.54</v>
      </c>
      <c r="AH353" s="319">
        <v>0.54</v>
      </c>
      <c r="AI353" s="319">
        <v>0.54</v>
      </c>
      <c r="AJ353" s="319">
        <v>0.54</v>
      </c>
      <c r="AK353" s="319">
        <v>0.54</v>
      </c>
      <c r="AL353" s="319">
        <v>0.54</v>
      </c>
      <c r="AM353" s="319">
        <v>0.54</v>
      </c>
      <c r="AN353" s="319">
        <v>0.54</v>
      </c>
      <c r="AO353" s="319">
        <v>0.54</v>
      </c>
      <c r="AP353" s="319">
        <v>0.54</v>
      </c>
      <c r="AQ353" s="319">
        <v>0.54</v>
      </c>
      <c r="AR353" s="319">
        <v>0.54</v>
      </c>
      <c r="AS353" s="319">
        <v>0.54</v>
      </c>
      <c r="AT353" s="319">
        <v>0.54</v>
      </c>
      <c r="AU353" s="319">
        <v>0.54</v>
      </c>
      <c r="AV353" s="319">
        <v>0.54</v>
      </c>
      <c r="AW353" s="319">
        <v>0.54</v>
      </c>
      <c r="AX353" s="319">
        <v>0.54</v>
      </c>
      <c r="AY353" s="319">
        <v>0.54</v>
      </c>
      <c r="AZ353" s="319">
        <v>0.54</v>
      </c>
      <c r="BA353" s="319">
        <v>0.54</v>
      </c>
      <c r="BB353" s="319">
        <v>0.54</v>
      </c>
      <c r="BC353" s="319">
        <v>0.54</v>
      </c>
      <c r="BD353" s="319">
        <v>0.54</v>
      </c>
      <c r="BE353" s="319">
        <v>0.54</v>
      </c>
      <c r="BF353" s="3"/>
    </row>
    <row r="354" spans="1:58" ht="14.25" customHeight="1" x14ac:dyDescent="0.45">
      <c r="A354" s="618"/>
      <c r="B354" s="215"/>
      <c r="C354" s="220"/>
      <c r="D354" s="224" t="s">
        <v>341</v>
      </c>
      <c r="E354" s="224">
        <f t="shared" si="8"/>
        <v>0.49030000000000001</v>
      </c>
      <c r="F354" s="224">
        <f t="shared" si="8"/>
        <v>0.58309999999999995</v>
      </c>
      <c r="G354" s="224">
        <f t="shared" si="8"/>
        <v>0.57330000000000003</v>
      </c>
      <c r="H354" s="224">
        <f t="shared" si="8"/>
        <v>0.60170000000000001</v>
      </c>
      <c r="I354" s="319">
        <v>0.49</v>
      </c>
      <c r="J354" s="319">
        <v>0.49</v>
      </c>
      <c r="K354" s="319">
        <v>0.49</v>
      </c>
      <c r="L354" s="319">
        <v>0.49</v>
      </c>
      <c r="M354" s="319">
        <v>0.49</v>
      </c>
      <c r="N354" s="319">
        <v>0.49</v>
      </c>
      <c r="O354" s="319">
        <v>0.49</v>
      </c>
      <c r="P354" s="319">
        <v>0.49</v>
      </c>
      <c r="Q354" s="319">
        <v>0.49</v>
      </c>
      <c r="R354" s="319">
        <v>0.49</v>
      </c>
      <c r="S354" s="319">
        <v>0.49</v>
      </c>
      <c r="T354" s="319">
        <v>0.49</v>
      </c>
      <c r="U354" s="319">
        <v>0.49</v>
      </c>
      <c r="V354" s="319">
        <v>0.49</v>
      </c>
      <c r="W354" s="319">
        <v>0.49</v>
      </c>
      <c r="X354" s="319">
        <v>0.49</v>
      </c>
      <c r="Y354" s="319">
        <v>0.49</v>
      </c>
      <c r="Z354" s="319">
        <v>0.49</v>
      </c>
      <c r="AA354" s="319">
        <v>0.49</v>
      </c>
      <c r="AB354" s="319">
        <v>0.49</v>
      </c>
      <c r="AC354" s="319">
        <v>0.49</v>
      </c>
      <c r="AD354" s="319">
        <v>0.49</v>
      </c>
      <c r="AE354" s="319">
        <v>0.49</v>
      </c>
      <c r="AF354" s="319">
        <v>0.49</v>
      </c>
      <c r="AG354" s="319">
        <v>0.49</v>
      </c>
      <c r="AH354" s="319">
        <v>0.49</v>
      </c>
      <c r="AI354" s="319">
        <v>0.49</v>
      </c>
      <c r="AJ354" s="319">
        <v>0.49</v>
      </c>
      <c r="AK354" s="319">
        <v>0.49</v>
      </c>
      <c r="AL354" s="319">
        <v>0.49</v>
      </c>
      <c r="AM354" s="319">
        <v>0.49</v>
      </c>
      <c r="AN354" s="319">
        <v>0.49</v>
      </c>
      <c r="AO354" s="319">
        <v>0.49</v>
      </c>
      <c r="AP354" s="319">
        <v>0.49</v>
      </c>
      <c r="AQ354" s="319">
        <v>0.49</v>
      </c>
      <c r="AR354" s="319">
        <v>0.49</v>
      </c>
      <c r="AS354" s="319">
        <v>0.49</v>
      </c>
      <c r="AT354" s="319">
        <v>0.49</v>
      </c>
      <c r="AU354" s="319">
        <v>0.49</v>
      </c>
      <c r="AV354" s="319">
        <v>0.49</v>
      </c>
      <c r="AW354" s="319">
        <v>0.49</v>
      </c>
      <c r="AX354" s="319">
        <v>0.49</v>
      </c>
      <c r="AY354" s="319">
        <v>0.49</v>
      </c>
      <c r="AZ354" s="319">
        <v>0.49</v>
      </c>
      <c r="BA354" s="319">
        <v>0.49</v>
      </c>
      <c r="BB354" s="319">
        <v>0.49</v>
      </c>
      <c r="BC354" s="319">
        <v>0.49</v>
      </c>
      <c r="BD354" s="319">
        <v>0.49</v>
      </c>
      <c r="BE354" s="319">
        <v>0.49</v>
      </c>
      <c r="BF354" s="3"/>
    </row>
    <row r="355" spans="1:58" ht="14.25" customHeight="1" x14ac:dyDescent="0.45">
      <c r="A355" s="618"/>
      <c r="B355" s="215"/>
      <c r="C355" s="220"/>
      <c r="D355" s="228" t="s">
        <v>173</v>
      </c>
      <c r="E355" s="224">
        <f t="shared" si="8"/>
        <v>0.53420000000000001</v>
      </c>
      <c r="F355" s="224">
        <f t="shared" si="8"/>
        <v>0.62019999999999997</v>
      </c>
      <c r="G355" s="224">
        <f t="shared" si="8"/>
        <v>0.5595</v>
      </c>
      <c r="H355" s="224">
        <f t="shared" si="8"/>
        <v>0.60319999999999996</v>
      </c>
      <c r="I355" s="319">
        <v>0.53</v>
      </c>
      <c r="J355" s="319">
        <v>0.53</v>
      </c>
      <c r="K355" s="319">
        <v>0.53</v>
      </c>
      <c r="L355" s="319">
        <v>0.53</v>
      </c>
      <c r="M355" s="319">
        <v>0.53</v>
      </c>
      <c r="N355" s="319">
        <v>0.53</v>
      </c>
      <c r="O355" s="319">
        <v>0.53</v>
      </c>
      <c r="P355" s="319">
        <v>0.53</v>
      </c>
      <c r="Q355" s="319">
        <v>0.53</v>
      </c>
      <c r="R355" s="319">
        <v>0.53</v>
      </c>
      <c r="S355" s="319">
        <v>0.53</v>
      </c>
      <c r="T355" s="319">
        <v>0.53</v>
      </c>
      <c r="U355" s="319">
        <v>0.53</v>
      </c>
      <c r="V355" s="319">
        <v>0.53</v>
      </c>
      <c r="W355" s="319">
        <v>0.53</v>
      </c>
      <c r="X355" s="319">
        <v>0.53</v>
      </c>
      <c r="Y355" s="319">
        <v>0.53</v>
      </c>
      <c r="Z355" s="319">
        <v>0.53</v>
      </c>
      <c r="AA355" s="319">
        <v>0.53</v>
      </c>
      <c r="AB355" s="319">
        <v>0.53</v>
      </c>
      <c r="AC355" s="319">
        <v>0.53</v>
      </c>
      <c r="AD355" s="319">
        <v>0.53</v>
      </c>
      <c r="AE355" s="319">
        <v>0.53</v>
      </c>
      <c r="AF355" s="319">
        <v>0.53</v>
      </c>
      <c r="AG355" s="319">
        <v>0.53</v>
      </c>
      <c r="AH355" s="319">
        <v>0.53</v>
      </c>
      <c r="AI355" s="319">
        <v>0.53</v>
      </c>
      <c r="AJ355" s="319">
        <v>0.53</v>
      </c>
      <c r="AK355" s="319">
        <v>0.53</v>
      </c>
      <c r="AL355" s="319">
        <v>0.53</v>
      </c>
      <c r="AM355" s="319">
        <v>0.53</v>
      </c>
      <c r="AN355" s="319">
        <v>0.53</v>
      </c>
      <c r="AO355" s="319">
        <v>0.53</v>
      </c>
      <c r="AP355" s="319">
        <v>0.53</v>
      </c>
      <c r="AQ355" s="319">
        <v>0.53</v>
      </c>
      <c r="AR355" s="319">
        <v>0.53</v>
      </c>
      <c r="AS355" s="319">
        <v>0.53</v>
      </c>
      <c r="AT355" s="319">
        <v>0.53</v>
      </c>
      <c r="AU355" s="319">
        <v>0.53</v>
      </c>
      <c r="AV355" s="319">
        <v>0.53</v>
      </c>
      <c r="AW355" s="319">
        <v>0.53</v>
      </c>
      <c r="AX355" s="319">
        <v>0.53</v>
      </c>
      <c r="AY355" s="319">
        <v>0.53</v>
      </c>
      <c r="AZ355" s="319">
        <v>0.53</v>
      </c>
      <c r="BA355" s="319">
        <v>0.53</v>
      </c>
      <c r="BB355" s="319">
        <v>0.53</v>
      </c>
      <c r="BC355" s="319">
        <v>0.53</v>
      </c>
      <c r="BD355" s="319">
        <v>0.53</v>
      </c>
      <c r="BE355" s="319">
        <v>0.53</v>
      </c>
      <c r="BF355" s="3"/>
    </row>
    <row r="356" spans="1:58" ht="14.25" customHeight="1" x14ac:dyDescent="0.45">
      <c r="A356" s="618"/>
      <c r="B356" s="215"/>
      <c r="C356" s="220"/>
      <c r="D356" s="221" t="s">
        <v>174</v>
      </c>
      <c r="E356" s="224">
        <f t="shared" si="8"/>
        <v>0.54579999999999995</v>
      </c>
      <c r="F356" s="224">
        <f t="shared" si="8"/>
        <v>0.61919999999999997</v>
      </c>
      <c r="G356" s="224">
        <f t="shared" si="8"/>
        <v>0.57310000000000005</v>
      </c>
      <c r="H356" s="224">
        <f t="shared" si="8"/>
        <v>0.60840000000000005</v>
      </c>
      <c r="I356" s="319">
        <v>0.55000000000000004</v>
      </c>
      <c r="J356" s="319">
        <v>0.55000000000000004</v>
      </c>
      <c r="K356" s="319">
        <v>0.55000000000000004</v>
      </c>
      <c r="L356" s="319">
        <v>0.55000000000000004</v>
      </c>
      <c r="M356" s="319">
        <v>0.55000000000000004</v>
      </c>
      <c r="N356" s="319">
        <v>0.55000000000000004</v>
      </c>
      <c r="O356" s="319">
        <v>0.55000000000000004</v>
      </c>
      <c r="P356" s="319">
        <v>0.55000000000000004</v>
      </c>
      <c r="Q356" s="319">
        <v>0.55000000000000004</v>
      </c>
      <c r="R356" s="319">
        <v>0.55000000000000004</v>
      </c>
      <c r="S356" s="319">
        <v>0.55000000000000004</v>
      </c>
      <c r="T356" s="319">
        <v>0.55000000000000004</v>
      </c>
      <c r="U356" s="319">
        <v>0.55000000000000004</v>
      </c>
      <c r="V356" s="319">
        <v>0.55000000000000004</v>
      </c>
      <c r="W356" s="319">
        <v>0.55000000000000004</v>
      </c>
      <c r="X356" s="319">
        <v>0.55000000000000004</v>
      </c>
      <c r="Y356" s="319">
        <v>0.55000000000000004</v>
      </c>
      <c r="Z356" s="319">
        <v>0.55000000000000004</v>
      </c>
      <c r="AA356" s="319">
        <v>0.55000000000000004</v>
      </c>
      <c r="AB356" s="319">
        <v>0.55000000000000004</v>
      </c>
      <c r="AC356" s="319">
        <v>0.55000000000000004</v>
      </c>
      <c r="AD356" s="319">
        <v>0.55000000000000004</v>
      </c>
      <c r="AE356" s="319">
        <v>0.55000000000000004</v>
      </c>
      <c r="AF356" s="319">
        <v>0.55000000000000004</v>
      </c>
      <c r="AG356" s="319">
        <v>0.55000000000000004</v>
      </c>
      <c r="AH356" s="319">
        <v>0.55000000000000004</v>
      </c>
      <c r="AI356" s="319">
        <v>0.55000000000000004</v>
      </c>
      <c r="AJ356" s="319">
        <v>0.55000000000000004</v>
      </c>
      <c r="AK356" s="319">
        <v>0.55000000000000004</v>
      </c>
      <c r="AL356" s="319">
        <v>0.55000000000000004</v>
      </c>
      <c r="AM356" s="319">
        <v>0.55000000000000004</v>
      </c>
      <c r="AN356" s="319">
        <v>0.55000000000000004</v>
      </c>
      <c r="AO356" s="319">
        <v>0.55000000000000004</v>
      </c>
      <c r="AP356" s="319">
        <v>0.55000000000000004</v>
      </c>
      <c r="AQ356" s="319">
        <v>0.55000000000000004</v>
      </c>
      <c r="AR356" s="319">
        <v>0.55000000000000004</v>
      </c>
      <c r="AS356" s="319">
        <v>0.55000000000000004</v>
      </c>
      <c r="AT356" s="319">
        <v>0.55000000000000004</v>
      </c>
      <c r="AU356" s="319">
        <v>0.55000000000000004</v>
      </c>
      <c r="AV356" s="319">
        <v>0.55000000000000004</v>
      </c>
      <c r="AW356" s="319">
        <v>0.55000000000000004</v>
      </c>
      <c r="AX356" s="319">
        <v>0.55000000000000004</v>
      </c>
      <c r="AY356" s="319">
        <v>0.55000000000000004</v>
      </c>
      <c r="AZ356" s="319">
        <v>0.55000000000000004</v>
      </c>
      <c r="BA356" s="319">
        <v>0.55000000000000004</v>
      </c>
      <c r="BB356" s="319">
        <v>0.55000000000000004</v>
      </c>
      <c r="BC356" s="319">
        <v>0.55000000000000004</v>
      </c>
      <c r="BD356" s="319">
        <v>0.55000000000000004</v>
      </c>
      <c r="BE356" s="319">
        <v>0.55000000000000004</v>
      </c>
      <c r="BF356" s="3"/>
    </row>
    <row r="357" spans="1:58" ht="14.25" customHeight="1" x14ac:dyDescent="0.45">
      <c r="A357" s="618"/>
      <c r="B357" s="215"/>
      <c r="C357" s="220"/>
      <c r="D357" s="221" t="s">
        <v>175</v>
      </c>
      <c r="E357" s="224">
        <f t="shared" si="8"/>
        <v>0.46700000000000003</v>
      </c>
      <c r="F357" s="224">
        <f t="shared" si="8"/>
        <v>0.62619999999999998</v>
      </c>
      <c r="G357" s="224">
        <f t="shared" si="8"/>
        <v>0.48070000000000002</v>
      </c>
      <c r="H357" s="224">
        <f t="shared" si="8"/>
        <v>0.57269999999999999</v>
      </c>
      <c r="I357" s="319">
        <v>0.47</v>
      </c>
      <c r="J357" s="319">
        <v>0.47</v>
      </c>
      <c r="K357" s="319">
        <v>0.47</v>
      </c>
      <c r="L357" s="319">
        <v>0.47</v>
      </c>
      <c r="M357" s="319">
        <v>0.47</v>
      </c>
      <c r="N357" s="319">
        <v>0.47</v>
      </c>
      <c r="O357" s="319">
        <v>0.47</v>
      </c>
      <c r="P357" s="319">
        <v>0.47</v>
      </c>
      <c r="Q357" s="319">
        <v>0.47</v>
      </c>
      <c r="R357" s="319">
        <v>0.47</v>
      </c>
      <c r="S357" s="319">
        <v>0.47</v>
      </c>
      <c r="T357" s="319">
        <v>0.47</v>
      </c>
      <c r="U357" s="319">
        <v>0.47</v>
      </c>
      <c r="V357" s="319">
        <v>0.47</v>
      </c>
      <c r="W357" s="319">
        <v>0.47</v>
      </c>
      <c r="X357" s="319">
        <v>0.47</v>
      </c>
      <c r="Y357" s="319">
        <v>0.47</v>
      </c>
      <c r="Z357" s="319">
        <v>0.47</v>
      </c>
      <c r="AA357" s="319">
        <v>0.47</v>
      </c>
      <c r="AB357" s="319">
        <v>0.47</v>
      </c>
      <c r="AC357" s="319">
        <v>0.47</v>
      </c>
      <c r="AD357" s="319">
        <v>0.47</v>
      </c>
      <c r="AE357" s="319">
        <v>0.47</v>
      </c>
      <c r="AF357" s="319">
        <v>0.47</v>
      </c>
      <c r="AG357" s="319">
        <v>0.47</v>
      </c>
      <c r="AH357" s="319">
        <v>0.47</v>
      </c>
      <c r="AI357" s="319">
        <v>0.47</v>
      </c>
      <c r="AJ357" s="319">
        <v>0.47</v>
      </c>
      <c r="AK357" s="319">
        <v>0.47</v>
      </c>
      <c r="AL357" s="319">
        <v>0.47</v>
      </c>
      <c r="AM357" s="319">
        <v>0.47</v>
      </c>
      <c r="AN357" s="319">
        <v>0.47</v>
      </c>
      <c r="AO357" s="319">
        <v>0.47</v>
      </c>
      <c r="AP357" s="319">
        <v>0.47</v>
      </c>
      <c r="AQ357" s="319">
        <v>0.47</v>
      </c>
      <c r="AR357" s="319">
        <v>0.47</v>
      </c>
      <c r="AS357" s="319">
        <v>0.47</v>
      </c>
      <c r="AT357" s="319">
        <v>0.47</v>
      </c>
      <c r="AU357" s="319">
        <v>0.47</v>
      </c>
      <c r="AV357" s="319">
        <v>0.47</v>
      </c>
      <c r="AW357" s="319">
        <v>0.47</v>
      </c>
      <c r="AX357" s="319">
        <v>0.47</v>
      </c>
      <c r="AY357" s="319">
        <v>0.47</v>
      </c>
      <c r="AZ357" s="319">
        <v>0.47</v>
      </c>
      <c r="BA357" s="319">
        <v>0.47</v>
      </c>
      <c r="BB357" s="319">
        <v>0.47</v>
      </c>
      <c r="BC357" s="319">
        <v>0.47</v>
      </c>
      <c r="BD357" s="319">
        <v>0.47</v>
      </c>
      <c r="BE357" s="319">
        <v>0.47</v>
      </c>
      <c r="BF357" s="3"/>
    </row>
    <row r="358" spans="1:58" ht="14.25" customHeight="1" x14ac:dyDescent="0.45">
      <c r="A358" s="618"/>
      <c r="B358" s="215"/>
      <c r="C358" s="220"/>
      <c r="D358" s="228" t="s">
        <v>176</v>
      </c>
      <c r="E358" s="224">
        <f t="shared" si="8"/>
        <v>0.46750000000000003</v>
      </c>
      <c r="F358" s="224">
        <f t="shared" si="8"/>
        <v>0.56379999999999997</v>
      </c>
      <c r="G358" s="224">
        <f t="shared" si="8"/>
        <v>0.58040000000000003</v>
      </c>
      <c r="H358" s="224">
        <f t="shared" si="8"/>
        <v>0.60089999999999999</v>
      </c>
      <c r="I358" s="319">
        <v>0.47</v>
      </c>
      <c r="J358" s="319">
        <v>0.47</v>
      </c>
      <c r="K358" s="319">
        <v>0.47</v>
      </c>
      <c r="L358" s="319">
        <v>0.47</v>
      </c>
      <c r="M358" s="319">
        <v>0.47</v>
      </c>
      <c r="N358" s="319">
        <v>0.47</v>
      </c>
      <c r="O358" s="319">
        <v>0.47</v>
      </c>
      <c r="P358" s="319">
        <v>0.47</v>
      </c>
      <c r="Q358" s="319">
        <v>0.47</v>
      </c>
      <c r="R358" s="319">
        <v>0.47</v>
      </c>
      <c r="S358" s="319">
        <v>0.47</v>
      </c>
      <c r="T358" s="319">
        <v>0.47</v>
      </c>
      <c r="U358" s="319">
        <v>0.47</v>
      </c>
      <c r="V358" s="319">
        <v>0.47</v>
      </c>
      <c r="W358" s="319">
        <v>0.47</v>
      </c>
      <c r="X358" s="319">
        <v>0.47</v>
      </c>
      <c r="Y358" s="319">
        <v>0.47</v>
      </c>
      <c r="Z358" s="319">
        <v>0.47</v>
      </c>
      <c r="AA358" s="319">
        <v>0.47</v>
      </c>
      <c r="AB358" s="319">
        <v>0.47</v>
      </c>
      <c r="AC358" s="319">
        <v>0.47</v>
      </c>
      <c r="AD358" s="319">
        <v>0.47</v>
      </c>
      <c r="AE358" s="319">
        <v>0.47</v>
      </c>
      <c r="AF358" s="319">
        <v>0.47</v>
      </c>
      <c r="AG358" s="319">
        <v>0.47</v>
      </c>
      <c r="AH358" s="319">
        <v>0.47</v>
      </c>
      <c r="AI358" s="319">
        <v>0.47</v>
      </c>
      <c r="AJ358" s="319">
        <v>0.47</v>
      </c>
      <c r="AK358" s="319">
        <v>0.47</v>
      </c>
      <c r="AL358" s="319">
        <v>0.47</v>
      </c>
      <c r="AM358" s="319">
        <v>0.47</v>
      </c>
      <c r="AN358" s="319">
        <v>0.47</v>
      </c>
      <c r="AO358" s="319">
        <v>0.47</v>
      </c>
      <c r="AP358" s="319">
        <v>0.47</v>
      </c>
      <c r="AQ358" s="319">
        <v>0.47</v>
      </c>
      <c r="AR358" s="319">
        <v>0.47</v>
      </c>
      <c r="AS358" s="319">
        <v>0.47</v>
      </c>
      <c r="AT358" s="319">
        <v>0.47</v>
      </c>
      <c r="AU358" s="319">
        <v>0.47</v>
      </c>
      <c r="AV358" s="319">
        <v>0.47</v>
      </c>
      <c r="AW358" s="319">
        <v>0.47</v>
      </c>
      <c r="AX358" s="319">
        <v>0.47</v>
      </c>
      <c r="AY358" s="319">
        <v>0.47</v>
      </c>
      <c r="AZ358" s="319">
        <v>0.47</v>
      </c>
      <c r="BA358" s="319">
        <v>0.47</v>
      </c>
      <c r="BB358" s="319">
        <v>0.47</v>
      </c>
      <c r="BC358" s="319">
        <v>0.47</v>
      </c>
      <c r="BD358" s="319">
        <v>0.47</v>
      </c>
      <c r="BE358" s="319">
        <v>0.47</v>
      </c>
      <c r="BF358" s="3"/>
    </row>
    <row r="359" spans="1:58" ht="14.25" customHeight="1" x14ac:dyDescent="0.45">
      <c r="A359" s="618"/>
      <c r="B359" s="215"/>
      <c r="C359" s="220"/>
      <c r="D359" s="221" t="s">
        <v>174</v>
      </c>
      <c r="E359" s="224">
        <f t="shared" si="8"/>
        <v>0.50219999999999998</v>
      </c>
      <c r="F359" s="224">
        <f t="shared" si="8"/>
        <v>0.57210000000000005</v>
      </c>
      <c r="G359" s="224">
        <f t="shared" si="8"/>
        <v>0.59130000000000005</v>
      </c>
      <c r="H359" s="224">
        <f t="shared" si="8"/>
        <v>0.60399999999999998</v>
      </c>
      <c r="I359" s="319">
        <v>0.5</v>
      </c>
      <c r="J359" s="319">
        <v>0.5</v>
      </c>
      <c r="K359" s="319">
        <v>0.5</v>
      </c>
      <c r="L359" s="319">
        <v>0.5</v>
      </c>
      <c r="M359" s="319">
        <v>0.5</v>
      </c>
      <c r="N359" s="319">
        <v>0.5</v>
      </c>
      <c r="O359" s="319">
        <v>0.5</v>
      </c>
      <c r="P359" s="319">
        <v>0.5</v>
      </c>
      <c r="Q359" s="319">
        <v>0.5</v>
      </c>
      <c r="R359" s="319">
        <v>0.5</v>
      </c>
      <c r="S359" s="319">
        <v>0.5</v>
      </c>
      <c r="T359" s="319">
        <v>0.5</v>
      </c>
      <c r="U359" s="319">
        <v>0.5</v>
      </c>
      <c r="V359" s="319">
        <v>0.5</v>
      </c>
      <c r="W359" s="319">
        <v>0.5</v>
      </c>
      <c r="X359" s="319">
        <v>0.5</v>
      </c>
      <c r="Y359" s="319">
        <v>0.5</v>
      </c>
      <c r="Z359" s="319">
        <v>0.5</v>
      </c>
      <c r="AA359" s="319">
        <v>0.5</v>
      </c>
      <c r="AB359" s="319">
        <v>0.5</v>
      </c>
      <c r="AC359" s="319">
        <v>0.5</v>
      </c>
      <c r="AD359" s="319">
        <v>0.5</v>
      </c>
      <c r="AE359" s="319">
        <v>0.5</v>
      </c>
      <c r="AF359" s="319">
        <v>0.5</v>
      </c>
      <c r="AG359" s="319">
        <v>0.5</v>
      </c>
      <c r="AH359" s="319">
        <v>0.5</v>
      </c>
      <c r="AI359" s="319">
        <v>0.5</v>
      </c>
      <c r="AJ359" s="319">
        <v>0.5</v>
      </c>
      <c r="AK359" s="319">
        <v>0.5</v>
      </c>
      <c r="AL359" s="319">
        <v>0.5</v>
      </c>
      <c r="AM359" s="319">
        <v>0.5</v>
      </c>
      <c r="AN359" s="319">
        <v>0.5</v>
      </c>
      <c r="AO359" s="319">
        <v>0.5</v>
      </c>
      <c r="AP359" s="319">
        <v>0.5</v>
      </c>
      <c r="AQ359" s="319">
        <v>0.5</v>
      </c>
      <c r="AR359" s="319">
        <v>0.5</v>
      </c>
      <c r="AS359" s="319">
        <v>0.5</v>
      </c>
      <c r="AT359" s="319">
        <v>0.5</v>
      </c>
      <c r="AU359" s="319">
        <v>0.5</v>
      </c>
      <c r="AV359" s="319">
        <v>0.5</v>
      </c>
      <c r="AW359" s="319">
        <v>0.5</v>
      </c>
      <c r="AX359" s="319">
        <v>0.5</v>
      </c>
      <c r="AY359" s="319">
        <v>0.5</v>
      </c>
      <c r="AZ359" s="319">
        <v>0.5</v>
      </c>
      <c r="BA359" s="319">
        <v>0.5</v>
      </c>
      <c r="BB359" s="319">
        <v>0.5</v>
      </c>
      <c r="BC359" s="319">
        <v>0.5</v>
      </c>
      <c r="BD359" s="319">
        <v>0.5</v>
      </c>
      <c r="BE359" s="319">
        <v>0.5</v>
      </c>
      <c r="BF359" s="3"/>
    </row>
    <row r="360" spans="1:58" ht="14.25" customHeight="1" x14ac:dyDescent="0.45">
      <c r="A360" s="618"/>
      <c r="B360" s="215"/>
      <c r="C360" s="220"/>
      <c r="D360" s="221" t="s">
        <v>175</v>
      </c>
      <c r="E360" s="224">
        <f t="shared" si="8"/>
        <v>0.20419999999999999</v>
      </c>
      <c r="F360" s="224">
        <f t="shared" si="8"/>
        <v>0.50049999999999994</v>
      </c>
      <c r="G360" s="224">
        <f t="shared" si="8"/>
        <v>0.49980000000000002</v>
      </c>
      <c r="H360" s="224">
        <f t="shared" si="8"/>
        <v>0.57779999999999998</v>
      </c>
      <c r="I360" s="319">
        <v>0.2</v>
      </c>
      <c r="J360" s="319">
        <v>0.2</v>
      </c>
      <c r="K360" s="319">
        <v>0.2</v>
      </c>
      <c r="L360" s="319">
        <v>0.2</v>
      </c>
      <c r="M360" s="319">
        <v>0.2</v>
      </c>
      <c r="N360" s="319">
        <v>0.2</v>
      </c>
      <c r="O360" s="319">
        <v>0.2</v>
      </c>
      <c r="P360" s="319">
        <v>0.2</v>
      </c>
      <c r="Q360" s="319">
        <v>0.2</v>
      </c>
      <c r="R360" s="319">
        <v>0.2</v>
      </c>
      <c r="S360" s="319">
        <v>0.2</v>
      </c>
      <c r="T360" s="319">
        <v>0.2</v>
      </c>
      <c r="U360" s="319">
        <v>0.2</v>
      </c>
      <c r="V360" s="319">
        <v>0.2</v>
      </c>
      <c r="W360" s="319">
        <v>0.2</v>
      </c>
      <c r="X360" s="319">
        <v>0.2</v>
      </c>
      <c r="Y360" s="319">
        <v>0.2</v>
      </c>
      <c r="Z360" s="319">
        <v>0.2</v>
      </c>
      <c r="AA360" s="319">
        <v>0.2</v>
      </c>
      <c r="AB360" s="319">
        <v>0.2</v>
      </c>
      <c r="AC360" s="319">
        <v>0.2</v>
      </c>
      <c r="AD360" s="319">
        <v>0.2</v>
      </c>
      <c r="AE360" s="319">
        <v>0.2</v>
      </c>
      <c r="AF360" s="319">
        <v>0.2</v>
      </c>
      <c r="AG360" s="319">
        <v>0.2</v>
      </c>
      <c r="AH360" s="319">
        <v>0.2</v>
      </c>
      <c r="AI360" s="319">
        <v>0.2</v>
      </c>
      <c r="AJ360" s="319">
        <v>0.2</v>
      </c>
      <c r="AK360" s="319">
        <v>0.2</v>
      </c>
      <c r="AL360" s="319">
        <v>0.2</v>
      </c>
      <c r="AM360" s="319">
        <v>0.2</v>
      </c>
      <c r="AN360" s="319">
        <v>0.2</v>
      </c>
      <c r="AO360" s="319">
        <v>0.2</v>
      </c>
      <c r="AP360" s="319">
        <v>0.2</v>
      </c>
      <c r="AQ360" s="319">
        <v>0.2</v>
      </c>
      <c r="AR360" s="319">
        <v>0.2</v>
      </c>
      <c r="AS360" s="319">
        <v>0.2</v>
      </c>
      <c r="AT360" s="319">
        <v>0.2</v>
      </c>
      <c r="AU360" s="319">
        <v>0.2</v>
      </c>
      <c r="AV360" s="319">
        <v>0.2</v>
      </c>
      <c r="AW360" s="319">
        <v>0.2</v>
      </c>
      <c r="AX360" s="319">
        <v>0.2</v>
      </c>
      <c r="AY360" s="319">
        <v>0.2</v>
      </c>
      <c r="AZ360" s="319">
        <v>0.2</v>
      </c>
      <c r="BA360" s="319">
        <v>0.2</v>
      </c>
      <c r="BB360" s="319">
        <v>0.2</v>
      </c>
      <c r="BC360" s="319">
        <v>0.2</v>
      </c>
      <c r="BD360" s="319">
        <v>0.2</v>
      </c>
      <c r="BE360" s="319">
        <v>0.2</v>
      </c>
      <c r="BF360" s="3"/>
    </row>
    <row r="361" spans="1:58" ht="14.25" customHeight="1" x14ac:dyDescent="0.45">
      <c r="A361" s="618"/>
      <c r="B361" s="215"/>
      <c r="C361" s="220" t="s">
        <v>177</v>
      </c>
      <c r="D361" s="224" t="s">
        <v>342</v>
      </c>
      <c r="E361" s="224">
        <f t="shared" si="8"/>
        <v>0.17069999999999999</v>
      </c>
      <c r="F361" s="224">
        <f t="shared" si="8"/>
        <v>0.16259999999999999</v>
      </c>
      <c r="G361" s="224">
        <f t="shared" si="8"/>
        <v>0.16600000000000001</v>
      </c>
      <c r="H361" s="224">
        <f t="shared" si="8"/>
        <v>0.16420000000000001</v>
      </c>
      <c r="I361" s="319">
        <v>0.17</v>
      </c>
      <c r="J361" s="319">
        <v>0.17</v>
      </c>
      <c r="K361" s="319">
        <v>0.17</v>
      </c>
      <c r="L361" s="319">
        <v>0.17</v>
      </c>
      <c r="M361" s="319">
        <v>0.17</v>
      </c>
      <c r="N361" s="319">
        <v>0.17</v>
      </c>
      <c r="O361" s="319">
        <v>0.17</v>
      </c>
      <c r="P361" s="319">
        <v>0.17</v>
      </c>
      <c r="Q361" s="319">
        <v>0.17</v>
      </c>
      <c r="R361" s="319">
        <v>0.17</v>
      </c>
      <c r="S361" s="319">
        <v>0.17</v>
      </c>
      <c r="T361" s="319">
        <v>0.17</v>
      </c>
      <c r="U361" s="319">
        <v>0.17</v>
      </c>
      <c r="V361" s="319">
        <v>0.17</v>
      </c>
      <c r="W361" s="319">
        <v>0.17</v>
      </c>
      <c r="X361" s="319">
        <v>0.17</v>
      </c>
      <c r="Y361" s="319">
        <v>0.17</v>
      </c>
      <c r="Z361" s="319">
        <v>0.17</v>
      </c>
      <c r="AA361" s="319">
        <v>0.17</v>
      </c>
      <c r="AB361" s="319">
        <v>0.17</v>
      </c>
      <c r="AC361" s="319">
        <v>0.17</v>
      </c>
      <c r="AD361" s="319">
        <v>0.17</v>
      </c>
      <c r="AE361" s="319">
        <v>0.17</v>
      </c>
      <c r="AF361" s="319">
        <v>0.17</v>
      </c>
      <c r="AG361" s="319">
        <v>0.17</v>
      </c>
      <c r="AH361" s="319">
        <v>0.17</v>
      </c>
      <c r="AI361" s="319">
        <v>0.17</v>
      </c>
      <c r="AJ361" s="319">
        <v>0.17</v>
      </c>
      <c r="AK361" s="319">
        <v>0.17</v>
      </c>
      <c r="AL361" s="319">
        <v>0.17</v>
      </c>
      <c r="AM361" s="319">
        <v>0.17</v>
      </c>
      <c r="AN361" s="319">
        <v>0.17</v>
      </c>
      <c r="AO361" s="319">
        <v>0.17</v>
      </c>
      <c r="AP361" s="319">
        <v>0.17</v>
      </c>
      <c r="AQ361" s="319">
        <v>0.17</v>
      </c>
      <c r="AR361" s="319">
        <v>0.17</v>
      </c>
      <c r="AS361" s="319">
        <v>0.17</v>
      </c>
      <c r="AT361" s="319">
        <v>0.17</v>
      </c>
      <c r="AU361" s="319">
        <v>0.17</v>
      </c>
      <c r="AV361" s="319">
        <v>0.17</v>
      </c>
      <c r="AW361" s="319">
        <v>0.17</v>
      </c>
      <c r="AX361" s="319">
        <v>0.17</v>
      </c>
      <c r="AY361" s="319">
        <v>0.17</v>
      </c>
      <c r="AZ361" s="319">
        <v>0.17</v>
      </c>
      <c r="BA361" s="319">
        <v>0.17</v>
      </c>
      <c r="BB361" s="319">
        <v>0.17</v>
      </c>
      <c r="BC361" s="319">
        <v>0.17</v>
      </c>
      <c r="BD361" s="319">
        <v>0.17</v>
      </c>
      <c r="BE361" s="319">
        <v>0.17</v>
      </c>
      <c r="BF361" s="3"/>
    </row>
    <row r="362" spans="1:58" ht="14.25" customHeight="1" x14ac:dyDescent="0.45">
      <c r="A362" s="618"/>
      <c r="B362" s="215"/>
      <c r="C362" s="220"/>
      <c r="D362" s="224" t="s">
        <v>343</v>
      </c>
      <c r="E362" s="224">
        <f t="shared" si="8"/>
        <v>0.23860000000000001</v>
      </c>
      <c r="F362" s="224">
        <f t="shared" si="8"/>
        <v>0.17399999999999999</v>
      </c>
      <c r="G362" s="224">
        <f t="shared" si="8"/>
        <v>0.1409</v>
      </c>
      <c r="H362" s="224">
        <f t="shared" si="8"/>
        <v>0.12280000000000001</v>
      </c>
      <c r="I362" s="319">
        <v>0.24</v>
      </c>
      <c r="J362" s="319">
        <v>0.24</v>
      </c>
      <c r="K362" s="319">
        <v>0.24</v>
      </c>
      <c r="L362" s="319">
        <v>0.24</v>
      </c>
      <c r="M362" s="319">
        <v>0.24</v>
      </c>
      <c r="N362" s="319">
        <v>0.24</v>
      </c>
      <c r="O362" s="319">
        <v>0.24</v>
      </c>
      <c r="P362" s="319">
        <v>0.24</v>
      </c>
      <c r="Q362" s="319">
        <v>0.24</v>
      </c>
      <c r="R362" s="319">
        <v>0.24</v>
      </c>
      <c r="S362" s="319">
        <v>0.24</v>
      </c>
      <c r="T362" s="319">
        <v>0.24</v>
      </c>
      <c r="U362" s="319">
        <v>0.24</v>
      </c>
      <c r="V362" s="319">
        <v>0.24</v>
      </c>
      <c r="W362" s="319">
        <v>0.24</v>
      </c>
      <c r="X362" s="319">
        <v>0.24</v>
      </c>
      <c r="Y362" s="319">
        <v>0.24</v>
      </c>
      <c r="Z362" s="319">
        <v>0.24</v>
      </c>
      <c r="AA362" s="319">
        <v>0.24</v>
      </c>
      <c r="AB362" s="319">
        <v>0.24</v>
      </c>
      <c r="AC362" s="319">
        <v>0.24</v>
      </c>
      <c r="AD362" s="319">
        <v>0.24</v>
      </c>
      <c r="AE362" s="319">
        <v>0.24</v>
      </c>
      <c r="AF362" s="319">
        <v>0.24</v>
      </c>
      <c r="AG362" s="319">
        <v>0.24</v>
      </c>
      <c r="AH362" s="319">
        <v>0.24</v>
      </c>
      <c r="AI362" s="319">
        <v>0.24</v>
      </c>
      <c r="AJ362" s="319">
        <v>0.24</v>
      </c>
      <c r="AK362" s="319">
        <v>0.24</v>
      </c>
      <c r="AL362" s="319">
        <v>0.24</v>
      </c>
      <c r="AM362" s="319">
        <v>0.24</v>
      </c>
      <c r="AN362" s="319">
        <v>0.24</v>
      </c>
      <c r="AO362" s="319">
        <v>0.24</v>
      </c>
      <c r="AP362" s="319">
        <v>0.24</v>
      </c>
      <c r="AQ362" s="319">
        <v>0.24</v>
      </c>
      <c r="AR362" s="319">
        <v>0.24</v>
      </c>
      <c r="AS362" s="319">
        <v>0.24</v>
      </c>
      <c r="AT362" s="319">
        <v>0.24</v>
      </c>
      <c r="AU362" s="319">
        <v>0.24</v>
      </c>
      <c r="AV362" s="319">
        <v>0.24</v>
      </c>
      <c r="AW362" s="319">
        <v>0.24</v>
      </c>
      <c r="AX362" s="319">
        <v>0.24</v>
      </c>
      <c r="AY362" s="319">
        <v>0.24</v>
      </c>
      <c r="AZ362" s="319">
        <v>0.24</v>
      </c>
      <c r="BA362" s="319">
        <v>0.24</v>
      </c>
      <c r="BB362" s="319">
        <v>0.24</v>
      </c>
      <c r="BC362" s="319">
        <v>0.24</v>
      </c>
      <c r="BD362" s="319">
        <v>0.24</v>
      </c>
      <c r="BE362" s="319">
        <v>0.24</v>
      </c>
      <c r="BF362" s="3"/>
    </row>
    <row r="363" spans="1:58" ht="14.25" customHeight="1" x14ac:dyDescent="0.45">
      <c r="A363" s="618"/>
      <c r="B363" s="215"/>
      <c r="C363" s="220"/>
      <c r="D363" s="228" t="s">
        <v>180</v>
      </c>
      <c r="E363" s="224">
        <f t="shared" si="8"/>
        <v>0.2082</v>
      </c>
      <c r="F363" s="224">
        <f t="shared" si="8"/>
        <v>0.13009999999999999</v>
      </c>
      <c r="G363" s="224">
        <f t="shared" si="8"/>
        <v>0.1193</v>
      </c>
      <c r="H363" s="224">
        <f t="shared" si="8"/>
        <v>0.1012</v>
      </c>
      <c r="I363" s="319">
        <v>0.21</v>
      </c>
      <c r="J363" s="319">
        <v>0.21</v>
      </c>
      <c r="K363" s="319">
        <v>0.21</v>
      </c>
      <c r="L363" s="319">
        <v>0.21</v>
      </c>
      <c r="M363" s="319">
        <v>0.21</v>
      </c>
      <c r="N363" s="319">
        <v>0.21</v>
      </c>
      <c r="O363" s="319">
        <v>0.21</v>
      </c>
      <c r="P363" s="319">
        <v>0.21</v>
      </c>
      <c r="Q363" s="319">
        <v>0.21</v>
      </c>
      <c r="R363" s="319">
        <v>0.21</v>
      </c>
      <c r="S363" s="319">
        <v>0.21</v>
      </c>
      <c r="T363" s="319">
        <v>0.21</v>
      </c>
      <c r="U363" s="319">
        <v>0.21</v>
      </c>
      <c r="V363" s="319">
        <v>0.21</v>
      </c>
      <c r="W363" s="319">
        <v>0.21</v>
      </c>
      <c r="X363" s="319">
        <v>0.21</v>
      </c>
      <c r="Y363" s="319">
        <v>0.21</v>
      </c>
      <c r="Z363" s="319">
        <v>0.21</v>
      </c>
      <c r="AA363" s="319">
        <v>0.21</v>
      </c>
      <c r="AB363" s="319">
        <v>0.21</v>
      </c>
      <c r="AC363" s="319">
        <v>0.21</v>
      </c>
      <c r="AD363" s="319">
        <v>0.21</v>
      </c>
      <c r="AE363" s="319">
        <v>0.21</v>
      </c>
      <c r="AF363" s="319">
        <v>0.21</v>
      </c>
      <c r="AG363" s="319">
        <v>0.21</v>
      </c>
      <c r="AH363" s="319">
        <v>0.21</v>
      </c>
      <c r="AI363" s="319">
        <v>0.21</v>
      </c>
      <c r="AJ363" s="319">
        <v>0.21</v>
      </c>
      <c r="AK363" s="319">
        <v>0.21</v>
      </c>
      <c r="AL363" s="319">
        <v>0.21</v>
      </c>
      <c r="AM363" s="319">
        <v>0.21</v>
      </c>
      <c r="AN363" s="319">
        <v>0.21</v>
      </c>
      <c r="AO363" s="319">
        <v>0.21</v>
      </c>
      <c r="AP363" s="319">
        <v>0.21</v>
      </c>
      <c r="AQ363" s="319">
        <v>0.21</v>
      </c>
      <c r="AR363" s="319">
        <v>0.21</v>
      </c>
      <c r="AS363" s="319">
        <v>0.21</v>
      </c>
      <c r="AT363" s="319">
        <v>0.21</v>
      </c>
      <c r="AU363" s="319">
        <v>0.21</v>
      </c>
      <c r="AV363" s="319">
        <v>0.21</v>
      </c>
      <c r="AW363" s="319">
        <v>0.21</v>
      </c>
      <c r="AX363" s="319">
        <v>0.21</v>
      </c>
      <c r="AY363" s="319">
        <v>0.21</v>
      </c>
      <c r="AZ363" s="319">
        <v>0.21</v>
      </c>
      <c r="BA363" s="319">
        <v>0.21</v>
      </c>
      <c r="BB363" s="319">
        <v>0.21</v>
      </c>
      <c r="BC363" s="319">
        <v>0.21</v>
      </c>
      <c r="BD363" s="319">
        <v>0.21</v>
      </c>
      <c r="BE363" s="319">
        <v>0.21</v>
      </c>
      <c r="BF363" s="3"/>
    </row>
    <row r="364" spans="1:58" ht="14.25" customHeight="1" x14ac:dyDescent="0.45">
      <c r="A364" s="618"/>
      <c r="B364" s="215"/>
      <c r="C364" s="220" t="s">
        <v>181</v>
      </c>
      <c r="D364" s="221" t="s">
        <v>190</v>
      </c>
      <c r="E364" s="224">
        <f t="shared" si="8"/>
        <v>8.5599999999999996E-2</v>
      </c>
      <c r="F364" s="224">
        <f t="shared" si="8"/>
        <v>1.0800000000000001E-2</v>
      </c>
      <c r="G364" s="224">
        <f t="shared" si="8"/>
        <v>3.6700000000000003E-2</v>
      </c>
      <c r="H364" s="224">
        <f t="shared" si="8"/>
        <v>1.7500000000000002E-2</v>
      </c>
      <c r="I364" s="646">
        <v>0.69</v>
      </c>
      <c r="J364" s="646">
        <v>0.69</v>
      </c>
      <c r="K364" s="646">
        <v>0.69</v>
      </c>
      <c r="L364" s="646">
        <v>0.69</v>
      </c>
      <c r="M364" s="646">
        <v>0.69</v>
      </c>
      <c r="N364" s="646">
        <v>0.69</v>
      </c>
      <c r="O364" s="646">
        <v>0.69</v>
      </c>
      <c r="P364" s="646">
        <v>0.69</v>
      </c>
      <c r="Q364" s="646">
        <v>0.69</v>
      </c>
      <c r="R364" s="646">
        <v>0.69</v>
      </c>
      <c r="S364" s="646">
        <v>0.69</v>
      </c>
      <c r="T364" s="646">
        <v>0.69</v>
      </c>
      <c r="U364" s="646">
        <v>0.69</v>
      </c>
      <c r="V364" s="646">
        <v>0.69</v>
      </c>
      <c r="W364" s="646">
        <v>0.69</v>
      </c>
      <c r="X364" s="646">
        <v>0.69</v>
      </c>
      <c r="Y364" s="646">
        <v>0.69</v>
      </c>
      <c r="Z364" s="646">
        <v>0.69</v>
      </c>
      <c r="AA364" s="646">
        <v>0.69</v>
      </c>
      <c r="AB364" s="646">
        <v>0.69</v>
      </c>
      <c r="AC364" s="646">
        <v>0.69</v>
      </c>
      <c r="AD364" s="646">
        <v>0.69</v>
      </c>
      <c r="AE364" s="646">
        <v>0.69</v>
      </c>
      <c r="AF364" s="646">
        <v>0.69</v>
      </c>
      <c r="AG364" s="646">
        <v>0.69</v>
      </c>
      <c r="AH364" s="646">
        <v>0.69</v>
      </c>
      <c r="AI364" s="646">
        <v>0.69</v>
      </c>
      <c r="AJ364" s="646">
        <v>0.69</v>
      </c>
      <c r="AK364" s="646">
        <v>0.69</v>
      </c>
      <c r="AL364" s="646">
        <v>0.69</v>
      </c>
      <c r="AM364" s="646">
        <v>0.69</v>
      </c>
      <c r="AN364" s="646">
        <v>0.69</v>
      </c>
      <c r="AO364" s="646">
        <v>0.69</v>
      </c>
      <c r="AP364" s="646">
        <v>0.69</v>
      </c>
      <c r="AQ364" s="646">
        <v>0.69</v>
      </c>
      <c r="AR364" s="646">
        <v>0.69</v>
      </c>
      <c r="AS364" s="646">
        <v>0.69</v>
      </c>
      <c r="AT364" s="646">
        <v>0.69</v>
      </c>
      <c r="AU364" s="646">
        <v>0.69</v>
      </c>
      <c r="AV364" s="646">
        <v>0.69</v>
      </c>
      <c r="AW364" s="646">
        <v>0.69</v>
      </c>
      <c r="AX364" s="646">
        <v>0.69</v>
      </c>
      <c r="AY364" s="646">
        <v>0.69</v>
      </c>
      <c r="AZ364" s="646">
        <v>0.69</v>
      </c>
      <c r="BA364" s="646">
        <v>0.69</v>
      </c>
      <c r="BB364" s="646">
        <v>0.69</v>
      </c>
      <c r="BC364" s="646">
        <v>0.69</v>
      </c>
      <c r="BD364" s="646">
        <v>0.69</v>
      </c>
      <c r="BE364" s="646">
        <v>0.69</v>
      </c>
      <c r="BF364" s="3"/>
    </row>
    <row r="365" spans="1:58" ht="14.25" customHeight="1" x14ac:dyDescent="0.45">
      <c r="A365" s="618"/>
      <c r="B365" s="215"/>
      <c r="C365" s="220" t="s">
        <v>183</v>
      </c>
      <c r="D365" s="221" t="s">
        <v>195</v>
      </c>
      <c r="E365" s="224">
        <f t="shared" si="8"/>
        <v>0.27239999999999998</v>
      </c>
      <c r="F365" s="224">
        <f t="shared" si="8"/>
        <v>0.18429999999999999</v>
      </c>
      <c r="G365" s="224">
        <f t="shared" si="8"/>
        <v>0.15049999999999999</v>
      </c>
      <c r="H365" s="224">
        <f t="shared" si="8"/>
        <v>0.11890000000000001</v>
      </c>
      <c r="I365" s="646">
        <v>0.69</v>
      </c>
      <c r="J365" s="646">
        <v>0.69</v>
      </c>
      <c r="K365" s="646">
        <v>0.69</v>
      </c>
      <c r="L365" s="646">
        <v>0.69</v>
      </c>
      <c r="M365" s="646">
        <v>0.69</v>
      </c>
      <c r="N365" s="646">
        <v>0.69</v>
      </c>
      <c r="O365" s="646">
        <v>0.69</v>
      </c>
      <c r="P365" s="646">
        <v>0.69</v>
      </c>
      <c r="Q365" s="646">
        <v>0.69</v>
      </c>
      <c r="R365" s="646">
        <v>0.69</v>
      </c>
      <c r="S365" s="646">
        <v>0.69</v>
      </c>
      <c r="T365" s="646">
        <v>0.69</v>
      </c>
      <c r="U365" s="646">
        <v>0.69</v>
      </c>
      <c r="V365" s="646">
        <v>0.69</v>
      </c>
      <c r="W365" s="646">
        <v>0.69</v>
      </c>
      <c r="X365" s="646">
        <v>0.69</v>
      </c>
      <c r="Y365" s="646">
        <v>0.69</v>
      </c>
      <c r="Z365" s="646">
        <v>0.69</v>
      </c>
      <c r="AA365" s="646">
        <v>0.69</v>
      </c>
      <c r="AB365" s="646">
        <v>0.69</v>
      </c>
      <c r="AC365" s="646">
        <v>0.69</v>
      </c>
      <c r="AD365" s="646">
        <v>0.69</v>
      </c>
      <c r="AE365" s="646">
        <v>0.69</v>
      </c>
      <c r="AF365" s="646">
        <v>0.69</v>
      </c>
      <c r="AG365" s="646">
        <v>0.69</v>
      </c>
      <c r="AH365" s="646">
        <v>0.69</v>
      </c>
      <c r="AI365" s="646">
        <v>0.69</v>
      </c>
      <c r="AJ365" s="646">
        <v>0.69</v>
      </c>
      <c r="AK365" s="646">
        <v>0.69</v>
      </c>
      <c r="AL365" s="646">
        <v>0.69</v>
      </c>
      <c r="AM365" s="646">
        <v>0.69</v>
      </c>
      <c r="AN365" s="646">
        <v>0.69</v>
      </c>
      <c r="AO365" s="646">
        <v>0.69</v>
      </c>
      <c r="AP365" s="646">
        <v>0.69</v>
      </c>
      <c r="AQ365" s="646">
        <v>0.69</v>
      </c>
      <c r="AR365" s="646">
        <v>0.69</v>
      </c>
      <c r="AS365" s="646">
        <v>0.69</v>
      </c>
      <c r="AT365" s="646">
        <v>0.69</v>
      </c>
      <c r="AU365" s="646">
        <v>0.69</v>
      </c>
      <c r="AV365" s="646">
        <v>0.69</v>
      </c>
      <c r="AW365" s="646">
        <v>0.69</v>
      </c>
      <c r="AX365" s="646">
        <v>0.69</v>
      </c>
      <c r="AY365" s="646">
        <v>0.69</v>
      </c>
      <c r="AZ365" s="646">
        <v>0.69</v>
      </c>
      <c r="BA365" s="646">
        <v>0.69</v>
      </c>
      <c r="BB365" s="646">
        <v>0.69</v>
      </c>
      <c r="BC365" s="646">
        <v>0.69</v>
      </c>
      <c r="BD365" s="646">
        <v>0.69</v>
      </c>
      <c r="BE365" s="646">
        <v>0.69</v>
      </c>
      <c r="BF365" s="3"/>
    </row>
    <row r="366" spans="1:58" ht="14.25" customHeight="1" x14ac:dyDescent="0.45">
      <c r="A366" s="618"/>
      <c r="B366" s="215"/>
      <c r="C366" s="220"/>
      <c r="D366" s="221" t="s">
        <v>344</v>
      </c>
      <c r="E366" s="224">
        <f t="shared" si="8"/>
        <v>2.35E-2</v>
      </c>
      <c r="F366" s="224">
        <f t="shared" si="8"/>
        <v>0</v>
      </c>
      <c r="G366" s="224">
        <f t="shared" si="8"/>
        <v>0</v>
      </c>
      <c r="H366" s="224">
        <f t="shared" si="8"/>
        <v>0</v>
      </c>
      <c r="I366" s="319">
        <v>0.02</v>
      </c>
      <c r="J366" s="319">
        <v>0.02</v>
      </c>
      <c r="K366" s="319">
        <v>0.02</v>
      </c>
      <c r="L366" s="319">
        <v>0.02</v>
      </c>
      <c r="M366" s="319">
        <v>0.02</v>
      </c>
      <c r="N366" s="319">
        <v>0.02</v>
      </c>
      <c r="O366" s="319">
        <v>0.02</v>
      </c>
      <c r="P366" s="319">
        <v>0.02</v>
      </c>
      <c r="Q366" s="319">
        <v>0.02</v>
      </c>
      <c r="R366" s="319">
        <v>0.02</v>
      </c>
      <c r="S366" s="319">
        <v>0.02</v>
      </c>
      <c r="T366" s="319">
        <v>0.02</v>
      </c>
      <c r="U366" s="319">
        <v>0.02</v>
      </c>
      <c r="V366" s="319">
        <v>0.02</v>
      </c>
      <c r="W366" s="319">
        <v>0.02</v>
      </c>
      <c r="X366" s="319">
        <v>0.02</v>
      </c>
      <c r="Y366" s="319">
        <v>0.02</v>
      </c>
      <c r="Z366" s="319">
        <v>0.02</v>
      </c>
      <c r="AA366" s="319">
        <v>0.02</v>
      </c>
      <c r="AB366" s="319">
        <v>0.02</v>
      </c>
      <c r="AC366" s="319">
        <v>0.02</v>
      </c>
      <c r="AD366" s="319">
        <v>0.02</v>
      </c>
      <c r="AE366" s="319">
        <v>0.02</v>
      </c>
      <c r="AF366" s="319">
        <v>0.02</v>
      </c>
      <c r="AG366" s="319">
        <v>0.02</v>
      </c>
      <c r="AH366" s="319">
        <v>0.02</v>
      </c>
      <c r="AI366" s="319">
        <v>0.02</v>
      </c>
      <c r="AJ366" s="319">
        <v>0.02</v>
      </c>
      <c r="AK366" s="319">
        <v>0.02</v>
      </c>
      <c r="AL366" s="319">
        <v>0.02</v>
      </c>
      <c r="AM366" s="319">
        <v>0.02</v>
      </c>
      <c r="AN366" s="319">
        <v>0.02</v>
      </c>
      <c r="AO366" s="319">
        <v>0.02</v>
      </c>
      <c r="AP366" s="319">
        <v>0.02</v>
      </c>
      <c r="AQ366" s="319">
        <v>0.02</v>
      </c>
      <c r="AR366" s="319">
        <v>0.02</v>
      </c>
      <c r="AS366" s="319">
        <v>0.02</v>
      </c>
      <c r="AT366" s="319">
        <v>0.02</v>
      </c>
      <c r="AU366" s="319">
        <v>0.02</v>
      </c>
      <c r="AV366" s="319">
        <v>0.02</v>
      </c>
      <c r="AW366" s="319">
        <v>0.02</v>
      </c>
      <c r="AX366" s="319">
        <v>0.02</v>
      </c>
      <c r="AY366" s="319">
        <v>0.02</v>
      </c>
      <c r="AZ366" s="319">
        <v>0.02</v>
      </c>
      <c r="BA366" s="319">
        <v>0.02</v>
      </c>
      <c r="BB366" s="319">
        <v>0.02</v>
      </c>
      <c r="BC366" s="319">
        <v>0.02</v>
      </c>
      <c r="BD366" s="319">
        <v>0.02</v>
      </c>
      <c r="BE366" s="319">
        <v>0.02</v>
      </c>
      <c r="BF366" s="3"/>
    </row>
    <row r="367" spans="1:58" ht="14.25" customHeight="1" x14ac:dyDescent="0.45">
      <c r="A367" s="618"/>
      <c r="B367" s="215"/>
      <c r="C367" s="220" t="s">
        <v>186</v>
      </c>
      <c r="D367" s="221" t="s">
        <v>345</v>
      </c>
      <c r="E367" s="224">
        <f t="shared" si="8"/>
        <v>0.32779999999999998</v>
      </c>
      <c r="F367" s="224">
        <f t="shared" si="8"/>
        <v>0.22109999999999999</v>
      </c>
      <c r="G367" s="224">
        <f t="shared" si="8"/>
        <v>0.21510000000000001</v>
      </c>
      <c r="H367" s="224">
        <f t="shared" si="8"/>
        <v>0.26600000000000001</v>
      </c>
      <c r="I367" s="646">
        <v>0.57999999999999996</v>
      </c>
      <c r="J367" s="646">
        <v>0.57999999999999996</v>
      </c>
      <c r="K367" s="646">
        <v>0.57999999999999996</v>
      </c>
      <c r="L367" s="646">
        <v>0.57999999999999996</v>
      </c>
      <c r="M367" s="646">
        <v>0.57999999999999996</v>
      </c>
      <c r="N367" s="646">
        <v>0.57999999999999996</v>
      </c>
      <c r="O367" s="646">
        <v>0.57999999999999996</v>
      </c>
      <c r="P367" s="646">
        <v>0.57999999999999996</v>
      </c>
      <c r="Q367" s="646">
        <v>0.57999999999999996</v>
      </c>
      <c r="R367" s="646">
        <v>0.57999999999999996</v>
      </c>
      <c r="S367" s="646">
        <v>0.57999999999999996</v>
      </c>
      <c r="T367" s="646">
        <v>0.57999999999999996</v>
      </c>
      <c r="U367" s="646">
        <v>0.57999999999999996</v>
      </c>
      <c r="V367" s="646">
        <v>0.57999999999999996</v>
      </c>
      <c r="W367" s="646">
        <v>0.57999999999999996</v>
      </c>
      <c r="X367" s="646">
        <v>0.57999999999999996</v>
      </c>
      <c r="Y367" s="646">
        <v>0.57999999999999996</v>
      </c>
      <c r="Z367" s="646">
        <v>0.57999999999999996</v>
      </c>
      <c r="AA367" s="646">
        <v>0.57999999999999996</v>
      </c>
      <c r="AB367" s="646">
        <v>0.57999999999999996</v>
      </c>
      <c r="AC367" s="646">
        <v>0.57999999999999996</v>
      </c>
      <c r="AD367" s="646">
        <v>0.57999999999999996</v>
      </c>
      <c r="AE367" s="646">
        <v>0.57999999999999996</v>
      </c>
      <c r="AF367" s="646">
        <v>0.57999999999999996</v>
      </c>
      <c r="AG367" s="646">
        <v>0.57999999999999996</v>
      </c>
      <c r="AH367" s="646">
        <v>0.57999999999999996</v>
      </c>
      <c r="AI367" s="646">
        <v>0.57999999999999996</v>
      </c>
      <c r="AJ367" s="646">
        <v>0.57999999999999996</v>
      </c>
      <c r="AK367" s="646">
        <v>0.57999999999999996</v>
      </c>
      <c r="AL367" s="646">
        <v>0.57999999999999996</v>
      </c>
      <c r="AM367" s="646">
        <v>0.57999999999999996</v>
      </c>
      <c r="AN367" s="646">
        <v>0.57999999999999996</v>
      </c>
      <c r="AO367" s="646">
        <v>0.57999999999999996</v>
      </c>
      <c r="AP367" s="646">
        <v>0.57999999999999996</v>
      </c>
      <c r="AQ367" s="646">
        <v>0.57999999999999996</v>
      </c>
      <c r="AR367" s="646">
        <v>0.57999999999999996</v>
      </c>
      <c r="AS367" s="646">
        <v>0.57999999999999996</v>
      </c>
      <c r="AT367" s="646">
        <v>0.57999999999999996</v>
      </c>
      <c r="AU367" s="646">
        <v>0.57999999999999996</v>
      </c>
      <c r="AV367" s="646">
        <v>0.57999999999999996</v>
      </c>
      <c r="AW367" s="646">
        <v>0.57999999999999996</v>
      </c>
      <c r="AX367" s="646">
        <v>0.57999999999999996</v>
      </c>
      <c r="AY367" s="646">
        <v>0.57999999999999996</v>
      </c>
      <c r="AZ367" s="646">
        <v>0.57999999999999996</v>
      </c>
      <c r="BA367" s="646">
        <v>0.57999999999999996</v>
      </c>
      <c r="BB367" s="646">
        <v>0.57999999999999996</v>
      </c>
      <c r="BC367" s="646">
        <v>0.57999999999999996</v>
      </c>
      <c r="BD367" s="646">
        <v>0.57999999999999996</v>
      </c>
      <c r="BE367" s="646">
        <v>0.57999999999999996</v>
      </c>
      <c r="BF367" s="3"/>
    </row>
    <row r="368" spans="1:58" ht="14.25" customHeight="1" x14ac:dyDescent="0.45">
      <c r="A368" s="618"/>
      <c r="B368" s="215"/>
      <c r="C368" s="220"/>
      <c r="D368" s="228" t="s">
        <v>188</v>
      </c>
      <c r="E368" s="224">
        <f t="shared" si="8"/>
        <v>0.1492</v>
      </c>
      <c r="F368" s="224">
        <f t="shared" si="8"/>
        <v>0.13</v>
      </c>
      <c r="G368" s="224">
        <f t="shared" si="8"/>
        <v>0.1036</v>
      </c>
      <c r="H368" s="224">
        <f t="shared" si="8"/>
        <v>8.7099999999999997E-2</v>
      </c>
      <c r="I368" s="319">
        <v>0.15</v>
      </c>
      <c r="J368" s="319">
        <v>0.15</v>
      </c>
      <c r="K368" s="319">
        <v>0.15</v>
      </c>
      <c r="L368" s="319">
        <v>0.15</v>
      </c>
      <c r="M368" s="319">
        <v>0.15</v>
      </c>
      <c r="N368" s="319">
        <v>0.15</v>
      </c>
      <c r="O368" s="319">
        <v>0.15</v>
      </c>
      <c r="P368" s="319">
        <v>0.15</v>
      </c>
      <c r="Q368" s="319">
        <v>0.15</v>
      </c>
      <c r="R368" s="319">
        <v>0.15</v>
      </c>
      <c r="S368" s="319">
        <v>0.15</v>
      </c>
      <c r="T368" s="319">
        <v>0.15</v>
      </c>
      <c r="U368" s="319">
        <v>0.15</v>
      </c>
      <c r="V368" s="319">
        <v>0.15</v>
      </c>
      <c r="W368" s="319">
        <v>0.15</v>
      </c>
      <c r="X368" s="319">
        <v>0.15</v>
      </c>
      <c r="Y368" s="319">
        <v>0.15</v>
      </c>
      <c r="Z368" s="319">
        <v>0.15</v>
      </c>
      <c r="AA368" s="319">
        <v>0.15</v>
      </c>
      <c r="AB368" s="319">
        <v>0.15</v>
      </c>
      <c r="AC368" s="319">
        <v>0.15</v>
      </c>
      <c r="AD368" s="319">
        <v>0.15</v>
      </c>
      <c r="AE368" s="319">
        <v>0.15</v>
      </c>
      <c r="AF368" s="319">
        <v>0.15</v>
      </c>
      <c r="AG368" s="319">
        <v>0.15</v>
      </c>
      <c r="AH368" s="319">
        <v>0.15</v>
      </c>
      <c r="AI368" s="319">
        <v>0.15</v>
      </c>
      <c r="AJ368" s="319">
        <v>0.15</v>
      </c>
      <c r="AK368" s="319">
        <v>0.15</v>
      </c>
      <c r="AL368" s="319">
        <v>0.15</v>
      </c>
      <c r="AM368" s="319">
        <v>0.15</v>
      </c>
      <c r="AN368" s="319">
        <v>0.15</v>
      </c>
      <c r="AO368" s="319">
        <v>0.15</v>
      </c>
      <c r="AP368" s="319">
        <v>0.15</v>
      </c>
      <c r="AQ368" s="319">
        <v>0.15</v>
      </c>
      <c r="AR368" s="319">
        <v>0.15</v>
      </c>
      <c r="AS368" s="319">
        <v>0.15</v>
      </c>
      <c r="AT368" s="319">
        <v>0.15</v>
      </c>
      <c r="AU368" s="319">
        <v>0.15</v>
      </c>
      <c r="AV368" s="319">
        <v>0.15</v>
      </c>
      <c r="AW368" s="319">
        <v>0.15</v>
      </c>
      <c r="AX368" s="319">
        <v>0.15</v>
      </c>
      <c r="AY368" s="319">
        <v>0.15</v>
      </c>
      <c r="AZ368" s="319">
        <v>0.15</v>
      </c>
      <c r="BA368" s="319">
        <v>0.15</v>
      </c>
      <c r="BB368" s="319">
        <v>0.15</v>
      </c>
      <c r="BC368" s="319">
        <v>0.15</v>
      </c>
      <c r="BD368" s="319">
        <v>0.15</v>
      </c>
      <c r="BE368" s="319">
        <v>0.15</v>
      </c>
      <c r="BF368" s="3"/>
    </row>
    <row r="369" spans="1:58" ht="14.25" customHeight="1" x14ac:dyDescent="0.45">
      <c r="A369" s="618"/>
      <c r="B369" s="215"/>
      <c r="C369" s="220" t="s">
        <v>189</v>
      </c>
      <c r="D369" s="221" t="s">
        <v>190</v>
      </c>
      <c r="E369" s="224">
        <f t="shared" si="8"/>
        <v>2.64E-2</v>
      </c>
      <c r="F369" s="224">
        <f t="shared" si="8"/>
        <v>1.5100000000000001E-2</v>
      </c>
      <c r="G369" s="224">
        <f t="shared" si="8"/>
        <v>5.1000000000000004E-3</v>
      </c>
      <c r="H369" s="224">
        <f t="shared" si="8"/>
        <v>3.3999999999999998E-3</v>
      </c>
      <c r="I369" s="646">
        <v>0.65500000000000003</v>
      </c>
      <c r="J369" s="646">
        <v>0.65500000000000003</v>
      </c>
      <c r="K369" s="646">
        <v>0.65500000000000003</v>
      </c>
      <c r="L369" s="646">
        <v>0.65500000000000003</v>
      </c>
      <c r="M369" s="646">
        <v>0.65500000000000003</v>
      </c>
      <c r="N369" s="646">
        <v>0.65500000000000003</v>
      </c>
      <c r="O369" s="646">
        <v>0.65500000000000003</v>
      </c>
      <c r="P369" s="646">
        <v>0.65500000000000003</v>
      </c>
      <c r="Q369" s="646">
        <v>0.65500000000000003</v>
      </c>
      <c r="R369" s="646">
        <v>0.65500000000000003</v>
      </c>
      <c r="S369" s="646">
        <v>0.65500000000000003</v>
      </c>
      <c r="T369" s="646">
        <v>0.65500000000000003</v>
      </c>
      <c r="U369" s="646">
        <v>0.65500000000000003</v>
      </c>
      <c r="V369" s="646">
        <v>0.65500000000000003</v>
      </c>
      <c r="W369" s="646">
        <v>0.65500000000000003</v>
      </c>
      <c r="X369" s="646">
        <v>0.65500000000000003</v>
      </c>
      <c r="Y369" s="646">
        <v>0.65500000000000003</v>
      </c>
      <c r="Z369" s="646">
        <v>0.65500000000000003</v>
      </c>
      <c r="AA369" s="646">
        <v>0.65500000000000003</v>
      </c>
      <c r="AB369" s="646">
        <v>0.65500000000000003</v>
      </c>
      <c r="AC369" s="646">
        <v>0.65500000000000003</v>
      </c>
      <c r="AD369" s="646">
        <v>0.65500000000000003</v>
      </c>
      <c r="AE369" s="646">
        <v>0.65500000000000003</v>
      </c>
      <c r="AF369" s="646">
        <v>0.65500000000000003</v>
      </c>
      <c r="AG369" s="646">
        <v>0.65500000000000003</v>
      </c>
      <c r="AH369" s="646">
        <v>0.65500000000000003</v>
      </c>
      <c r="AI369" s="646">
        <v>0.65500000000000003</v>
      </c>
      <c r="AJ369" s="646">
        <v>0.65500000000000003</v>
      </c>
      <c r="AK369" s="646">
        <v>0.65500000000000003</v>
      </c>
      <c r="AL369" s="646">
        <v>0.65500000000000003</v>
      </c>
      <c r="AM369" s="646">
        <v>0.65500000000000003</v>
      </c>
      <c r="AN369" s="646">
        <v>0.65500000000000003</v>
      </c>
      <c r="AO369" s="646">
        <v>0.65500000000000003</v>
      </c>
      <c r="AP369" s="646">
        <v>0.65500000000000003</v>
      </c>
      <c r="AQ369" s="646">
        <v>0.65500000000000003</v>
      </c>
      <c r="AR369" s="646">
        <v>0.65500000000000003</v>
      </c>
      <c r="AS369" s="646">
        <v>0.65500000000000003</v>
      </c>
      <c r="AT369" s="646">
        <v>0.65500000000000003</v>
      </c>
      <c r="AU369" s="646">
        <v>0.65500000000000003</v>
      </c>
      <c r="AV369" s="646">
        <v>0.65500000000000003</v>
      </c>
      <c r="AW369" s="646">
        <v>0.65500000000000003</v>
      </c>
      <c r="AX369" s="646">
        <v>0.65500000000000003</v>
      </c>
      <c r="AY369" s="646">
        <v>0.65500000000000003</v>
      </c>
      <c r="AZ369" s="646">
        <v>0.65500000000000003</v>
      </c>
      <c r="BA369" s="646">
        <v>0.65500000000000003</v>
      </c>
      <c r="BB369" s="646">
        <v>0.65500000000000003</v>
      </c>
      <c r="BC369" s="646">
        <v>0.65500000000000003</v>
      </c>
      <c r="BD369" s="646">
        <v>0.65500000000000003</v>
      </c>
      <c r="BE369" s="646">
        <v>0.65500000000000003</v>
      </c>
      <c r="BF369" s="3"/>
    </row>
    <row r="370" spans="1:58" ht="14.25" customHeight="1" x14ac:dyDescent="0.45">
      <c r="A370" s="618"/>
      <c r="B370" s="215"/>
      <c r="C370" s="220" t="s">
        <v>191</v>
      </c>
      <c r="D370" s="221" t="s">
        <v>346</v>
      </c>
      <c r="E370" s="224">
        <f t="shared" ref="E370:H389" si="9">ROUND(IFERROR(E271/($E$348*0.0036*E26*$F$348),0),4)</f>
        <v>0.39250000000000002</v>
      </c>
      <c r="F370" s="224">
        <f t="shared" si="9"/>
        <v>0.35770000000000002</v>
      </c>
      <c r="G370" s="224">
        <f t="shared" si="9"/>
        <v>0.29880000000000001</v>
      </c>
      <c r="H370" s="224">
        <f t="shared" si="9"/>
        <v>0.2525</v>
      </c>
      <c r="I370" s="646">
        <v>0.56000000000000005</v>
      </c>
      <c r="J370" s="646">
        <v>0.56000000000000005</v>
      </c>
      <c r="K370" s="646">
        <v>0.56000000000000005</v>
      </c>
      <c r="L370" s="646">
        <v>0.56000000000000005</v>
      </c>
      <c r="M370" s="646">
        <v>0.56000000000000005</v>
      </c>
      <c r="N370" s="646">
        <v>0.56000000000000005</v>
      </c>
      <c r="O370" s="646">
        <v>0.56000000000000005</v>
      </c>
      <c r="P370" s="646">
        <v>0.56000000000000005</v>
      </c>
      <c r="Q370" s="646">
        <v>0.56000000000000005</v>
      </c>
      <c r="R370" s="646">
        <v>0.56000000000000005</v>
      </c>
      <c r="S370" s="646">
        <v>0.56000000000000005</v>
      </c>
      <c r="T370" s="646">
        <v>0.56000000000000005</v>
      </c>
      <c r="U370" s="646">
        <v>0.56000000000000005</v>
      </c>
      <c r="V370" s="646">
        <v>0.56000000000000005</v>
      </c>
      <c r="W370" s="646">
        <v>0.56000000000000005</v>
      </c>
      <c r="X370" s="646">
        <v>0.56000000000000005</v>
      </c>
      <c r="Y370" s="646">
        <v>0.56000000000000005</v>
      </c>
      <c r="Z370" s="646">
        <v>0.56000000000000005</v>
      </c>
      <c r="AA370" s="646">
        <v>0.56000000000000005</v>
      </c>
      <c r="AB370" s="646">
        <v>0.56000000000000005</v>
      </c>
      <c r="AC370" s="646">
        <v>0.56000000000000005</v>
      </c>
      <c r="AD370" s="646">
        <v>0.56000000000000005</v>
      </c>
      <c r="AE370" s="646">
        <v>0.56000000000000005</v>
      </c>
      <c r="AF370" s="646">
        <v>0.56000000000000005</v>
      </c>
      <c r="AG370" s="646">
        <v>0.56000000000000005</v>
      </c>
      <c r="AH370" s="646">
        <v>0.56000000000000005</v>
      </c>
      <c r="AI370" s="646">
        <v>0.56000000000000005</v>
      </c>
      <c r="AJ370" s="646">
        <v>0.56000000000000005</v>
      </c>
      <c r="AK370" s="646">
        <v>0.56000000000000005</v>
      </c>
      <c r="AL370" s="646">
        <v>0.56000000000000005</v>
      </c>
      <c r="AM370" s="646">
        <v>0.56000000000000005</v>
      </c>
      <c r="AN370" s="646">
        <v>0.56000000000000005</v>
      </c>
      <c r="AO370" s="646">
        <v>0.56000000000000005</v>
      </c>
      <c r="AP370" s="646">
        <v>0.56000000000000005</v>
      </c>
      <c r="AQ370" s="646">
        <v>0.56000000000000005</v>
      </c>
      <c r="AR370" s="646">
        <v>0.56000000000000005</v>
      </c>
      <c r="AS370" s="646">
        <v>0.56000000000000005</v>
      </c>
      <c r="AT370" s="646">
        <v>0.56000000000000005</v>
      </c>
      <c r="AU370" s="646">
        <v>0.56000000000000005</v>
      </c>
      <c r="AV370" s="646">
        <v>0.56000000000000005</v>
      </c>
      <c r="AW370" s="646">
        <v>0.56000000000000005</v>
      </c>
      <c r="AX370" s="646">
        <v>0.56000000000000005</v>
      </c>
      <c r="AY370" s="646">
        <v>0.56000000000000005</v>
      </c>
      <c r="AZ370" s="646">
        <v>0.56000000000000005</v>
      </c>
      <c r="BA370" s="646">
        <v>0.56000000000000005</v>
      </c>
      <c r="BB370" s="646">
        <v>0.56000000000000005</v>
      </c>
      <c r="BC370" s="646">
        <v>0.56000000000000005</v>
      </c>
      <c r="BD370" s="646">
        <v>0.56000000000000005</v>
      </c>
      <c r="BE370" s="646">
        <v>0.56000000000000005</v>
      </c>
      <c r="BF370" s="3"/>
    </row>
    <row r="371" spans="1:58" ht="14.25" customHeight="1" x14ac:dyDescent="0.45">
      <c r="A371" s="618"/>
      <c r="B371" s="215"/>
      <c r="C371" s="220"/>
      <c r="D371" s="228" t="s">
        <v>193</v>
      </c>
      <c r="E371" s="224">
        <f t="shared" si="9"/>
        <v>0.46</v>
      </c>
      <c r="F371" s="224">
        <f t="shared" si="9"/>
        <v>0.33229999999999998</v>
      </c>
      <c r="G371" s="224">
        <f t="shared" si="9"/>
        <v>0.24779999999999999</v>
      </c>
      <c r="H371" s="224">
        <f t="shared" si="9"/>
        <v>0.22700000000000001</v>
      </c>
      <c r="I371" s="319">
        <v>0.46</v>
      </c>
      <c r="J371" s="319">
        <v>0.46</v>
      </c>
      <c r="K371" s="319">
        <v>0.46</v>
      </c>
      <c r="L371" s="319">
        <v>0.46</v>
      </c>
      <c r="M371" s="319">
        <v>0.46</v>
      </c>
      <c r="N371" s="319">
        <v>0.46</v>
      </c>
      <c r="O371" s="319">
        <v>0.46</v>
      </c>
      <c r="P371" s="319">
        <v>0.46</v>
      </c>
      <c r="Q371" s="319">
        <v>0.46</v>
      </c>
      <c r="R371" s="319">
        <v>0.46</v>
      </c>
      <c r="S371" s="319">
        <v>0.46</v>
      </c>
      <c r="T371" s="319">
        <v>0.46</v>
      </c>
      <c r="U371" s="319">
        <v>0.46</v>
      </c>
      <c r="V371" s="319">
        <v>0.46</v>
      </c>
      <c r="W371" s="319">
        <v>0.46</v>
      </c>
      <c r="X371" s="319">
        <v>0.46</v>
      </c>
      <c r="Y371" s="319">
        <v>0.46</v>
      </c>
      <c r="Z371" s="319">
        <v>0.46</v>
      </c>
      <c r="AA371" s="319">
        <v>0.46</v>
      </c>
      <c r="AB371" s="319">
        <v>0.46</v>
      </c>
      <c r="AC371" s="319">
        <v>0.46</v>
      </c>
      <c r="AD371" s="319">
        <v>0.46</v>
      </c>
      <c r="AE371" s="319">
        <v>0.46</v>
      </c>
      <c r="AF371" s="319">
        <v>0.46</v>
      </c>
      <c r="AG371" s="319">
        <v>0.46</v>
      </c>
      <c r="AH371" s="319">
        <v>0.46</v>
      </c>
      <c r="AI371" s="319">
        <v>0.46</v>
      </c>
      <c r="AJ371" s="319">
        <v>0.46</v>
      </c>
      <c r="AK371" s="319">
        <v>0.46</v>
      </c>
      <c r="AL371" s="319">
        <v>0.46</v>
      </c>
      <c r="AM371" s="319">
        <v>0.46</v>
      </c>
      <c r="AN371" s="319">
        <v>0.46</v>
      </c>
      <c r="AO371" s="319">
        <v>0.46</v>
      </c>
      <c r="AP371" s="319">
        <v>0.46</v>
      </c>
      <c r="AQ371" s="319">
        <v>0.46</v>
      </c>
      <c r="AR371" s="319">
        <v>0.46</v>
      </c>
      <c r="AS371" s="319">
        <v>0.46</v>
      </c>
      <c r="AT371" s="319">
        <v>0.46</v>
      </c>
      <c r="AU371" s="319">
        <v>0.46</v>
      </c>
      <c r="AV371" s="319">
        <v>0.46</v>
      </c>
      <c r="AW371" s="319">
        <v>0.46</v>
      </c>
      <c r="AX371" s="319">
        <v>0.46</v>
      </c>
      <c r="AY371" s="319">
        <v>0.46</v>
      </c>
      <c r="AZ371" s="319">
        <v>0.46</v>
      </c>
      <c r="BA371" s="319">
        <v>0.46</v>
      </c>
      <c r="BB371" s="319">
        <v>0.46</v>
      </c>
      <c r="BC371" s="319">
        <v>0.46</v>
      </c>
      <c r="BD371" s="319">
        <v>0.46</v>
      </c>
      <c r="BE371" s="319">
        <v>0.46</v>
      </c>
      <c r="BF371" s="3"/>
    </row>
    <row r="372" spans="1:58" ht="14.25" customHeight="1" x14ac:dyDescent="0.45">
      <c r="A372" s="618"/>
      <c r="B372" s="215"/>
      <c r="C372" s="220" t="s">
        <v>194</v>
      </c>
      <c r="D372" s="221" t="s">
        <v>195</v>
      </c>
      <c r="E372" s="224">
        <f t="shared" si="9"/>
        <v>0.46</v>
      </c>
      <c r="F372" s="224">
        <f t="shared" si="9"/>
        <v>0.33229999999999998</v>
      </c>
      <c r="G372" s="224">
        <f t="shared" si="9"/>
        <v>0.24779999999999999</v>
      </c>
      <c r="H372" s="224">
        <f t="shared" si="9"/>
        <v>0.22700000000000001</v>
      </c>
      <c r="I372" s="646">
        <v>0.65500000000000003</v>
      </c>
      <c r="J372" s="646">
        <v>0.65500000000000003</v>
      </c>
      <c r="K372" s="646">
        <v>0.65500000000000003</v>
      </c>
      <c r="L372" s="646">
        <v>0.65500000000000003</v>
      </c>
      <c r="M372" s="646">
        <v>0.65500000000000003</v>
      </c>
      <c r="N372" s="646">
        <v>0.65500000000000003</v>
      </c>
      <c r="O372" s="646">
        <v>0.65500000000000003</v>
      </c>
      <c r="P372" s="646">
        <v>0.65500000000000003</v>
      </c>
      <c r="Q372" s="646">
        <v>0.65500000000000003</v>
      </c>
      <c r="R372" s="646">
        <v>0.65500000000000003</v>
      </c>
      <c r="S372" s="646">
        <v>0.65500000000000003</v>
      </c>
      <c r="T372" s="646">
        <v>0.65500000000000003</v>
      </c>
      <c r="U372" s="646">
        <v>0.65500000000000003</v>
      </c>
      <c r="V372" s="646">
        <v>0.65500000000000003</v>
      </c>
      <c r="W372" s="646">
        <v>0.65500000000000003</v>
      </c>
      <c r="X372" s="646">
        <v>0.65500000000000003</v>
      </c>
      <c r="Y372" s="646">
        <v>0.65500000000000003</v>
      </c>
      <c r="Z372" s="646">
        <v>0.65500000000000003</v>
      </c>
      <c r="AA372" s="646">
        <v>0.65500000000000003</v>
      </c>
      <c r="AB372" s="646">
        <v>0.65500000000000003</v>
      </c>
      <c r="AC372" s="646">
        <v>0.65500000000000003</v>
      </c>
      <c r="AD372" s="646">
        <v>0.65500000000000003</v>
      </c>
      <c r="AE372" s="646">
        <v>0.65500000000000003</v>
      </c>
      <c r="AF372" s="646">
        <v>0.65500000000000003</v>
      </c>
      <c r="AG372" s="646">
        <v>0.65500000000000003</v>
      </c>
      <c r="AH372" s="646">
        <v>0.65500000000000003</v>
      </c>
      <c r="AI372" s="646">
        <v>0.65500000000000003</v>
      </c>
      <c r="AJ372" s="646">
        <v>0.65500000000000003</v>
      </c>
      <c r="AK372" s="646">
        <v>0.65500000000000003</v>
      </c>
      <c r="AL372" s="646">
        <v>0.65500000000000003</v>
      </c>
      <c r="AM372" s="646">
        <v>0.65500000000000003</v>
      </c>
      <c r="AN372" s="646">
        <v>0.65500000000000003</v>
      </c>
      <c r="AO372" s="646">
        <v>0.65500000000000003</v>
      </c>
      <c r="AP372" s="646">
        <v>0.65500000000000003</v>
      </c>
      <c r="AQ372" s="646">
        <v>0.65500000000000003</v>
      </c>
      <c r="AR372" s="646">
        <v>0.65500000000000003</v>
      </c>
      <c r="AS372" s="646">
        <v>0.65500000000000003</v>
      </c>
      <c r="AT372" s="646">
        <v>0.65500000000000003</v>
      </c>
      <c r="AU372" s="646">
        <v>0.65500000000000003</v>
      </c>
      <c r="AV372" s="646">
        <v>0.65500000000000003</v>
      </c>
      <c r="AW372" s="646">
        <v>0.65500000000000003</v>
      </c>
      <c r="AX372" s="646">
        <v>0.65500000000000003</v>
      </c>
      <c r="AY372" s="646">
        <v>0.65500000000000003</v>
      </c>
      <c r="AZ372" s="646">
        <v>0.65500000000000003</v>
      </c>
      <c r="BA372" s="646">
        <v>0.65500000000000003</v>
      </c>
      <c r="BB372" s="646">
        <v>0.65500000000000003</v>
      </c>
      <c r="BC372" s="646">
        <v>0.65500000000000003</v>
      </c>
      <c r="BD372" s="646">
        <v>0.65500000000000003</v>
      </c>
      <c r="BE372" s="646">
        <v>0.65500000000000003</v>
      </c>
      <c r="BF372" s="3"/>
    </row>
    <row r="373" spans="1:58" ht="14.25" customHeight="1" x14ac:dyDescent="0.45">
      <c r="A373" s="618"/>
      <c r="B373" s="215"/>
      <c r="C373" s="220"/>
      <c r="D373" s="224" t="s">
        <v>347</v>
      </c>
      <c r="E373" s="224">
        <f t="shared" si="9"/>
        <v>0.75309999999999999</v>
      </c>
      <c r="F373" s="224">
        <f t="shared" si="9"/>
        <v>0.68079999999999996</v>
      </c>
      <c r="G373" s="224">
        <f t="shared" si="9"/>
        <v>0.72760000000000002</v>
      </c>
      <c r="H373" s="224">
        <f t="shared" si="9"/>
        <v>0.60809999999999997</v>
      </c>
      <c r="I373" s="319">
        <v>0.75</v>
      </c>
      <c r="J373" s="319">
        <v>0.75</v>
      </c>
      <c r="K373" s="319">
        <v>0.75</v>
      </c>
      <c r="L373" s="319">
        <v>0.75</v>
      </c>
      <c r="M373" s="319">
        <v>0.75</v>
      </c>
      <c r="N373" s="319">
        <v>0.75</v>
      </c>
      <c r="O373" s="319">
        <v>0.75</v>
      </c>
      <c r="P373" s="319">
        <v>0.75</v>
      </c>
      <c r="Q373" s="319">
        <v>0.75</v>
      </c>
      <c r="R373" s="319">
        <v>0.75</v>
      </c>
      <c r="S373" s="319">
        <v>0.75</v>
      </c>
      <c r="T373" s="319">
        <v>0.75</v>
      </c>
      <c r="U373" s="319">
        <v>0.75</v>
      </c>
      <c r="V373" s="319">
        <v>0.75</v>
      </c>
      <c r="W373" s="319">
        <v>0.75</v>
      </c>
      <c r="X373" s="319">
        <v>0.75</v>
      </c>
      <c r="Y373" s="319">
        <v>0.75</v>
      </c>
      <c r="Z373" s="319">
        <v>0.75</v>
      </c>
      <c r="AA373" s="319">
        <v>0.75</v>
      </c>
      <c r="AB373" s="319">
        <v>0.75</v>
      </c>
      <c r="AC373" s="319">
        <v>0.75</v>
      </c>
      <c r="AD373" s="319">
        <v>0.75</v>
      </c>
      <c r="AE373" s="319">
        <v>0.75</v>
      </c>
      <c r="AF373" s="319">
        <v>0.75</v>
      </c>
      <c r="AG373" s="319">
        <v>0.75</v>
      </c>
      <c r="AH373" s="319">
        <v>0.75</v>
      </c>
      <c r="AI373" s="319">
        <v>0.75</v>
      </c>
      <c r="AJ373" s="319">
        <v>0.75</v>
      </c>
      <c r="AK373" s="319">
        <v>0.75</v>
      </c>
      <c r="AL373" s="319">
        <v>0.75</v>
      </c>
      <c r="AM373" s="319">
        <v>0.75</v>
      </c>
      <c r="AN373" s="319">
        <v>0.75</v>
      </c>
      <c r="AO373" s="319">
        <v>0.75</v>
      </c>
      <c r="AP373" s="319">
        <v>0.75</v>
      </c>
      <c r="AQ373" s="319">
        <v>0.75</v>
      </c>
      <c r="AR373" s="319">
        <v>0.75</v>
      </c>
      <c r="AS373" s="319">
        <v>0.75</v>
      </c>
      <c r="AT373" s="319">
        <v>0.75</v>
      </c>
      <c r="AU373" s="319">
        <v>0.75</v>
      </c>
      <c r="AV373" s="319">
        <v>0.75</v>
      </c>
      <c r="AW373" s="319">
        <v>0.75</v>
      </c>
      <c r="AX373" s="319">
        <v>0.75</v>
      </c>
      <c r="AY373" s="319">
        <v>0.75</v>
      </c>
      <c r="AZ373" s="319">
        <v>0.75</v>
      </c>
      <c r="BA373" s="319">
        <v>0.75</v>
      </c>
      <c r="BB373" s="319">
        <v>0.75</v>
      </c>
      <c r="BC373" s="319">
        <v>0.75</v>
      </c>
      <c r="BD373" s="319">
        <v>0.75</v>
      </c>
      <c r="BE373" s="319">
        <v>0.75</v>
      </c>
      <c r="BF373" s="3"/>
    </row>
    <row r="374" spans="1:58" ht="14.25" customHeight="1" x14ac:dyDescent="0.45">
      <c r="A374" s="618"/>
      <c r="B374" s="215"/>
      <c r="C374" s="220"/>
      <c r="D374" s="228" t="s">
        <v>197</v>
      </c>
      <c r="E374" s="224">
        <f t="shared" si="9"/>
        <v>0</v>
      </c>
      <c r="F374" s="224">
        <f t="shared" si="9"/>
        <v>0</v>
      </c>
      <c r="G374" s="224">
        <f t="shared" si="9"/>
        <v>0</v>
      </c>
      <c r="H374" s="224">
        <f t="shared" si="9"/>
        <v>0</v>
      </c>
      <c r="I374" s="319">
        <v>0</v>
      </c>
      <c r="J374" s="319">
        <v>0</v>
      </c>
      <c r="K374" s="319">
        <v>0</v>
      </c>
      <c r="L374" s="319">
        <v>0</v>
      </c>
      <c r="M374" s="319">
        <v>0</v>
      </c>
      <c r="N374" s="319">
        <v>0</v>
      </c>
      <c r="O374" s="319">
        <v>0</v>
      </c>
      <c r="P374" s="319">
        <v>0</v>
      </c>
      <c r="Q374" s="319">
        <v>0</v>
      </c>
      <c r="R374" s="319">
        <v>0</v>
      </c>
      <c r="S374" s="319">
        <v>0</v>
      </c>
      <c r="T374" s="319">
        <v>0</v>
      </c>
      <c r="U374" s="319">
        <v>0</v>
      </c>
      <c r="V374" s="319">
        <v>0</v>
      </c>
      <c r="W374" s="319">
        <v>0</v>
      </c>
      <c r="X374" s="319">
        <v>0</v>
      </c>
      <c r="Y374" s="319">
        <v>0</v>
      </c>
      <c r="Z374" s="319">
        <v>0</v>
      </c>
      <c r="AA374" s="319">
        <v>0</v>
      </c>
      <c r="AB374" s="319">
        <v>0</v>
      </c>
      <c r="AC374" s="319">
        <v>0</v>
      </c>
      <c r="AD374" s="319">
        <v>0</v>
      </c>
      <c r="AE374" s="319">
        <v>0</v>
      </c>
      <c r="AF374" s="319">
        <v>0</v>
      </c>
      <c r="AG374" s="319">
        <v>0</v>
      </c>
      <c r="AH374" s="319">
        <v>0</v>
      </c>
      <c r="AI374" s="319">
        <v>0</v>
      </c>
      <c r="AJ374" s="319">
        <v>0</v>
      </c>
      <c r="AK374" s="319">
        <v>0</v>
      </c>
      <c r="AL374" s="319">
        <v>0</v>
      </c>
      <c r="AM374" s="319">
        <v>0</v>
      </c>
      <c r="AN374" s="319">
        <v>0</v>
      </c>
      <c r="AO374" s="319">
        <v>0</v>
      </c>
      <c r="AP374" s="319">
        <v>0</v>
      </c>
      <c r="AQ374" s="319">
        <v>0</v>
      </c>
      <c r="AR374" s="319">
        <v>0</v>
      </c>
      <c r="AS374" s="319">
        <v>0</v>
      </c>
      <c r="AT374" s="319">
        <v>0</v>
      </c>
      <c r="AU374" s="319">
        <v>0</v>
      </c>
      <c r="AV374" s="319">
        <v>0</v>
      </c>
      <c r="AW374" s="319">
        <v>0</v>
      </c>
      <c r="AX374" s="319">
        <v>0</v>
      </c>
      <c r="AY374" s="319">
        <v>0</v>
      </c>
      <c r="AZ374" s="319">
        <v>0</v>
      </c>
      <c r="BA374" s="319">
        <v>0</v>
      </c>
      <c r="BB374" s="319">
        <v>0</v>
      </c>
      <c r="BC374" s="319">
        <v>0</v>
      </c>
      <c r="BD374" s="319">
        <v>0</v>
      </c>
      <c r="BE374" s="319">
        <v>0</v>
      </c>
      <c r="BF374" s="3"/>
    </row>
    <row r="375" spans="1:58" ht="14.25" customHeight="1" x14ac:dyDescent="0.45">
      <c r="A375" s="618"/>
      <c r="B375" s="215"/>
      <c r="C375" s="220" t="s">
        <v>198</v>
      </c>
      <c r="D375" s="221" t="s">
        <v>196</v>
      </c>
      <c r="E375" s="224">
        <f t="shared" si="9"/>
        <v>0.75309999999999999</v>
      </c>
      <c r="F375" s="224">
        <f t="shared" si="9"/>
        <v>0.68079999999999996</v>
      </c>
      <c r="G375" s="224">
        <f t="shared" si="9"/>
        <v>0.72760000000000002</v>
      </c>
      <c r="H375" s="224">
        <f t="shared" si="9"/>
        <v>0.60809999999999997</v>
      </c>
      <c r="I375" s="646">
        <v>0.75</v>
      </c>
      <c r="J375" s="646">
        <v>0.75</v>
      </c>
      <c r="K375" s="646">
        <v>0.75</v>
      </c>
      <c r="L375" s="646">
        <v>0.75</v>
      </c>
      <c r="M375" s="646">
        <v>0.75</v>
      </c>
      <c r="N375" s="646">
        <v>0.75</v>
      </c>
      <c r="O375" s="646">
        <v>0.75</v>
      </c>
      <c r="P375" s="646">
        <v>0.75</v>
      </c>
      <c r="Q375" s="646">
        <v>0.75</v>
      </c>
      <c r="R375" s="646">
        <v>0.75</v>
      </c>
      <c r="S375" s="646">
        <v>0.75</v>
      </c>
      <c r="T375" s="646">
        <v>0.75</v>
      </c>
      <c r="U375" s="646">
        <v>0.75</v>
      </c>
      <c r="V375" s="646">
        <v>0.75</v>
      </c>
      <c r="W375" s="646">
        <v>0.75</v>
      </c>
      <c r="X375" s="646">
        <v>0.75</v>
      </c>
      <c r="Y375" s="646">
        <v>0.75</v>
      </c>
      <c r="Z375" s="646">
        <v>0.75</v>
      </c>
      <c r="AA375" s="646">
        <v>0.75</v>
      </c>
      <c r="AB375" s="646">
        <v>0.75</v>
      </c>
      <c r="AC375" s="646">
        <v>0.75</v>
      </c>
      <c r="AD375" s="646">
        <v>0.75</v>
      </c>
      <c r="AE375" s="646">
        <v>0.75</v>
      </c>
      <c r="AF375" s="646">
        <v>0.75</v>
      </c>
      <c r="AG375" s="646">
        <v>0.75</v>
      </c>
      <c r="AH375" s="646">
        <v>0.75</v>
      </c>
      <c r="AI375" s="646">
        <v>0.75</v>
      </c>
      <c r="AJ375" s="646">
        <v>0.75</v>
      </c>
      <c r="AK375" s="646">
        <v>0.75</v>
      </c>
      <c r="AL375" s="646">
        <v>0.72760000000000002</v>
      </c>
      <c r="AM375" s="646">
        <v>0.72760000000000002</v>
      </c>
      <c r="AN375" s="646">
        <v>0.72760000000000002</v>
      </c>
      <c r="AO375" s="646">
        <v>0.72760000000000002</v>
      </c>
      <c r="AP375" s="646">
        <v>0.72760000000000002</v>
      </c>
      <c r="AQ375" s="646">
        <v>0.72760000000000002</v>
      </c>
      <c r="AR375" s="646">
        <v>0.72760000000000002</v>
      </c>
      <c r="AS375" s="646">
        <v>0.72760000000000002</v>
      </c>
      <c r="AT375" s="646">
        <v>0.72760000000000002</v>
      </c>
      <c r="AU375" s="646">
        <v>0.72760000000000002</v>
      </c>
      <c r="AV375" s="646">
        <v>0.72760000000000002</v>
      </c>
      <c r="AW375" s="646">
        <v>0.72760000000000002</v>
      </c>
      <c r="AX375" s="646">
        <v>0.72760000000000002</v>
      </c>
      <c r="AY375" s="646">
        <v>0.72760000000000002</v>
      </c>
      <c r="AZ375" s="646">
        <v>0.72760000000000002</v>
      </c>
      <c r="BA375" s="646">
        <v>0.72760000000000002</v>
      </c>
      <c r="BB375" s="646">
        <v>0.72760000000000002</v>
      </c>
      <c r="BC375" s="646">
        <v>0.72760000000000002</v>
      </c>
      <c r="BD375" s="646">
        <v>0.72760000000000002</v>
      </c>
      <c r="BE375" s="646">
        <v>0.72760000000000002</v>
      </c>
      <c r="BF375" s="3"/>
    </row>
    <row r="376" spans="1:58" ht="14.25" customHeight="1" x14ac:dyDescent="0.45">
      <c r="A376" s="618"/>
      <c r="B376" s="215"/>
      <c r="C376" s="220"/>
      <c r="D376" s="234" t="s">
        <v>199</v>
      </c>
      <c r="E376" s="224">
        <f t="shared" si="9"/>
        <v>0</v>
      </c>
      <c r="F376" s="224">
        <f t="shared" si="9"/>
        <v>0</v>
      </c>
      <c r="G376" s="224">
        <f t="shared" si="9"/>
        <v>0</v>
      </c>
      <c r="H376" s="224">
        <f t="shared" si="9"/>
        <v>0</v>
      </c>
      <c r="I376" s="319">
        <v>0</v>
      </c>
      <c r="J376" s="319">
        <v>0</v>
      </c>
      <c r="K376" s="319">
        <v>0</v>
      </c>
      <c r="L376" s="319">
        <v>0</v>
      </c>
      <c r="M376" s="319">
        <v>0</v>
      </c>
      <c r="N376" s="319">
        <v>0</v>
      </c>
      <c r="O376" s="319">
        <v>0</v>
      </c>
      <c r="P376" s="319">
        <v>0</v>
      </c>
      <c r="Q376" s="319">
        <v>0</v>
      </c>
      <c r="R376" s="319">
        <v>0</v>
      </c>
      <c r="S376" s="319">
        <v>0</v>
      </c>
      <c r="T376" s="319">
        <v>0</v>
      </c>
      <c r="U376" s="319">
        <v>0</v>
      </c>
      <c r="V376" s="319">
        <v>0</v>
      </c>
      <c r="W376" s="319">
        <v>0</v>
      </c>
      <c r="X376" s="319">
        <v>0</v>
      </c>
      <c r="Y376" s="319">
        <v>0</v>
      </c>
      <c r="Z376" s="319">
        <v>0</v>
      </c>
      <c r="AA376" s="319">
        <v>0</v>
      </c>
      <c r="AB376" s="319">
        <v>0</v>
      </c>
      <c r="AC376" s="319">
        <v>0</v>
      </c>
      <c r="AD376" s="319">
        <v>0</v>
      </c>
      <c r="AE376" s="319">
        <v>0</v>
      </c>
      <c r="AF376" s="319">
        <v>0</v>
      </c>
      <c r="AG376" s="319">
        <v>0</v>
      </c>
      <c r="AH376" s="319">
        <v>0</v>
      </c>
      <c r="AI376" s="319">
        <v>0</v>
      </c>
      <c r="AJ376" s="319">
        <v>0</v>
      </c>
      <c r="AK376" s="319">
        <v>0</v>
      </c>
      <c r="AL376" s="319">
        <v>0</v>
      </c>
      <c r="AM376" s="319">
        <v>0</v>
      </c>
      <c r="AN376" s="319">
        <v>0</v>
      </c>
      <c r="AO376" s="319">
        <v>0</v>
      </c>
      <c r="AP376" s="319">
        <v>0</v>
      </c>
      <c r="AQ376" s="319">
        <v>0</v>
      </c>
      <c r="AR376" s="319">
        <v>0</v>
      </c>
      <c r="AS376" s="319">
        <v>0</v>
      </c>
      <c r="AT376" s="319">
        <v>0</v>
      </c>
      <c r="AU376" s="319">
        <v>0</v>
      </c>
      <c r="AV376" s="319">
        <v>0</v>
      </c>
      <c r="AW376" s="319">
        <v>0</v>
      </c>
      <c r="AX376" s="319">
        <v>0</v>
      </c>
      <c r="AY376" s="319">
        <v>0</v>
      </c>
      <c r="AZ376" s="319">
        <v>0</v>
      </c>
      <c r="BA376" s="319">
        <v>0</v>
      </c>
      <c r="BB376" s="319">
        <v>0</v>
      </c>
      <c r="BC376" s="319">
        <v>0</v>
      </c>
      <c r="BD376" s="319">
        <v>0</v>
      </c>
      <c r="BE376" s="319">
        <v>0</v>
      </c>
      <c r="BF376" s="3"/>
    </row>
    <row r="377" spans="1:58" ht="14.25" customHeight="1" x14ac:dyDescent="0.45">
      <c r="A377" s="618"/>
      <c r="B377" s="215"/>
      <c r="C377" s="220" t="s">
        <v>200</v>
      </c>
      <c r="D377" s="304" t="s">
        <v>201</v>
      </c>
      <c r="E377" s="224">
        <f t="shared" si="9"/>
        <v>0.2969</v>
      </c>
      <c r="F377" s="224">
        <f t="shared" si="9"/>
        <v>0.42830000000000001</v>
      </c>
      <c r="G377" s="224">
        <f t="shared" si="9"/>
        <v>0.40610000000000002</v>
      </c>
      <c r="H377" s="224">
        <f t="shared" si="9"/>
        <v>0.4279</v>
      </c>
      <c r="I377" s="319">
        <v>0.3</v>
      </c>
      <c r="J377" s="319">
        <v>0.3</v>
      </c>
      <c r="K377" s="319">
        <v>0.3</v>
      </c>
      <c r="L377" s="319">
        <v>0.3</v>
      </c>
      <c r="M377" s="319">
        <v>0.3</v>
      </c>
      <c r="N377" s="319">
        <v>0.3</v>
      </c>
      <c r="O377" s="319">
        <v>0.3</v>
      </c>
      <c r="P377" s="319">
        <v>0.3</v>
      </c>
      <c r="Q377" s="319">
        <v>0.3</v>
      </c>
      <c r="R377" s="319">
        <v>0.3</v>
      </c>
      <c r="S377" s="319">
        <v>0.3</v>
      </c>
      <c r="T377" s="319">
        <v>0.3</v>
      </c>
      <c r="U377" s="319">
        <v>0.3</v>
      </c>
      <c r="V377" s="319">
        <v>0.3</v>
      </c>
      <c r="W377" s="319">
        <v>0.3</v>
      </c>
      <c r="X377" s="319">
        <v>0.3</v>
      </c>
      <c r="Y377" s="319">
        <v>0.3</v>
      </c>
      <c r="Z377" s="319">
        <v>0.3</v>
      </c>
      <c r="AA377" s="319">
        <v>0.3</v>
      </c>
      <c r="AB377" s="319">
        <v>0.3</v>
      </c>
      <c r="AC377" s="319">
        <v>0.3</v>
      </c>
      <c r="AD377" s="319">
        <v>0.3</v>
      </c>
      <c r="AE377" s="319">
        <v>0.3</v>
      </c>
      <c r="AF377" s="319">
        <v>0.3</v>
      </c>
      <c r="AG377" s="319">
        <v>0.3</v>
      </c>
      <c r="AH377" s="319">
        <v>0.3</v>
      </c>
      <c r="AI377" s="319">
        <v>0.3</v>
      </c>
      <c r="AJ377" s="319">
        <v>0.3</v>
      </c>
      <c r="AK377" s="319">
        <v>0.3</v>
      </c>
      <c r="AL377" s="319">
        <v>0.3</v>
      </c>
      <c r="AM377" s="319">
        <v>0.3</v>
      </c>
      <c r="AN377" s="319">
        <v>0.3</v>
      </c>
      <c r="AO377" s="319">
        <v>0.3</v>
      </c>
      <c r="AP377" s="319">
        <v>0.3</v>
      </c>
      <c r="AQ377" s="319">
        <v>0.3</v>
      </c>
      <c r="AR377" s="319">
        <v>0.3</v>
      </c>
      <c r="AS377" s="319">
        <v>0.3</v>
      </c>
      <c r="AT377" s="319">
        <v>0.3</v>
      </c>
      <c r="AU377" s="319">
        <v>0.3</v>
      </c>
      <c r="AV377" s="319">
        <v>0.3</v>
      </c>
      <c r="AW377" s="319">
        <v>0.3</v>
      </c>
      <c r="AX377" s="319">
        <v>0.3</v>
      </c>
      <c r="AY377" s="319">
        <v>0.3</v>
      </c>
      <c r="AZ377" s="319">
        <v>0.3</v>
      </c>
      <c r="BA377" s="319">
        <v>0.3</v>
      </c>
      <c r="BB377" s="319">
        <v>0.3</v>
      </c>
      <c r="BC377" s="319">
        <v>0.3</v>
      </c>
      <c r="BD377" s="319">
        <v>0.3</v>
      </c>
      <c r="BE377" s="319">
        <v>0.3</v>
      </c>
      <c r="BF377" s="3"/>
    </row>
    <row r="378" spans="1:58" ht="14.25" customHeight="1" x14ac:dyDescent="0.45">
      <c r="A378" s="618"/>
      <c r="B378" s="215"/>
      <c r="C378" s="220" t="s">
        <v>202</v>
      </c>
      <c r="D378" s="304" t="s">
        <v>203</v>
      </c>
      <c r="E378" s="224">
        <f t="shared" si="9"/>
        <v>0.50060000000000004</v>
      </c>
      <c r="F378" s="224">
        <f t="shared" si="9"/>
        <v>0.66539999999999999</v>
      </c>
      <c r="G378" s="224">
        <f t="shared" si="9"/>
        <v>0.4955</v>
      </c>
      <c r="H378" s="224">
        <f t="shared" si="9"/>
        <v>0.60140000000000005</v>
      </c>
      <c r="I378" s="319">
        <v>0.5</v>
      </c>
      <c r="J378" s="319">
        <v>0.5</v>
      </c>
      <c r="K378" s="319">
        <v>0.5</v>
      </c>
      <c r="L378" s="319">
        <v>0.5</v>
      </c>
      <c r="M378" s="319">
        <v>0.5</v>
      </c>
      <c r="N378" s="319">
        <v>0.5</v>
      </c>
      <c r="O378" s="319">
        <v>0.5</v>
      </c>
      <c r="P378" s="319">
        <v>0.5</v>
      </c>
      <c r="Q378" s="319">
        <v>0.5</v>
      </c>
      <c r="R378" s="319">
        <v>0.5</v>
      </c>
      <c r="S378" s="319">
        <v>0.5</v>
      </c>
      <c r="T378" s="319">
        <v>0.5</v>
      </c>
      <c r="U378" s="319">
        <v>0.5</v>
      </c>
      <c r="V378" s="319">
        <v>0.5</v>
      </c>
      <c r="W378" s="319">
        <v>0.5</v>
      </c>
      <c r="X378" s="319">
        <v>0.5</v>
      </c>
      <c r="Y378" s="319">
        <v>0.5</v>
      </c>
      <c r="Z378" s="319">
        <v>0.5</v>
      </c>
      <c r="AA378" s="319">
        <v>0.5</v>
      </c>
      <c r="AB378" s="319">
        <v>0.5</v>
      </c>
      <c r="AC378" s="319">
        <v>0.5</v>
      </c>
      <c r="AD378" s="319">
        <v>0.5</v>
      </c>
      <c r="AE378" s="319">
        <v>0.5</v>
      </c>
      <c r="AF378" s="319">
        <v>0.5</v>
      </c>
      <c r="AG378" s="319">
        <v>0.5</v>
      </c>
      <c r="AH378" s="319">
        <v>0.5</v>
      </c>
      <c r="AI378" s="319">
        <v>0.5</v>
      </c>
      <c r="AJ378" s="319">
        <v>0.5</v>
      </c>
      <c r="AK378" s="319">
        <v>0.5</v>
      </c>
      <c r="AL378" s="319">
        <v>0.5</v>
      </c>
      <c r="AM378" s="319">
        <v>0.5</v>
      </c>
      <c r="AN378" s="319">
        <v>0.5</v>
      </c>
      <c r="AO378" s="319">
        <v>0.5</v>
      </c>
      <c r="AP378" s="319">
        <v>0.5</v>
      </c>
      <c r="AQ378" s="319">
        <v>0.5</v>
      </c>
      <c r="AR378" s="319">
        <v>0.5</v>
      </c>
      <c r="AS378" s="319">
        <v>0.5</v>
      </c>
      <c r="AT378" s="319">
        <v>0.5</v>
      </c>
      <c r="AU378" s="319">
        <v>0.5</v>
      </c>
      <c r="AV378" s="319">
        <v>0.5</v>
      </c>
      <c r="AW378" s="319">
        <v>0.5</v>
      </c>
      <c r="AX378" s="319">
        <v>0.5</v>
      </c>
      <c r="AY378" s="319">
        <v>0.5</v>
      </c>
      <c r="AZ378" s="319">
        <v>0.5</v>
      </c>
      <c r="BA378" s="319">
        <v>0.5</v>
      </c>
      <c r="BB378" s="319">
        <v>0.5</v>
      </c>
      <c r="BC378" s="319">
        <v>0.5</v>
      </c>
      <c r="BD378" s="319">
        <v>0.5</v>
      </c>
      <c r="BE378" s="319">
        <v>0.5</v>
      </c>
      <c r="BF378" s="3"/>
    </row>
    <row r="379" spans="1:58" ht="14.25" customHeight="1" x14ac:dyDescent="0.45">
      <c r="A379" s="618"/>
      <c r="B379" s="215"/>
      <c r="C379" s="220" t="s">
        <v>204</v>
      </c>
      <c r="D379" s="304" t="s">
        <v>205</v>
      </c>
      <c r="E379" s="224">
        <f t="shared" si="9"/>
        <v>0</v>
      </c>
      <c r="F379" s="224">
        <f t="shared" si="9"/>
        <v>0</v>
      </c>
      <c r="G379" s="224">
        <f t="shared" si="9"/>
        <v>0</v>
      </c>
      <c r="H379" s="224">
        <f t="shared" si="9"/>
        <v>0</v>
      </c>
      <c r="I379" s="319">
        <v>0</v>
      </c>
      <c r="J379" s="319">
        <v>0</v>
      </c>
      <c r="K379" s="319">
        <v>0</v>
      </c>
      <c r="L379" s="319">
        <v>0</v>
      </c>
      <c r="M379" s="319">
        <v>0</v>
      </c>
      <c r="N379" s="319">
        <v>0</v>
      </c>
      <c r="O379" s="319">
        <v>0</v>
      </c>
      <c r="P379" s="319">
        <v>0</v>
      </c>
      <c r="Q379" s="319">
        <v>0</v>
      </c>
      <c r="R379" s="319">
        <v>0</v>
      </c>
      <c r="S379" s="319">
        <v>0</v>
      </c>
      <c r="T379" s="319">
        <v>0</v>
      </c>
      <c r="U379" s="319">
        <v>0</v>
      </c>
      <c r="V379" s="319">
        <v>0</v>
      </c>
      <c r="W379" s="319">
        <v>0</v>
      </c>
      <c r="X379" s="319">
        <v>0</v>
      </c>
      <c r="Y379" s="319">
        <v>0</v>
      </c>
      <c r="Z379" s="319">
        <v>0</v>
      </c>
      <c r="AA379" s="319">
        <v>0</v>
      </c>
      <c r="AB379" s="319">
        <v>0</v>
      </c>
      <c r="AC379" s="319">
        <v>0</v>
      </c>
      <c r="AD379" s="319">
        <v>0</v>
      </c>
      <c r="AE379" s="319">
        <v>0</v>
      </c>
      <c r="AF379" s="319">
        <v>0</v>
      </c>
      <c r="AG379" s="319">
        <v>0</v>
      </c>
      <c r="AH379" s="319">
        <v>0</v>
      </c>
      <c r="AI379" s="319">
        <v>0</v>
      </c>
      <c r="AJ379" s="319">
        <v>0</v>
      </c>
      <c r="AK379" s="319">
        <v>0</v>
      </c>
      <c r="AL379" s="319">
        <v>0</v>
      </c>
      <c r="AM379" s="319">
        <v>0</v>
      </c>
      <c r="AN379" s="319">
        <v>0</v>
      </c>
      <c r="AO379" s="319">
        <v>0</v>
      </c>
      <c r="AP379" s="319">
        <v>0</v>
      </c>
      <c r="AQ379" s="319">
        <v>0</v>
      </c>
      <c r="AR379" s="319">
        <v>0</v>
      </c>
      <c r="AS379" s="319">
        <v>0</v>
      </c>
      <c r="AT379" s="319">
        <v>0</v>
      </c>
      <c r="AU379" s="319">
        <v>0</v>
      </c>
      <c r="AV379" s="319">
        <v>0</v>
      </c>
      <c r="AW379" s="319">
        <v>0</v>
      </c>
      <c r="AX379" s="319">
        <v>0</v>
      </c>
      <c r="AY379" s="319">
        <v>0</v>
      </c>
      <c r="AZ379" s="319">
        <v>0</v>
      </c>
      <c r="BA379" s="319">
        <v>0</v>
      </c>
      <c r="BB379" s="319">
        <v>0</v>
      </c>
      <c r="BC379" s="319">
        <v>0</v>
      </c>
      <c r="BD379" s="319">
        <v>0</v>
      </c>
      <c r="BE379" s="319">
        <v>0</v>
      </c>
      <c r="BF379" s="3"/>
    </row>
    <row r="380" spans="1:58" ht="14.25" customHeight="1" x14ac:dyDescent="0.45">
      <c r="A380" s="618"/>
      <c r="B380" s="215"/>
      <c r="C380" s="220" t="s">
        <v>206</v>
      </c>
      <c r="D380" s="304" t="s">
        <v>207</v>
      </c>
      <c r="E380" s="224">
        <f t="shared" si="9"/>
        <v>0</v>
      </c>
      <c r="F380" s="224">
        <f t="shared" si="9"/>
        <v>0</v>
      </c>
      <c r="G380" s="224">
        <f t="shared" si="9"/>
        <v>0</v>
      </c>
      <c r="H380" s="224">
        <f t="shared" si="9"/>
        <v>0</v>
      </c>
      <c r="I380" s="319">
        <v>0</v>
      </c>
      <c r="J380" s="319">
        <v>0</v>
      </c>
      <c r="K380" s="319">
        <v>0</v>
      </c>
      <c r="L380" s="319">
        <v>0</v>
      </c>
      <c r="M380" s="319">
        <v>0</v>
      </c>
      <c r="N380" s="319">
        <v>0</v>
      </c>
      <c r="O380" s="319">
        <v>0</v>
      </c>
      <c r="P380" s="319">
        <v>0</v>
      </c>
      <c r="Q380" s="319">
        <v>0</v>
      </c>
      <c r="R380" s="319">
        <v>0</v>
      </c>
      <c r="S380" s="319">
        <v>0</v>
      </c>
      <c r="T380" s="319">
        <v>0</v>
      </c>
      <c r="U380" s="319">
        <v>0</v>
      </c>
      <c r="V380" s="319">
        <v>0</v>
      </c>
      <c r="W380" s="319">
        <v>0</v>
      </c>
      <c r="X380" s="319">
        <v>0</v>
      </c>
      <c r="Y380" s="319">
        <v>0</v>
      </c>
      <c r="Z380" s="319">
        <v>0</v>
      </c>
      <c r="AA380" s="319">
        <v>0</v>
      </c>
      <c r="AB380" s="319">
        <v>0</v>
      </c>
      <c r="AC380" s="319">
        <v>0</v>
      </c>
      <c r="AD380" s="319">
        <v>0</v>
      </c>
      <c r="AE380" s="319">
        <v>0</v>
      </c>
      <c r="AF380" s="319">
        <v>0</v>
      </c>
      <c r="AG380" s="319">
        <v>0</v>
      </c>
      <c r="AH380" s="319">
        <v>0</v>
      </c>
      <c r="AI380" s="319">
        <v>0</v>
      </c>
      <c r="AJ380" s="319">
        <v>0</v>
      </c>
      <c r="AK380" s="319">
        <v>0</v>
      </c>
      <c r="AL380" s="319">
        <v>0</v>
      </c>
      <c r="AM380" s="319">
        <v>0</v>
      </c>
      <c r="AN380" s="319">
        <v>0</v>
      </c>
      <c r="AO380" s="319">
        <v>0</v>
      </c>
      <c r="AP380" s="319">
        <v>0</v>
      </c>
      <c r="AQ380" s="319">
        <v>0</v>
      </c>
      <c r="AR380" s="319">
        <v>0</v>
      </c>
      <c r="AS380" s="319">
        <v>0</v>
      </c>
      <c r="AT380" s="319">
        <v>0</v>
      </c>
      <c r="AU380" s="319">
        <v>0</v>
      </c>
      <c r="AV380" s="319">
        <v>0</v>
      </c>
      <c r="AW380" s="319">
        <v>0</v>
      </c>
      <c r="AX380" s="319">
        <v>0</v>
      </c>
      <c r="AY380" s="319">
        <v>0</v>
      </c>
      <c r="AZ380" s="319">
        <v>0</v>
      </c>
      <c r="BA380" s="319">
        <v>0</v>
      </c>
      <c r="BB380" s="319">
        <v>0</v>
      </c>
      <c r="BC380" s="319">
        <v>0</v>
      </c>
      <c r="BD380" s="319">
        <v>0</v>
      </c>
      <c r="BE380" s="319">
        <v>0</v>
      </c>
      <c r="BF380" s="3"/>
    </row>
    <row r="381" spans="1:58" ht="14.25" customHeight="1" x14ac:dyDescent="0.45">
      <c r="A381" s="618"/>
      <c r="B381" s="215"/>
      <c r="C381" s="220" t="s">
        <v>208</v>
      </c>
      <c r="D381" s="304" t="s">
        <v>209</v>
      </c>
      <c r="E381" s="224">
        <f t="shared" si="9"/>
        <v>0.54039999999999999</v>
      </c>
      <c r="F381" s="224">
        <f t="shared" si="9"/>
        <v>0.59960000000000002</v>
      </c>
      <c r="G381" s="224">
        <f t="shared" si="9"/>
        <v>0.55279999999999996</v>
      </c>
      <c r="H381" s="224">
        <f t="shared" si="9"/>
        <v>0.59619999999999995</v>
      </c>
      <c r="I381" s="319">
        <v>0.54</v>
      </c>
      <c r="J381" s="319">
        <v>0.54</v>
      </c>
      <c r="K381" s="319">
        <v>0.54</v>
      </c>
      <c r="L381" s="319">
        <v>0.54</v>
      </c>
      <c r="M381" s="319">
        <v>0.54</v>
      </c>
      <c r="N381" s="319">
        <v>0.54</v>
      </c>
      <c r="O381" s="319">
        <v>0.54</v>
      </c>
      <c r="P381" s="319">
        <v>0.54</v>
      </c>
      <c r="Q381" s="319">
        <v>0.54</v>
      </c>
      <c r="R381" s="319">
        <v>0.54</v>
      </c>
      <c r="S381" s="319">
        <v>0.54</v>
      </c>
      <c r="T381" s="319">
        <v>0.54</v>
      </c>
      <c r="U381" s="319">
        <v>0.54</v>
      </c>
      <c r="V381" s="319">
        <v>0.54</v>
      </c>
      <c r="W381" s="319">
        <v>0.54</v>
      </c>
      <c r="X381" s="319">
        <v>0.54</v>
      </c>
      <c r="Y381" s="319">
        <v>0.54</v>
      </c>
      <c r="Z381" s="319">
        <v>0.54</v>
      </c>
      <c r="AA381" s="319">
        <v>0.54</v>
      </c>
      <c r="AB381" s="319">
        <v>0.54</v>
      </c>
      <c r="AC381" s="319">
        <v>0.54</v>
      </c>
      <c r="AD381" s="319">
        <v>0.54</v>
      </c>
      <c r="AE381" s="319">
        <v>0.54</v>
      </c>
      <c r="AF381" s="319">
        <v>0.54</v>
      </c>
      <c r="AG381" s="319">
        <v>0.54</v>
      </c>
      <c r="AH381" s="319">
        <v>0.54</v>
      </c>
      <c r="AI381" s="319">
        <v>0.54</v>
      </c>
      <c r="AJ381" s="319">
        <v>0.54</v>
      </c>
      <c r="AK381" s="319">
        <v>0.54</v>
      </c>
      <c r="AL381" s="319">
        <v>0.54</v>
      </c>
      <c r="AM381" s="319">
        <v>0.54</v>
      </c>
      <c r="AN381" s="319">
        <v>0.54</v>
      </c>
      <c r="AO381" s="319">
        <v>0.54</v>
      </c>
      <c r="AP381" s="319">
        <v>0.54</v>
      </c>
      <c r="AQ381" s="319">
        <v>0.54</v>
      </c>
      <c r="AR381" s="319">
        <v>0.54</v>
      </c>
      <c r="AS381" s="319">
        <v>0.54</v>
      </c>
      <c r="AT381" s="319">
        <v>0.54</v>
      </c>
      <c r="AU381" s="319">
        <v>0.54</v>
      </c>
      <c r="AV381" s="319">
        <v>0.54</v>
      </c>
      <c r="AW381" s="319">
        <v>0.54</v>
      </c>
      <c r="AX381" s="319">
        <v>0.54</v>
      </c>
      <c r="AY381" s="319">
        <v>0.54</v>
      </c>
      <c r="AZ381" s="319">
        <v>0.54</v>
      </c>
      <c r="BA381" s="319">
        <v>0.54</v>
      </c>
      <c r="BB381" s="319">
        <v>0.54</v>
      </c>
      <c r="BC381" s="319">
        <v>0.54</v>
      </c>
      <c r="BD381" s="319">
        <v>0.54</v>
      </c>
      <c r="BE381" s="319">
        <v>0.54</v>
      </c>
      <c r="BF381" s="3"/>
    </row>
    <row r="382" spans="1:58" ht="14.25" customHeight="1" x14ac:dyDescent="0.45">
      <c r="A382" s="618"/>
      <c r="B382" s="215"/>
      <c r="C382" s="220" t="s">
        <v>210</v>
      </c>
      <c r="D382" s="304" t="s">
        <v>211</v>
      </c>
      <c r="E382" s="224">
        <f t="shared" si="9"/>
        <v>0.54779999999999995</v>
      </c>
      <c r="F382" s="224">
        <f t="shared" si="9"/>
        <v>0.62660000000000005</v>
      </c>
      <c r="G382" s="224">
        <f t="shared" si="9"/>
        <v>0.58079999999999998</v>
      </c>
      <c r="H382" s="224">
        <f t="shared" si="9"/>
        <v>0.61299999999999999</v>
      </c>
      <c r="I382" s="319">
        <v>0.55000000000000004</v>
      </c>
      <c r="J382" s="319">
        <v>0.55000000000000004</v>
      </c>
      <c r="K382" s="319">
        <v>0.55000000000000004</v>
      </c>
      <c r="L382" s="319">
        <v>0.55000000000000004</v>
      </c>
      <c r="M382" s="319">
        <v>0.55000000000000004</v>
      </c>
      <c r="N382" s="319">
        <v>0.55000000000000004</v>
      </c>
      <c r="O382" s="319">
        <v>0.55000000000000004</v>
      </c>
      <c r="P382" s="319">
        <v>0.55000000000000004</v>
      </c>
      <c r="Q382" s="319">
        <v>0.55000000000000004</v>
      </c>
      <c r="R382" s="319">
        <v>0.55000000000000004</v>
      </c>
      <c r="S382" s="319">
        <v>0.55000000000000004</v>
      </c>
      <c r="T382" s="319">
        <v>0.55000000000000004</v>
      </c>
      <c r="U382" s="319">
        <v>0.55000000000000004</v>
      </c>
      <c r="V382" s="319">
        <v>0.55000000000000004</v>
      </c>
      <c r="W382" s="319">
        <v>0.55000000000000004</v>
      </c>
      <c r="X382" s="319">
        <v>0.55000000000000004</v>
      </c>
      <c r="Y382" s="319">
        <v>0.55000000000000004</v>
      </c>
      <c r="Z382" s="319">
        <v>0.55000000000000004</v>
      </c>
      <c r="AA382" s="319">
        <v>0.55000000000000004</v>
      </c>
      <c r="AB382" s="319">
        <v>0.55000000000000004</v>
      </c>
      <c r="AC382" s="319">
        <v>0.55000000000000004</v>
      </c>
      <c r="AD382" s="319">
        <v>0.55000000000000004</v>
      </c>
      <c r="AE382" s="319">
        <v>0.55000000000000004</v>
      </c>
      <c r="AF382" s="319">
        <v>0.55000000000000004</v>
      </c>
      <c r="AG382" s="319">
        <v>0.55000000000000004</v>
      </c>
      <c r="AH382" s="319">
        <v>0.55000000000000004</v>
      </c>
      <c r="AI382" s="319">
        <v>0.55000000000000004</v>
      </c>
      <c r="AJ382" s="319">
        <v>0.55000000000000004</v>
      </c>
      <c r="AK382" s="319">
        <v>0.55000000000000004</v>
      </c>
      <c r="AL382" s="319">
        <v>0.55000000000000004</v>
      </c>
      <c r="AM382" s="319">
        <v>0.55000000000000004</v>
      </c>
      <c r="AN382" s="319">
        <v>0.55000000000000004</v>
      </c>
      <c r="AO382" s="319">
        <v>0.55000000000000004</v>
      </c>
      <c r="AP382" s="319">
        <v>0.55000000000000004</v>
      </c>
      <c r="AQ382" s="319">
        <v>0.55000000000000004</v>
      </c>
      <c r="AR382" s="319">
        <v>0.55000000000000004</v>
      </c>
      <c r="AS382" s="319">
        <v>0.55000000000000004</v>
      </c>
      <c r="AT382" s="319">
        <v>0.55000000000000004</v>
      </c>
      <c r="AU382" s="319">
        <v>0.55000000000000004</v>
      </c>
      <c r="AV382" s="319">
        <v>0.55000000000000004</v>
      </c>
      <c r="AW382" s="319">
        <v>0.55000000000000004</v>
      </c>
      <c r="AX382" s="319">
        <v>0.55000000000000004</v>
      </c>
      <c r="AY382" s="319">
        <v>0.55000000000000004</v>
      </c>
      <c r="AZ382" s="319">
        <v>0.55000000000000004</v>
      </c>
      <c r="BA382" s="319">
        <v>0.55000000000000004</v>
      </c>
      <c r="BB382" s="319">
        <v>0.55000000000000004</v>
      </c>
      <c r="BC382" s="319">
        <v>0.55000000000000004</v>
      </c>
      <c r="BD382" s="319">
        <v>0.55000000000000004</v>
      </c>
      <c r="BE382" s="319">
        <v>0.55000000000000004</v>
      </c>
      <c r="BF382" s="3"/>
    </row>
    <row r="383" spans="1:58" ht="14.25" customHeight="1" x14ac:dyDescent="0.45">
      <c r="A383" s="618"/>
      <c r="B383" s="215"/>
      <c r="C383" s="220"/>
      <c r="D383" s="234" t="s">
        <v>212</v>
      </c>
      <c r="E383" s="224">
        <f t="shared" si="9"/>
        <v>0</v>
      </c>
      <c r="F383" s="224">
        <f t="shared" si="9"/>
        <v>0</v>
      </c>
      <c r="G383" s="224">
        <f t="shared" si="9"/>
        <v>0</v>
      </c>
      <c r="H383" s="224">
        <f t="shared" si="9"/>
        <v>0</v>
      </c>
      <c r="I383" s="319">
        <v>0</v>
      </c>
      <c r="J383" s="319">
        <v>0</v>
      </c>
      <c r="K383" s="319">
        <v>0</v>
      </c>
      <c r="L383" s="319">
        <v>0</v>
      </c>
      <c r="M383" s="319">
        <v>0</v>
      </c>
      <c r="N383" s="319">
        <v>0</v>
      </c>
      <c r="O383" s="319">
        <v>0</v>
      </c>
      <c r="P383" s="319">
        <v>0</v>
      </c>
      <c r="Q383" s="319">
        <v>0</v>
      </c>
      <c r="R383" s="319">
        <v>0</v>
      </c>
      <c r="S383" s="319">
        <v>0</v>
      </c>
      <c r="T383" s="319">
        <v>0</v>
      </c>
      <c r="U383" s="319">
        <v>0</v>
      </c>
      <c r="V383" s="319">
        <v>0</v>
      </c>
      <c r="W383" s="319">
        <v>0</v>
      </c>
      <c r="X383" s="319">
        <v>0</v>
      </c>
      <c r="Y383" s="319">
        <v>0</v>
      </c>
      <c r="Z383" s="319">
        <v>0</v>
      </c>
      <c r="AA383" s="319">
        <v>0</v>
      </c>
      <c r="AB383" s="319">
        <v>0</v>
      </c>
      <c r="AC383" s="319">
        <v>0</v>
      </c>
      <c r="AD383" s="319">
        <v>0</v>
      </c>
      <c r="AE383" s="319">
        <v>0</v>
      </c>
      <c r="AF383" s="319">
        <v>0</v>
      </c>
      <c r="AG383" s="319">
        <v>0</v>
      </c>
      <c r="AH383" s="319">
        <v>0</v>
      </c>
      <c r="AI383" s="319">
        <v>0</v>
      </c>
      <c r="AJ383" s="319">
        <v>0</v>
      </c>
      <c r="AK383" s="319">
        <v>0</v>
      </c>
      <c r="AL383" s="319">
        <v>0</v>
      </c>
      <c r="AM383" s="319">
        <v>0</v>
      </c>
      <c r="AN383" s="319">
        <v>0</v>
      </c>
      <c r="AO383" s="319">
        <v>0</v>
      </c>
      <c r="AP383" s="319">
        <v>0</v>
      </c>
      <c r="AQ383" s="319">
        <v>0</v>
      </c>
      <c r="AR383" s="319">
        <v>0</v>
      </c>
      <c r="AS383" s="319">
        <v>0</v>
      </c>
      <c r="AT383" s="319">
        <v>0</v>
      </c>
      <c r="AU383" s="319">
        <v>0</v>
      </c>
      <c r="AV383" s="319">
        <v>0</v>
      </c>
      <c r="AW383" s="319">
        <v>0</v>
      </c>
      <c r="AX383" s="319">
        <v>0</v>
      </c>
      <c r="AY383" s="319">
        <v>0</v>
      </c>
      <c r="AZ383" s="319">
        <v>0</v>
      </c>
      <c r="BA383" s="319">
        <v>0</v>
      </c>
      <c r="BB383" s="319">
        <v>0</v>
      </c>
      <c r="BC383" s="319">
        <v>0</v>
      </c>
      <c r="BD383" s="319">
        <v>0</v>
      </c>
      <c r="BE383" s="319">
        <v>0</v>
      </c>
      <c r="BF383" s="3"/>
    </row>
    <row r="384" spans="1:58" ht="14.25" customHeight="1" x14ac:dyDescent="0.45">
      <c r="A384" s="618"/>
      <c r="B384" s="215"/>
      <c r="C384" s="220" t="s">
        <v>213</v>
      </c>
      <c r="D384" s="304" t="s">
        <v>201</v>
      </c>
      <c r="E384" s="224">
        <f t="shared" si="9"/>
        <v>0.59599999999999997</v>
      </c>
      <c r="F384" s="224">
        <f t="shared" si="9"/>
        <v>0.59919999999999995</v>
      </c>
      <c r="G384" s="224">
        <f t="shared" si="9"/>
        <v>0.56320000000000003</v>
      </c>
      <c r="H384" s="224">
        <f t="shared" si="9"/>
        <v>0.69530000000000003</v>
      </c>
      <c r="I384" s="319">
        <v>0.6</v>
      </c>
      <c r="J384" s="319">
        <v>0.6</v>
      </c>
      <c r="K384" s="319">
        <v>0.6</v>
      </c>
      <c r="L384" s="319">
        <v>0.6</v>
      </c>
      <c r="M384" s="319">
        <v>0.6</v>
      </c>
      <c r="N384" s="319">
        <v>0.6</v>
      </c>
      <c r="O384" s="319">
        <v>0.6</v>
      </c>
      <c r="P384" s="319">
        <v>0.6</v>
      </c>
      <c r="Q384" s="319">
        <v>0.6</v>
      </c>
      <c r="R384" s="319">
        <v>0.6</v>
      </c>
      <c r="S384" s="319">
        <v>0.6</v>
      </c>
      <c r="T384" s="319">
        <v>0.6</v>
      </c>
      <c r="U384" s="319">
        <v>0.6</v>
      </c>
      <c r="V384" s="319">
        <v>0.6</v>
      </c>
      <c r="W384" s="319">
        <v>0.6</v>
      </c>
      <c r="X384" s="319">
        <v>0.6</v>
      </c>
      <c r="Y384" s="319">
        <v>0.6</v>
      </c>
      <c r="Z384" s="319">
        <v>0.6</v>
      </c>
      <c r="AA384" s="319">
        <v>0.6</v>
      </c>
      <c r="AB384" s="319">
        <v>0.6</v>
      </c>
      <c r="AC384" s="319">
        <v>0.6</v>
      </c>
      <c r="AD384" s="319">
        <v>0.6</v>
      </c>
      <c r="AE384" s="319">
        <v>0.6</v>
      </c>
      <c r="AF384" s="319">
        <v>0.6</v>
      </c>
      <c r="AG384" s="319">
        <v>0.6</v>
      </c>
      <c r="AH384" s="319">
        <v>0.6</v>
      </c>
      <c r="AI384" s="319">
        <v>0.6</v>
      </c>
      <c r="AJ384" s="319">
        <v>0.6</v>
      </c>
      <c r="AK384" s="319">
        <v>0.6</v>
      </c>
      <c r="AL384" s="319">
        <v>0.6</v>
      </c>
      <c r="AM384" s="319">
        <v>0.6</v>
      </c>
      <c r="AN384" s="319">
        <v>0.6</v>
      </c>
      <c r="AO384" s="319">
        <v>0.6</v>
      </c>
      <c r="AP384" s="319">
        <v>0.6</v>
      </c>
      <c r="AQ384" s="319">
        <v>0.6</v>
      </c>
      <c r="AR384" s="319">
        <v>0.6</v>
      </c>
      <c r="AS384" s="319">
        <v>0.6</v>
      </c>
      <c r="AT384" s="319">
        <v>0.6</v>
      </c>
      <c r="AU384" s="319">
        <v>0.6</v>
      </c>
      <c r="AV384" s="319">
        <v>0.6</v>
      </c>
      <c r="AW384" s="319">
        <v>0.6</v>
      </c>
      <c r="AX384" s="319">
        <v>0.6</v>
      </c>
      <c r="AY384" s="319">
        <v>0.6</v>
      </c>
      <c r="AZ384" s="319">
        <v>0.6</v>
      </c>
      <c r="BA384" s="319">
        <v>0.6</v>
      </c>
      <c r="BB384" s="319">
        <v>0.6</v>
      </c>
      <c r="BC384" s="319">
        <v>0.6</v>
      </c>
      <c r="BD384" s="319">
        <v>0.6</v>
      </c>
      <c r="BE384" s="319">
        <v>0.6</v>
      </c>
      <c r="BF384" s="3"/>
    </row>
    <row r="385" spans="1:58" ht="14.25" customHeight="1" x14ac:dyDescent="0.45">
      <c r="A385" s="618"/>
      <c r="B385" s="215"/>
      <c r="C385" s="220" t="s">
        <v>214</v>
      </c>
      <c r="D385" s="304" t="s">
        <v>203</v>
      </c>
      <c r="E385" s="224">
        <f t="shared" si="9"/>
        <v>0.14019999999999999</v>
      </c>
      <c r="F385" s="224">
        <f t="shared" si="9"/>
        <v>0.48430000000000001</v>
      </c>
      <c r="G385" s="224">
        <f t="shared" si="9"/>
        <v>0.48749999999999999</v>
      </c>
      <c r="H385" s="224">
        <f t="shared" si="9"/>
        <v>0.55510000000000004</v>
      </c>
      <c r="I385" s="319">
        <f t="shared" ref="I385:BE385" si="10">H385</f>
        <v>0.55510000000000004</v>
      </c>
      <c r="J385" s="319">
        <f t="shared" si="10"/>
        <v>0.55510000000000004</v>
      </c>
      <c r="K385" s="319">
        <f t="shared" si="10"/>
        <v>0.55510000000000004</v>
      </c>
      <c r="L385" s="319">
        <f t="shared" si="10"/>
        <v>0.55510000000000004</v>
      </c>
      <c r="M385" s="319">
        <f t="shared" si="10"/>
        <v>0.55510000000000004</v>
      </c>
      <c r="N385" s="319">
        <f t="shared" si="10"/>
        <v>0.55510000000000004</v>
      </c>
      <c r="O385" s="319">
        <f t="shared" si="10"/>
        <v>0.55510000000000004</v>
      </c>
      <c r="P385" s="319">
        <f t="shared" si="10"/>
        <v>0.55510000000000004</v>
      </c>
      <c r="Q385" s="319">
        <f t="shared" si="10"/>
        <v>0.55510000000000004</v>
      </c>
      <c r="R385" s="319">
        <f t="shared" si="10"/>
        <v>0.55510000000000004</v>
      </c>
      <c r="S385" s="319">
        <f t="shared" si="10"/>
        <v>0.55510000000000004</v>
      </c>
      <c r="T385" s="319">
        <f t="shared" si="10"/>
        <v>0.55510000000000004</v>
      </c>
      <c r="U385" s="319">
        <f t="shared" si="10"/>
        <v>0.55510000000000004</v>
      </c>
      <c r="V385" s="319">
        <f t="shared" si="10"/>
        <v>0.55510000000000004</v>
      </c>
      <c r="W385" s="319">
        <f t="shared" si="10"/>
        <v>0.55510000000000004</v>
      </c>
      <c r="X385" s="319">
        <f t="shared" si="10"/>
        <v>0.55510000000000004</v>
      </c>
      <c r="Y385" s="319">
        <f t="shared" si="10"/>
        <v>0.55510000000000004</v>
      </c>
      <c r="Z385" s="319">
        <f t="shared" si="10"/>
        <v>0.55510000000000004</v>
      </c>
      <c r="AA385" s="319">
        <f t="shared" si="10"/>
        <v>0.55510000000000004</v>
      </c>
      <c r="AB385" s="319">
        <f t="shared" si="10"/>
        <v>0.55510000000000004</v>
      </c>
      <c r="AC385" s="319">
        <f t="shared" si="10"/>
        <v>0.55510000000000004</v>
      </c>
      <c r="AD385" s="319">
        <f t="shared" si="10"/>
        <v>0.55510000000000004</v>
      </c>
      <c r="AE385" s="319">
        <f t="shared" si="10"/>
        <v>0.55510000000000004</v>
      </c>
      <c r="AF385" s="319">
        <f t="shared" si="10"/>
        <v>0.55510000000000004</v>
      </c>
      <c r="AG385" s="319">
        <f t="shared" si="10"/>
        <v>0.55510000000000004</v>
      </c>
      <c r="AH385" s="319">
        <f t="shared" si="10"/>
        <v>0.55510000000000004</v>
      </c>
      <c r="AI385" s="319">
        <f t="shared" si="10"/>
        <v>0.55510000000000004</v>
      </c>
      <c r="AJ385" s="319">
        <f t="shared" si="10"/>
        <v>0.55510000000000004</v>
      </c>
      <c r="AK385" s="319">
        <f t="shared" si="10"/>
        <v>0.55510000000000004</v>
      </c>
      <c r="AL385" s="319">
        <f t="shared" si="10"/>
        <v>0.55510000000000004</v>
      </c>
      <c r="AM385" s="319">
        <f t="shared" si="10"/>
        <v>0.55510000000000004</v>
      </c>
      <c r="AN385" s="319">
        <f t="shared" si="10"/>
        <v>0.55510000000000004</v>
      </c>
      <c r="AO385" s="319">
        <f t="shared" si="10"/>
        <v>0.55510000000000004</v>
      </c>
      <c r="AP385" s="319">
        <f t="shared" si="10"/>
        <v>0.55510000000000004</v>
      </c>
      <c r="AQ385" s="319">
        <f t="shared" si="10"/>
        <v>0.55510000000000004</v>
      </c>
      <c r="AR385" s="319">
        <f t="shared" si="10"/>
        <v>0.55510000000000004</v>
      </c>
      <c r="AS385" s="319">
        <f t="shared" si="10"/>
        <v>0.55510000000000004</v>
      </c>
      <c r="AT385" s="319">
        <f t="shared" si="10"/>
        <v>0.55510000000000004</v>
      </c>
      <c r="AU385" s="319">
        <f t="shared" si="10"/>
        <v>0.55510000000000004</v>
      </c>
      <c r="AV385" s="319">
        <f t="shared" si="10"/>
        <v>0.55510000000000004</v>
      </c>
      <c r="AW385" s="319">
        <f t="shared" si="10"/>
        <v>0.55510000000000004</v>
      </c>
      <c r="AX385" s="319">
        <f t="shared" si="10"/>
        <v>0.55510000000000004</v>
      </c>
      <c r="AY385" s="319">
        <f t="shared" si="10"/>
        <v>0.55510000000000004</v>
      </c>
      <c r="AZ385" s="319">
        <f t="shared" si="10"/>
        <v>0.55510000000000004</v>
      </c>
      <c r="BA385" s="319">
        <f t="shared" si="10"/>
        <v>0.55510000000000004</v>
      </c>
      <c r="BB385" s="319">
        <f t="shared" si="10"/>
        <v>0.55510000000000004</v>
      </c>
      <c r="BC385" s="319">
        <f t="shared" si="10"/>
        <v>0.55510000000000004</v>
      </c>
      <c r="BD385" s="319">
        <f t="shared" si="10"/>
        <v>0.55510000000000004</v>
      </c>
      <c r="BE385" s="319">
        <f t="shared" si="10"/>
        <v>0.55510000000000004</v>
      </c>
      <c r="BF385" s="3"/>
    </row>
    <row r="386" spans="1:58" ht="14.25" customHeight="1" x14ac:dyDescent="0.45">
      <c r="A386" s="618"/>
      <c r="B386" s="215"/>
      <c r="C386" s="220" t="s">
        <v>215</v>
      </c>
      <c r="D386" s="304" t="s">
        <v>205</v>
      </c>
      <c r="E386" s="224">
        <f t="shared" si="9"/>
        <v>0</v>
      </c>
      <c r="F386" s="224">
        <f t="shared" si="9"/>
        <v>0</v>
      </c>
      <c r="G386" s="224">
        <f t="shared" si="9"/>
        <v>0</v>
      </c>
      <c r="H386" s="224">
        <f t="shared" si="9"/>
        <v>0</v>
      </c>
      <c r="I386" s="319">
        <v>0</v>
      </c>
      <c r="J386" s="319">
        <v>0</v>
      </c>
      <c r="K386" s="319">
        <v>0</v>
      </c>
      <c r="L386" s="319">
        <v>0</v>
      </c>
      <c r="M386" s="319">
        <v>0</v>
      </c>
      <c r="N386" s="319">
        <v>0</v>
      </c>
      <c r="O386" s="319">
        <v>0</v>
      </c>
      <c r="P386" s="319">
        <v>0</v>
      </c>
      <c r="Q386" s="319">
        <v>0</v>
      </c>
      <c r="R386" s="319">
        <v>0</v>
      </c>
      <c r="S386" s="319">
        <v>0</v>
      </c>
      <c r="T386" s="319">
        <v>0</v>
      </c>
      <c r="U386" s="319">
        <v>0</v>
      </c>
      <c r="V386" s="319">
        <v>0</v>
      </c>
      <c r="W386" s="319">
        <v>0</v>
      </c>
      <c r="X386" s="319">
        <v>0</v>
      </c>
      <c r="Y386" s="319">
        <v>0</v>
      </c>
      <c r="Z386" s="319">
        <v>0</v>
      </c>
      <c r="AA386" s="319">
        <v>0</v>
      </c>
      <c r="AB386" s="319">
        <v>0</v>
      </c>
      <c r="AC386" s="319">
        <v>0</v>
      </c>
      <c r="AD386" s="319">
        <v>0</v>
      </c>
      <c r="AE386" s="319">
        <v>0</v>
      </c>
      <c r="AF386" s="319">
        <v>0</v>
      </c>
      <c r="AG386" s="319">
        <v>0</v>
      </c>
      <c r="AH386" s="319">
        <v>0</v>
      </c>
      <c r="AI386" s="319">
        <v>0</v>
      </c>
      <c r="AJ386" s="319">
        <v>0</v>
      </c>
      <c r="AK386" s="319">
        <v>0</v>
      </c>
      <c r="AL386" s="319">
        <v>0</v>
      </c>
      <c r="AM386" s="319">
        <v>0</v>
      </c>
      <c r="AN386" s="319">
        <v>0</v>
      </c>
      <c r="AO386" s="319">
        <v>0</v>
      </c>
      <c r="AP386" s="319">
        <v>0</v>
      </c>
      <c r="AQ386" s="319">
        <v>0</v>
      </c>
      <c r="AR386" s="319">
        <v>0</v>
      </c>
      <c r="AS386" s="319">
        <v>0</v>
      </c>
      <c r="AT386" s="319">
        <v>0</v>
      </c>
      <c r="AU386" s="319">
        <v>0</v>
      </c>
      <c r="AV386" s="319">
        <v>0</v>
      </c>
      <c r="AW386" s="319">
        <v>0</v>
      </c>
      <c r="AX386" s="319">
        <v>0</v>
      </c>
      <c r="AY386" s="319">
        <v>0</v>
      </c>
      <c r="AZ386" s="319">
        <v>0</v>
      </c>
      <c r="BA386" s="319">
        <v>0</v>
      </c>
      <c r="BB386" s="319">
        <v>0</v>
      </c>
      <c r="BC386" s="319">
        <v>0</v>
      </c>
      <c r="BD386" s="319">
        <v>0</v>
      </c>
      <c r="BE386" s="319">
        <v>0</v>
      </c>
      <c r="BF386" s="3"/>
    </row>
    <row r="387" spans="1:58" ht="14.25" customHeight="1" x14ac:dyDescent="0.45">
      <c r="A387" s="618"/>
      <c r="B387" s="215"/>
      <c r="C387" s="220" t="s">
        <v>216</v>
      </c>
      <c r="D387" s="304" t="s">
        <v>207</v>
      </c>
      <c r="E387" s="224">
        <f t="shared" si="9"/>
        <v>0.60229999999999995</v>
      </c>
      <c r="F387" s="224">
        <f t="shared" si="9"/>
        <v>0.72389999999999999</v>
      </c>
      <c r="G387" s="224">
        <f t="shared" si="9"/>
        <v>0.68720000000000003</v>
      </c>
      <c r="H387" s="224">
        <f t="shared" si="9"/>
        <v>0.72909999999999997</v>
      </c>
      <c r="I387" s="319">
        <v>0.6</v>
      </c>
      <c r="J387" s="319">
        <v>0.6</v>
      </c>
      <c r="K387" s="319">
        <v>0.6</v>
      </c>
      <c r="L387" s="319">
        <v>0.6</v>
      </c>
      <c r="M387" s="319">
        <v>0.6</v>
      </c>
      <c r="N387" s="319">
        <v>0.6</v>
      </c>
      <c r="O387" s="319">
        <v>0.6</v>
      </c>
      <c r="P387" s="319">
        <v>0.6</v>
      </c>
      <c r="Q387" s="319">
        <v>0.6</v>
      </c>
      <c r="R387" s="319">
        <v>0.6</v>
      </c>
      <c r="S387" s="319">
        <v>0.6</v>
      </c>
      <c r="T387" s="319">
        <v>0.6</v>
      </c>
      <c r="U387" s="319">
        <v>0.6</v>
      </c>
      <c r="V387" s="319">
        <v>0.6</v>
      </c>
      <c r="W387" s="319">
        <v>0.6</v>
      </c>
      <c r="X387" s="319">
        <v>0.6</v>
      </c>
      <c r="Y387" s="319">
        <v>0.6</v>
      </c>
      <c r="Z387" s="319">
        <v>0.6</v>
      </c>
      <c r="AA387" s="319">
        <v>0.6</v>
      </c>
      <c r="AB387" s="319">
        <v>0.6</v>
      </c>
      <c r="AC387" s="319">
        <v>0.6</v>
      </c>
      <c r="AD387" s="319">
        <v>0.6</v>
      </c>
      <c r="AE387" s="319">
        <v>0.6</v>
      </c>
      <c r="AF387" s="319">
        <v>0.6</v>
      </c>
      <c r="AG387" s="319">
        <v>0.6</v>
      </c>
      <c r="AH387" s="319">
        <v>0.6</v>
      </c>
      <c r="AI387" s="319">
        <v>0.6</v>
      </c>
      <c r="AJ387" s="319">
        <v>0.6</v>
      </c>
      <c r="AK387" s="319">
        <v>0.6</v>
      </c>
      <c r="AL387" s="319">
        <v>0.6</v>
      </c>
      <c r="AM387" s="319">
        <v>0.6</v>
      </c>
      <c r="AN387" s="319">
        <v>0.6</v>
      </c>
      <c r="AO387" s="319">
        <v>0.6</v>
      </c>
      <c r="AP387" s="319">
        <v>0.6</v>
      </c>
      <c r="AQ387" s="319">
        <v>0.6</v>
      </c>
      <c r="AR387" s="319">
        <v>0.6</v>
      </c>
      <c r="AS387" s="319">
        <v>0.6</v>
      </c>
      <c r="AT387" s="319">
        <v>0.6</v>
      </c>
      <c r="AU387" s="319">
        <v>0.6</v>
      </c>
      <c r="AV387" s="319">
        <v>0.6</v>
      </c>
      <c r="AW387" s="319">
        <v>0.6</v>
      </c>
      <c r="AX387" s="319">
        <v>0.6</v>
      </c>
      <c r="AY387" s="319">
        <v>0.6</v>
      </c>
      <c r="AZ387" s="319">
        <v>0.6</v>
      </c>
      <c r="BA387" s="319">
        <v>0.6</v>
      </c>
      <c r="BB387" s="319">
        <v>0.6</v>
      </c>
      <c r="BC387" s="319">
        <v>0.6</v>
      </c>
      <c r="BD387" s="319">
        <v>0.6</v>
      </c>
      <c r="BE387" s="319">
        <v>0.6</v>
      </c>
      <c r="BF387" s="3"/>
    </row>
    <row r="388" spans="1:58" ht="14.25" customHeight="1" x14ac:dyDescent="0.45">
      <c r="A388" s="618"/>
      <c r="B388" s="215"/>
      <c r="C388" s="220" t="s">
        <v>217</v>
      </c>
      <c r="D388" s="304" t="s">
        <v>209</v>
      </c>
      <c r="E388" s="224">
        <f t="shared" si="9"/>
        <v>0.36149999999999999</v>
      </c>
      <c r="F388" s="224">
        <f t="shared" si="9"/>
        <v>0.56310000000000004</v>
      </c>
      <c r="G388" s="224">
        <f t="shared" si="9"/>
        <v>0.625</v>
      </c>
      <c r="H388" s="224">
        <f t="shared" si="9"/>
        <v>0.66879999999999995</v>
      </c>
      <c r="I388" s="319">
        <v>0.36</v>
      </c>
      <c r="J388" s="319">
        <v>0.36</v>
      </c>
      <c r="K388" s="319">
        <v>0.36</v>
      </c>
      <c r="L388" s="319">
        <v>0.36</v>
      </c>
      <c r="M388" s="319">
        <v>0.36</v>
      </c>
      <c r="N388" s="319">
        <v>0.36</v>
      </c>
      <c r="O388" s="319">
        <v>0.36</v>
      </c>
      <c r="P388" s="319">
        <v>0.36</v>
      </c>
      <c r="Q388" s="319">
        <v>0.36</v>
      </c>
      <c r="R388" s="319">
        <v>0.36</v>
      </c>
      <c r="S388" s="319">
        <v>0.36</v>
      </c>
      <c r="T388" s="319">
        <v>0.36</v>
      </c>
      <c r="U388" s="319">
        <v>0.36</v>
      </c>
      <c r="V388" s="319">
        <v>0.36</v>
      </c>
      <c r="W388" s="319">
        <v>0.36</v>
      </c>
      <c r="X388" s="319">
        <v>0.36</v>
      </c>
      <c r="Y388" s="319">
        <v>0.36</v>
      </c>
      <c r="Z388" s="319">
        <v>0.36</v>
      </c>
      <c r="AA388" s="319">
        <v>0.36</v>
      </c>
      <c r="AB388" s="319">
        <v>0.36</v>
      </c>
      <c r="AC388" s="319">
        <v>0.36</v>
      </c>
      <c r="AD388" s="319">
        <v>0.36</v>
      </c>
      <c r="AE388" s="319">
        <v>0.36</v>
      </c>
      <c r="AF388" s="319">
        <v>0.36</v>
      </c>
      <c r="AG388" s="319">
        <v>0.36</v>
      </c>
      <c r="AH388" s="319">
        <v>0.36</v>
      </c>
      <c r="AI388" s="319">
        <v>0.36</v>
      </c>
      <c r="AJ388" s="319">
        <v>0.36</v>
      </c>
      <c r="AK388" s="319">
        <v>0.36</v>
      </c>
      <c r="AL388" s="319">
        <v>0.36</v>
      </c>
      <c r="AM388" s="319">
        <v>0.36</v>
      </c>
      <c r="AN388" s="319">
        <v>0.36</v>
      </c>
      <c r="AO388" s="319">
        <v>0.36</v>
      </c>
      <c r="AP388" s="319">
        <v>0.36</v>
      </c>
      <c r="AQ388" s="319">
        <v>0.36</v>
      </c>
      <c r="AR388" s="319">
        <v>0.36</v>
      </c>
      <c r="AS388" s="319">
        <v>0.36</v>
      </c>
      <c r="AT388" s="319">
        <v>0.36</v>
      </c>
      <c r="AU388" s="319">
        <v>0.36</v>
      </c>
      <c r="AV388" s="319">
        <v>0.36</v>
      </c>
      <c r="AW388" s="319">
        <v>0.36</v>
      </c>
      <c r="AX388" s="319">
        <v>0.36</v>
      </c>
      <c r="AY388" s="319">
        <v>0.36</v>
      </c>
      <c r="AZ388" s="319">
        <v>0.36</v>
      </c>
      <c r="BA388" s="319">
        <v>0.36</v>
      </c>
      <c r="BB388" s="319">
        <v>0.36</v>
      </c>
      <c r="BC388" s="319">
        <v>0.36</v>
      </c>
      <c r="BD388" s="319">
        <v>0.36</v>
      </c>
      <c r="BE388" s="319">
        <v>0.36</v>
      </c>
      <c r="BF388" s="3"/>
    </row>
    <row r="389" spans="1:58" ht="14.25" customHeight="1" x14ac:dyDescent="0.45">
      <c r="A389" s="618"/>
      <c r="B389" s="215"/>
      <c r="C389" s="220" t="s">
        <v>218</v>
      </c>
      <c r="D389" s="304" t="s">
        <v>211</v>
      </c>
      <c r="E389" s="224">
        <f t="shared" si="9"/>
        <v>0.50390000000000001</v>
      </c>
      <c r="F389" s="224">
        <f t="shared" si="9"/>
        <v>0.53180000000000005</v>
      </c>
      <c r="G389" s="224">
        <f t="shared" si="9"/>
        <v>0.55910000000000004</v>
      </c>
      <c r="H389" s="224">
        <f t="shared" si="9"/>
        <v>0.55649999999999999</v>
      </c>
      <c r="I389" s="319">
        <v>0.5</v>
      </c>
      <c r="J389" s="319">
        <v>0.5</v>
      </c>
      <c r="K389" s="319">
        <v>0.5</v>
      </c>
      <c r="L389" s="319">
        <v>0.5</v>
      </c>
      <c r="M389" s="319">
        <v>0.5</v>
      </c>
      <c r="N389" s="319">
        <v>0.5</v>
      </c>
      <c r="O389" s="319">
        <v>0.5</v>
      </c>
      <c r="P389" s="319">
        <v>0.5</v>
      </c>
      <c r="Q389" s="319">
        <v>0.5</v>
      </c>
      <c r="R389" s="319">
        <v>0.5</v>
      </c>
      <c r="S389" s="319">
        <v>0.5</v>
      </c>
      <c r="T389" s="319">
        <v>0.5</v>
      </c>
      <c r="U389" s="319">
        <v>0.5</v>
      </c>
      <c r="V389" s="319">
        <v>0.5</v>
      </c>
      <c r="W389" s="319">
        <v>0.5</v>
      </c>
      <c r="X389" s="319">
        <v>0.5</v>
      </c>
      <c r="Y389" s="319">
        <v>0.5</v>
      </c>
      <c r="Z389" s="319">
        <v>0.5</v>
      </c>
      <c r="AA389" s="319">
        <v>0.5</v>
      </c>
      <c r="AB389" s="319">
        <v>0.5</v>
      </c>
      <c r="AC389" s="319">
        <v>0.5</v>
      </c>
      <c r="AD389" s="319">
        <v>0.5</v>
      </c>
      <c r="AE389" s="319">
        <v>0.5</v>
      </c>
      <c r="AF389" s="319">
        <v>0.5</v>
      </c>
      <c r="AG389" s="319">
        <v>0.5</v>
      </c>
      <c r="AH389" s="319">
        <v>0.5</v>
      </c>
      <c r="AI389" s="319">
        <v>0.5</v>
      </c>
      <c r="AJ389" s="319">
        <v>0.5</v>
      </c>
      <c r="AK389" s="319">
        <v>0.5</v>
      </c>
      <c r="AL389" s="319">
        <v>0.5</v>
      </c>
      <c r="AM389" s="319">
        <v>0.5</v>
      </c>
      <c r="AN389" s="319">
        <v>0.5</v>
      </c>
      <c r="AO389" s="319">
        <v>0.5</v>
      </c>
      <c r="AP389" s="319">
        <v>0.5</v>
      </c>
      <c r="AQ389" s="319">
        <v>0.5</v>
      </c>
      <c r="AR389" s="319">
        <v>0.5</v>
      </c>
      <c r="AS389" s="319">
        <v>0.5</v>
      </c>
      <c r="AT389" s="319">
        <v>0.5</v>
      </c>
      <c r="AU389" s="319">
        <v>0.5</v>
      </c>
      <c r="AV389" s="319">
        <v>0.5</v>
      </c>
      <c r="AW389" s="319">
        <v>0.5</v>
      </c>
      <c r="AX389" s="319">
        <v>0.5</v>
      </c>
      <c r="AY389" s="319">
        <v>0.5</v>
      </c>
      <c r="AZ389" s="319">
        <v>0.5</v>
      </c>
      <c r="BA389" s="319">
        <v>0.5</v>
      </c>
      <c r="BB389" s="319">
        <v>0.5</v>
      </c>
      <c r="BC389" s="319">
        <v>0.5</v>
      </c>
      <c r="BD389" s="319">
        <v>0.5</v>
      </c>
      <c r="BE389" s="319">
        <v>0.5</v>
      </c>
      <c r="BF389" s="3"/>
    </row>
    <row r="390" spans="1:58" ht="14.25" customHeight="1" x14ac:dyDescent="0.45">
      <c r="A390" s="618"/>
      <c r="B390" s="215"/>
      <c r="C390" s="220"/>
      <c r="D390" s="221"/>
      <c r="E390" s="221"/>
      <c r="F390" s="221"/>
      <c r="G390" s="221"/>
      <c r="H390" s="319"/>
      <c r="I390" s="319"/>
      <c r="J390" s="319"/>
      <c r="K390" s="319"/>
      <c r="L390" s="319"/>
      <c r="M390" s="319"/>
      <c r="N390" s="319"/>
      <c r="O390" s="319"/>
      <c r="P390" s="319"/>
      <c r="Q390" s="319"/>
      <c r="R390" s="319"/>
      <c r="S390" s="319"/>
      <c r="T390" s="319"/>
      <c r="U390" s="319"/>
      <c r="V390" s="319"/>
      <c r="W390" s="319"/>
      <c r="X390" s="319"/>
      <c r="Y390" s="319"/>
      <c r="Z390" s="319"/>
      <c r="AA390" s="319"/>
      <c r="AB390" s="319"/>
      <c r="AC390" s="319"/>
      <c r="AD390" s="319"/>
      <c r="AE390" s="319"/>
      <c r="AF390" s="319"/>
      <c r="AG390" s="319"/>
      <c r="AH390" s="319"/>
      <c r="AI390" s="319"/>
      <c r="AJ390" s="319"/>
      <c r="AK390" s="319"/>
      <c r="AL390" s="319"/>
      <c r="AM390" s="319"/>
      <c r="AN390" s="319"/>
      <c r="AO390" s="319"/>
      <c r="AP390" s="319"/>
      <c r="AQ390" s="319"/>
      <c r="AR390" s="319"/>
      <c r="AS390" s="319"/>
      <c r="AT390" s="319"/>
      <c r="AU390" s="319"/>
      <c r="AV390" s="319"/>
      <c r="AW390" s="319"/>
      <c r="AX390" s="319"/>
      <c r="AY390" s="319"/>
      <c r="AZ390" s="319"/>
      <c r="BA390" s="319"/>
      <c r="BB390" s="319"/>
      <c r="BC390" s="319"/>
      <c r="BD390" s="319"/>
      <c r="BE390" s="319"/>
      <c r="BF390" s="3"/>
    </row>
    <row r="391" spans="1:58" ht="14.25" customHeight="1" x14ac:dyDescent="0.45">
      <c r="A391" s="618"/>
      <c r="B391" s="215"/>
      <c r="C391" s="220"/>
      <c r="D391" s="243" t="s">
        <v>354</v>
      </c>
      <c r="E391" s="243"/>
      <c r="F391" s="243"/>
      <c r="G391" s="243"/>
      <c r="H391" s="319"/>
      <c r="I391" s="319"/>
      <c r="J391" s="319"/>
      <c r="K391" s="319"/>
      <c r="L391" s="319"/>
      <c r="M391" s="319"/>
      <c r="N391" s="319"/>
      <c r="O391" s="319"/>
      <c r="P391" s="319"/>
      <c r="Q391" s="319"/>
      <c r="R391" s="319"/>
      <c r="S391" s="319"/>
      <c r="T391" s="319"/>
      <c r="U391" s="319"/>
      <c r="V391" s="319"/>
      <c r="W391" s="319"/>
      <c r="X391" s="319"/>
      <c r="Y391" s="319"/>
      <c r="Z391" s="319"/>
      <c r="AA391" s="319"/>
      <c r="AB391" s="319"/>
      <c r="AC391" s="319"/>
      <c r="AD391" s="319"/>
      <c r="AE391" s="319"/>
      <c r="AF391" s="319"/>
      <c r="AG391" s="319"/>
      <c r="AH391" s="319"/>
      <c r="AI391" s="319"/>
      <c r="AJ391" s="319"/>
      <c r="AK391" s="319"/>
      <c r="AL391" s="319"/>
      <c r="AM391" s="319"/>
      <c r="AN391" s="319"/>
      <c r="AO391" s="319"/>
      <c r="AP391" s="319"/>
      <c r="AQ391" s="319"/>
      <c r="AR391" s="319"/>
      <c r="AS391" s="319"/>
      <c r="AT391" s="319"/>
      <c r="AU391" s="319"/>
      <c r="AV391" s="319"/>
      <c r="AW391" s="319"/>
      <c r="AX391" s="319"/>
      <c r="AY391" s="319"/>
      <c r="AZ391" s="319"/>
      <c r="BA391" s="319"/>
      <c r="BB391" s="319"/>
      <c r="BC391" s="319"/>
      <c r="BD391" s="319"/>
      <c r="BE391" s="319"/>
      <c r="BF391" s="3"/>
    </row>
    <row r="392" spans="1:58" ht="14.25" customHeight="1" x14ac:dyDescent="0.45">
      <c r="A392" s="618"/>
      <c r="B392" s="215"/>
      <c r="C392" s="220"/>
      <c r="D392" s="224" t="s">
        <v>339</v>
      </c>
      <c r="E392" s="295">
        <f t="shared" ref="E392:H411" si="11">ROUND(IFERROR(E294/($E$348*0.0036*E49*$F$348),0),4)</f>
        <v>0</v>
      </c>
      <c r="F392" s="295">
        <f t="shared" si="11"/>
        <v>0</v>
      </c>
      <c r="G392" s="295">
        <f t="shared" si="11"/>
        <v>0</v>
      </c>
      <c r="H392" s="295">
        <f t="shared" si="11"/>
        <v>0</v>
      </c>
      <c r="I392" s="319">
        <v>0</v>
      </c>
      <c r="J392" s="319">
        <v>0</v>
      </c>
      <c r="K392" s="319">
        <v>0</v>
      </c>
      <c r="L392" s="319">
        <v>0</v>
      </c>
      <c r="M392" s="319">
        <v>0</v>
      </c>
      <c r="N392" s="319">
        <v>0</v>
      </c>
      <c r="O392" s="319">
        <v>0</v>
      </c>
      <c r="P392" s="319">
        <v>0</v>
      </c>
      <c r="Q392" s="319">
        <v>0</v>
      </c>
      <c r="R392" s="319">
        <v>0</v>
      </c>
      <c r="S392" s="319">
        <v>0</v>
      </c>
      <c r="T392" s="319">
        <v>0</v>
      </c>
      <c r="U392" s="319">
        <v>0</v>
      </c>
      <c r="V392" s="319">
        <v>0</v>
      </c>
      <c r="W392" s="319">
        <v>0</v>
      </c>
      <c r="X392" s="319">
        <v>0</v>
      </c>
      <c r="Y392" s="319">
        <v>0</v>
      </c>
      <c r="Z392" s="319">
        <v>0</v>
      </c>
      <c r="AA392" s="319">
        <v>0</v>
      </c>
      <c r="AB392" s="319">
        <v>0</v>
      </c>
      <c r="AC392" s="319">
        <v>0</v>
      </c>
      <c r="AD392" s="319">
        <v>0</v>
      </c>
      <c r="AE392" s="319">
        <v>0</v>
      </c>
      <c r="AF392" s="319">
        <v>0</v>
      </c>
      <c r="AG392" s="319">
        <v>0</v>
      </c>
      <c r="AH392" s="319">
        <v>0</v>
      </c>
      <c r="AI392" s="319">
        <v>0</v>
      </c>
      <c r="AJ392" s="319">
        <v>0</v>
      </c>
      <c r="AK392" s="319">
        <v>0</v>
      </c>
      <c r="AL392" s="319">
        <v>0</v>
      </c>
      <c r="AM392" s="319">
        <v>0</v>
      </c>
      <c r="AN392" s="319">
        <v>0</v>
      </c>
      <c r="AO392" s="319">
        <v>0</v>
      </c>
      <c r="AP392" s="319">
        <v>0</v>
      </c>
      <c r="AQ392" s="319">
        <v>0</v>
      </c>
      <c r="AR392" s="319">
        <v>0</v>
      </c>
      <c r="AS392" s="319">
        <v>0</v>
      </c>
      <c r="AT392" s="319">
        <v>0</v>
      </c>
      <c r="AU392" s="319">
        <v>0</v>
      </c>
      <c r="AV392" s="319">
        <v>0</v>
      </c>
      <c r="AW392" s="319">
        <v>0</v>
      </c>
      <c r="AX392" s="319">
        <v>0</v>
      </c>
      <c r="AY392" s="319">
        <v>0</v>
      </c>
      <c r="AZ392" s="319">
        <v>0</v>
      </c>
      <c r="BA392" s="319">
        <v>0</v>
      </c>
      <c r="BB392" s="319">
        <v>0</v>
      </c>
      <c r="BC392" s="319">
        <v>0</v>
      </c>
      <c r="BD392" s="319">
        <v>0</v>
      </c>
      <c r="BE392" s="319">
        <v>0</v>
      </c>
      <c r="BF392" s="3"/>
    </row>
    <row r="393" spans="1:58" ht="14.25" customHeight="1" x14ac:dyDescent="0.45">
      <c r="A393" s="618"/>
      <c r="B393" s="215"/>
      <c r="C393" s="220"/>
      <c r="D393" s="224" t="s">
        <v>340</v>
      </c>
      <c r="E393" s="295">
        <f t="shared" si="11"/>
        <v>0.16930000000000001</v>
      </c>
      <c r="F393" s="295">
        <f t="shared" si="11"/>
        <v>0.14319999999999999</v>
      </c>
      <c r="G393" s="295">
        <f t="shared" si="11"/>
        <v>0.1411</v>
      </c>
      <c r="H393" s="295">
        <f t="shared" si="11"/>
        <v>5.04E-2</v>
      </c>
      <c r="I393" s="319">
        <v>0.17</v>
      </c>
      <c r="J393" s="319">
        <v>0.17</v>
      </c>
      <c r="K393" s="319">
        <v>0.17</v>
      </c>
      <c r="L393" s="319">
        <v>0.17</v>
      </c>
      <c r="M393" s="319">
        <v>0.17</v>
      </c>
      <c r="N393" s="319">
        <v>0.17</v>
      </c>
      <c r="O393" s="319">
        <v>0.17</v>
      </c>
      <c r="P393" s="319">
        <v>0.17</v>
      </c>
      <c r="Q393" s="319">
        <v>0.17</v>
      </c>
      <c r="R393" s="319">
        <v>0.17</v>
      </c>
      <c r="S393" s="319">
        <v>0.17</v>
      </c>
      <c r="T393" s="319">
        <v>0.17</v>
      </c>
      <c r="U393" s="319">
        <v>0.17</v>
      </c>
      <c r="V393" s="319">
        <v>0.17</v>
      </c>
      <c r="W393" s="319">
        <v>0.17</v>
      </c>
      <c r="X393" s="319">
        <v>0.17</v>
      </c>
      <c r="Y393" s="319">
        <v>0.17</v>
      </c>
      <c r="Z393" s="319">
        <v>0.17</v>
      </c>
      <c r="AA393" s="319">
        <v>0.17</v>
      </c>
      <c r="AB393" s="319">
        <v>0.17</v>
      </c>
      <c r="AC393" s="319">
        <v>0.17</v>
      </c>
      <c r="AD393" s="319">
        <v>0.17</v>
      </c>
      <c r="AE393" s="319">
        <v>0.17</v>
      </c>
      <c r="AF393" s="319">
        <v>0.17</v>
      </c>
      <c r="AG393" s="319">
        <v>0.17</v>
      </c>
      <c r="AH393" s="319">
        <v>0.17</v>
      </c>
      <c r="AI393" s="319">
        <v>0.17</v>
      </c>
      <c r="AJ393" s="319">
        <v>0.17</v>
      </c>
      <c r="AK393" s="319">
        <v>0.17</v>
      </c>
      <c r="AL393" s="319">
        <v>0.17</v>
      </c>
      <c r="AM393" s="319">
        <v>0.17</v>
      </c>
      <c r="AN393" s="319">
        <v>0.17</v>
      </c>
      <c r="AO393" s="319">
        <v>0.17</v>
      </c>
      <c r="AP393" s="319">
        <v>0.17</v>
      </c>
      <c r="AQ393" s="319">
        <v>0.17</v>
      </c>
      <c r="AR393" s="319">
        <v>0.17</v>
      </c>
      <c r="AS393" s="319">
        <v>0.17</v>
      </c>
      <c r="AT393" s="319">
        <v>0.17</v>
      </c>
      <c r="AU393" s="319">
        <v>0.17</v>
      </c>
      <c r="AV393" s="319">
        <v>0.17</v>
      </c>
      <c r="AW393" s="319">
        <v>0.17</v>
      </c>
      <c r="AX393" s="319">
        <v>0.17</v>
      </c>
      <c r="AY393" s="319">
        <v>0.17</v>
      </c>
      <c r="AZ393" s="319">
        <v>0.17</v>
      </c>
      <c r="BA393" s="319">
        <v>0.17</v>
      </c>
      <c r="BB393" s="319">
        <v>0.17</v>
      </c>
      <c r="BC393" s="319">
        <v>0.17</v>
      </c>
      <c r="BD393" s="319">
        <v>0.17</v>
      </c>
      <c r="BE393" s="319">
        <v>0.17</v>
      </c>
      <c r="BF393" s="3"/>
    </row>
    <row r="394" spans="1:58" ht="14.25" customHeight="1" x14ac:dyDescent="0.45">
      <c r="A394" s="618"/>
      <c r="B394" s="215"/>
      <c r="C394" s="220" t="s">
        <v>222</v>
      </c>
      <c r="D394" s="247" t="s">
        <v>223</v>
      </c>
      <c r="E394" s="306">
        <f t="shared" si="11"/>
        <v>0.16930000000000001</v>
      </c>
      <c r="F394" s="306">
        <f t="shared" si="11"/>
        <v>0.14319999999999999</v>
      </c>
      <c r="G394" s="306">
        <f t="shared" si="11"/>
        <v>0.1411</v>
      </c>
      <c r="H394" s="306">
        <f t="shared" si="11"/>
        <v>5.04E-2</v>
      </c>
      <c r="I394" s="319">
        <v>0.17</v>
      </c>
      <c r="J394" s="319">
        <v>0.17</v>
      </c>
      <c r="K394" s="319">
        <v>0.17</v>
      </c>
      <c r="L394" s="319">
        <v>0.17</v>
      </c>
      <c r="M394" s="319">
        <v>0.17</v>
      </c>
      <c r="N394" s="319">
        <v>0.17</v>
      </c>
      <c r="O394" s="319">
        <v>0.17</v>
      </c>
      <c r="P394" s="319">
        <v>0.17</v>
      </c>
      <c r="Q394" s="319">
        <v>0.17</v>
      </c>
      <c r="R394" s="319">
        <v>0.17</v>
      </c>
      <c r="S394" s="319">
        <v>0.17</v>
      </c>
      <c r="T394" s="319">
        <v>0.17</v>
      </c>
      <c r="U394" s="319">
        <v>0.17</v>
      </c>
      <c r="V394" s="319">
        <v>0.17</v>
      </c>
      <c r="W394" s="319">
        <v>0.17</v>
      </c>
      <c r="X394" s="319">
        <v>0.17</v>
      </c>
      <c r="Y394" s="319">
        <v>0.17</v>
      </c>
      <c r="Z394" s="319">
        <v>0.17</v>
      </c>
      <c r="AA394" s="319">
        <v>0.17</v>
      </c>
      <c r="AB394" s="319">
        <v>0.17</v>
      </c>
      <c r="AC394" s="319">
        <v>0.17</v>
      </c>
      <c r="AD394" s="319">
        <v>0.17</v>
      </c>
      <c r="AE394" s="319">
        <v>0.17</v>
      </c>
      <c r="AF394" s="319">
        <v>0.17</v>
      </c>
      <c r="AG394" s="319">
        <v>0.17</v>
      </c>
      <c r="AH394" s="319">
        <v>0.17</v>
      </c>
      <c r="AI394" s="319">
        <v>0.17</v>
      </c>
      <c r="AJ394" s="319">
        <v>0.17</v>
      </c>
      <c r="AK394" s="319">
        <v>0.17</v>
      </c>
      <c r="AL394" s="319">
        <v>0.17</v>
      </c>
      <c r="AM394" s="319">
        <v>0.17</v>
      </c>
      <c r="AN394" s="319">
        <v>0.17</v>
      </c>
      <c r="AO394" s="319">
        <v>0.17</v>
      </c>
      <c r="AP394" s="319">
        <v>0.17</v>
      </c>
      <c r="AQ394" s="319">
        <v>0.17</v>
      </c>
      <c r="AR394" s="319">
        <v>0.17</v>
      </c>
      <c r="AS394" s="319">
        <v>0.17</v>
      </c>
      <c r="AT394" s="319">
        <v>0.17</v>
      </c>
      <c r="AU394" s="319">
        <v>0.17</v>
      </c>
      <c r="AV394" s="319">
        <v>0.17</v>
      </c>
      <c r="AW394" s="319">
        <v>0.17</v>
      </c>
      <c r="AX394" s="319">
        <v>0.17</v>
      </c>
      <c r="AY394" s="319">
        <v>0.17</v>
      </c>
      <c r="AZ394" s="319">
        <v>0.17</v>
      </c>
      <c r="BA394" s="319">
        <v>0.17</v>
      </c>
      <c r="BB394" s="319">
        <v>0.17</v>
      </c>
      <c r="BC394" s="319">
        <v>0.17</v>
      </c>
      <c r="BD394" s="319">
        <v>0.17</v>
      </c>
      <c r="BE394" s="319">
        <v>0.17</v>
      </c>
      <c r="BF394" s="3"/>
    </row>
    <row r="395" spans="1:58" ht="14.25" customHeight="1" x14ac:dyDescent="0.45">
      <c r="A395" s="618"/>
      <c r="B395" s="215"/>
      <c r="C395" s="220"/>
      <c r="D395" s="224" t="s">
        <v>341</v>
      </c>
      <c r="E395" s="295">
        <f t="shared" si="11"/>
        <v>0.32529999999999998</v>
      </c>
      <c r="F395" s="295">
        <f t="shared" si="11"/>
        <v>0.4249</v>
      </c>
      <c r="G395" s="295">
        <f t="shared" si="11"/>
        <v>0.40439999999999998</v>
      </c>
      <c r="H395" s="295">
        <f t="shared" si="11"/>
        <v>0.37809999999999999</v>
      </c>
      <c r="I395" s="319">
        <v>0.33</v>
      </c>
      <c r="J395" s="319">
        <v>0.33</v>
      </c>
      <c r="K395" s="319">
        <v>0.33</v>
      </c>
      <c r="L395" s="319">
        <v>0.33</v>
      </c>
      <c r="M395" s="319">
        <v>0.33</v>
      </c>
      <c r="N395" s="319">
        <v>0.33</v>
      </c>
      <c r="O395" s="319">
        <v>0.33</v>
      </c>
      <c r="P395" s="319">
        <v>0.33</v>
      </c>
      <c r="Q395" s="319">
        <v>0.33</v>
      </c>
      <c r="R395" s="319">
        <v>0.33</v>
      </c>
      <c r="S395" s="319">
        <v>0.33</v>
      </c>
      <c r="T395" s="319">
        <v>0.33</v>
      </c>
      <c r="U395" s="319">
        <v>0.33</v>
      </c>
      <c r="V395" s="319">
        <v>0.33</v>
      </c>
      <c r="W395" s="319">
        <v>0.33</v>
      </c>
      <c r="X395" s="319">
        <v>0.33</v>
      </c>
      <c r="Y395" s="319">
        <v>0.33</v>
      </c>
      <c r="Z395" s="319">
        <v>0.33</v>
      </c>
      <c r="AA395" s="319">
        <v>0.33</v>
      </c>
      <c r="AB395" s="319">
        <v>0.33</v>
      </c>
      <c r="AC395" s="319">
        <v>0.33</v>
      </c>
      <c r="AD395" s="319">
        <v>0.33</v>
      </c>
      <c r="AE395" s="319">
        <v>0.33</v>
      </c>
      <c r="AF395" s="319">
        <v>0.33</v>
      </c>
      <c r="AG395" s="319">
        <v>0.33</v>
      </c>
      <c r="AH395" s="319">
        <v>0.33</v>
      </c>
      <c r="AI395" s="319">
        <v>0.33</v>
      </c>
      <c r="AJ395" s="319">
        <v>0.33</v>
      </c>
      <c r="AK395" s="319">
        <v>0.33</v>
      </c>
      <c r="AL395" s="319">
        <v>0.33</v>
      </c>
      <c r="AM395" s="319">
        <v>0.33</v>
      </c>
      <c r="AN395" s="319">
        <v>0.33</v>
      </c>
      <c r="AO395" s="319">
        <v>0.33</v>
      </c>
      <c r="AP395" s="319">
        <v>0.33</v>
      </c>
      <c r="AQ395" s="319">
        <v>0.33</v>
      </c>
      <c r="AR395" s="319">
        <v>0.33</v>
      </c>
      <c r="AS395" s="319">
        <v>0.33</v>
      </c>
      <c r="AT395" s="319">
        <v>0.33</v>
      </c>
      <c r="AU395" s="319">
        <v>0.33</v>
      </c>
      <c r="AV395" s="319">
        <v>0.33</v>
      </c>
      <c r="AW395" s="319">
        <v>0.33</v>
      </c>
      <c r="AX395" s="319">
        <v>0.33</v>
      </c>
      <c r="AY395" s="319">
        <v>0.33</v>
      </c>
      <c r="AZ395" s="319">
        <v>0.33</v>
      </c>
      <c r="BA395" s="319">
        <v>0.33</v>
      </c>
      <c r="BB395" s="319">
        <v>0.33</v>
      </c>
      <c r="BC395" s="319">
        <v>0.33</v>
      </c>
      <c r="BD395" s="319">
        <v>0.33</v>
      </c>
      <c r="BE395" s="319">
        <v>0.33</v>
      </c>
      <c r="BF395" s="3"/>
    </row>
    <row r="396" spans="1:58" ht="14.25" customHeight="1" x14ac:dyDescent="0.45">
      <c r="A396" s="618"/>
      <c r="B396" s="215"/>
      <c r="C396" s="220"/>
      <c r="D396" s="228" t="s">
        <v>224</v>
      </c>
      <c r="E396" s="229">
        <f t="shared" si="11"/>
        <v>0.32529999999999998</v>
      </c>
      <c r="F396" s="229">
        <f t="shared" si="11"/>
        <v>0.4249</v>
      </c>
      <c r="G396" s="229">
        <f t="shared" si="11"/>
        <v>0.40439999999999998</v>
      </c>
      <c r="H396" s="229">
        <f t="shared" si="11"/>
        <v>0.37809999999999999</v>
      </c>
      <c r="I396" s="319">
        <v>0.33</v>
      </c>
      <c r="J396" s="319">
        <v>0.33</v>
      </c>
      <c r="K396" s="319">
        <v>0.33</v>
      </c>
      <c r="L396" s="319">
        <v>0.33</v>
      </c>
      <c r="M396" s="319">
        <v>0.33</v>
      </c>
      <c r="N396" s="319">
        <v>0.33</v>
      </c>
      <c r="O396" s="319">
        <v>0.33</v>
      </c>
      <c r="P396" s="319">
        <v>0.33</v>
      </c>
      <c r="Q396" s="319">
        <v>0.33</v>
      </c>
      <c r="R396" s="319">
        <v>0.33</v>
      </c>
      <c r="S396" s="319">
        <v>0.33</v>
      </c>
      <c r="T396" s="319">
        <v>0.33</v>
      </c>
      <c r="U396" s="319">
        <v>0.33</v>
      </c>
      <c r="V396" s="319">
        <v>0.33</v>
      </c>
      <c r="W396" s="319">
        <v>0.33</v>
      </c>
      <c r="X396" s="319">
        <v>0.33</v>
      </c>
      <c r="Y396" s="319">
        <v>0.33</v>
      </c>
      <c r="Z396" s="319">
        <v>0.33</v>
      </c>
      <c r="AA396" s="319">
        <v>0.33</v>
      </c>
      <c r="AB396" s="319">
        <v>0.33</v>
      </c>
      <c r="AC396" s="319">
        <v>0.33</v>
      </c>
      <c r="AD396" s="319">
        <v>0.33</v>
      </c>
      <c r="AE396" s="319">
        <v>0.33</v>
      </c>
      <c r="AF396" s="319">
        <v>0.33</v>
      </c>
      <c r="AG396" s="319">
        <v>0.33</v>
      </c>
      <c r="AH396" s="319">
        <v>0.33</v>
      </c>
      <c r="AI396" s="319">
        <v>0.33</v>
      </c>
      <c r="AJ396" s="319">
        <v>0.33</v>
      </c>
      <c r="AK396" s="319">
        <v>0.33</v>
      </c>
      <c r="AL396" s="319">
        <v>0.33</v>
      </c>
      <c r="AM396" s="319">
        <v>0.33</v>
      </c>
      <c r="AN396" s="319">
        <v>0.33</v>
      </c>
      <c r="AO396" s="319">
        <v>0.33</v>
      </c>
      <c r="AP396" s="319">
        <v>0.33</v>
      </c>
      <c r="AQ396" s="319">
        <v>0.33</v>
      </c>
      <c r="AR396" s="319">
        <v>0.33</v>
      </c>
      <c r="AS396" s="319">
        <v>0.33</v>
      </c>
      <c r="AT396" s="319">
        <v>0.33</v>
      </c>
      <c r="AU396" s="319">
        <v>0.33</v>
      </c>
      <c r="AV396" s="319">
        <v>0.33</v>
      </c>
      <c r="AW396" s="319">
        <v>0.33</v>
      </c>
      <c r="AX396" s="319">
        <v>0.33</v>
      </c>
      <c r="AY396" s="319">
        <v>0.33</v>
      </c>
      <c r="AZ396" s="319">
        <v>0.33</v>
      </c>
      <c r="BA396" s="319">
        <v>0.33</v>
      </c>
      <c r="BB396" s="319">
        <v>0.33</v>
      </c>
      <c r="BC396" s="319">
        <v>0.33</v>
      </c>
      <c r="BD396" s="319">
        <v>0.33</v>
      </c>
      <c r="BE396" s="319">
        <v>0.33</v>
      </c>
      <c r="BF396" s="3"/>
    </row>
    <row r="397" spans="1:58" ht="14.25" customHeight="1" x14ac:dyDescent="0.45">
      <c r="A397" s="618"/>
      <c r="B397" s="215"/>
      <c r="C397" s="220"/>
      <c r="D397" s="247" t="s">
        <v>225</v>
      </c>
      <c r="E397" s="306">
        <f t="shared" si="11"/>
        <v>0</v>
      </c>
      <c r="F397" s="306">
        <f t="shared" si="11"/>
        <v>0</v>
      </c>
      <c r="G397" s="306">
        <f t="shared" si="11"/>
        <v>0</v>
      </c>
      <c r="H397" s="306">
        <f t="shared" si="11"/>
        <v>0</v>
      </c>
      <c r="I397" s="319">
        <v>0</v>
      </c>
      <c r="J397" s="319">
        <v>0</v>
      </c>
      <c r="K397" s="319">
        <v>0</v>
      </c>
      <c r="L397" s="319">
        <v>0</v>
      </c>
      <c r="M397" s="319">
        <v>0</v>
      </c>
      <c r="N397" s="319">
        <v>0</v>
      </c>
      <c r="O397" s="319">
        <v>0</v>
      </c>
      <c r="P397" s="319">
        <v>0</v>
      </c>
      <c r="Q397" s="319">
        <v>0</v>
      </c>
      <c r="R397" s="319">
        <v>0</v>
      </c>
      <c r="S397" s="319">
        <v>0</v>
      </c>
      <c r="T397" s="319">
        <v>0</v>
      </c>
      <c r="U397" s="319">
        <v>0</v>
      </c>
      <c r="V397" s="319">
        <v>0</v>
      </c>
      <c r="W397" s="319">
        <v>0</v>
      </c>
      <c r="X397" s="319">
        <v>0</v>
      </c>
      <c r="Y397" s="319">
        <v>0</v>
      </c>
      <c r="Z397" s="319">
        <v>0</v>
      </c>
      <c r="AA397" s="319">
        <v>0</v>
      </c>
      <c r="AB397" s="319">
        <v>0</v>
      </c>
      <c r="AC397" s="319">
        <v>0</v>
      </c>
      <c r="AD397" s="319">
        <v>0</v>
      </c>
      <c r="AE397" s="319">
        <v>0</v>
      </c>
      <c r="AF397" s="319">
        <v>0</v>
      </c>
      <c r="AG397" s="319">
        <v>0</v>
      </c>
      <c r="AH397" s="319">
        <v>0</v>
      </c>
      <c r="AI397" s="319">
        <v>0</v>
      </c>
      <c r="AJ397" s="319">
        <v>0</v>
      </c>
      <c r="AK397" s="319">
        <v>0</v>
      </c>
      <c r="AL397" s="319">
        <v>0</v>
      </c>
      <c r="AM397" s="319">
        <v>0</v>
      </c>
      <c r="AN397" s="319">
        <v>0</v>
      </c>
      <c r="AO397" s="319">
        <v>0</v>
      </c>
      <c r="AP397" s="319">
        <v>0</v>
      </c>
      <c r="AQ397" s="319">
        <v>0</v>
      </c>
      <c r="AR397" s="319">
        <v>0</v>
      </c>
      <c r="AS397" s="319">
        <v>0</v>
      </c>
      <c r="AT397" s="319">
        <v>0</v>
      </c>
      <c r="AU397" s="319">
        <v>0</v>
      </c>
      <c r="AV397" s="319">
        <v>0</v>
      </c>
      <c r="AW397" s="319">
        <v>0</v>
      </c>
      <c r="AX397" s="319">
        <v>0</v>
      </c>
      <c r="AY397" s="319">
        <v>0</v>
      </c>
      <c r="AZ397" s="319">
        <v>0</v>
      </c>
      <c r="BA397" s="319">
        <v>0</v>
      </c>
      <c r="BB397" s="319">
        <v>0</v>
      </c>
      <c r="BC397" s="319">
        <v>0</v>
      </c>
      <c r="BD397" s="319">
        <v>0</v>
      </c>
      <c r="BE397" s="319">
        <v>0</v>
      </c>
      <c r="BF397" s="3"/>
    </row>
    <row r="398" spans="1:58" ht="14.25" customHeight="1" x14ac:dyDescent="0.45">
      <c r="A398" s="618"/>
      <c r="B398" s="215"/>
      <c r="C398" s="220" t="s">
        <v>226</v>
      </c>
      <c r="D398" s="221" t="s">
        <v>227</v>
      </c>
      <c r="E398" s="232">
        <f t="shared" si="11"/>
        <v>0.49480000000000002</v>
      </c>
      <c r="F398" s="232">
        <f t="shared" si="11"/>
        <v>0.58289999999999997</v>
      </c>
      <c r="G398" s="232">
        <f t="shared" si="11"/>
        <v>0.505</v>
      </c>
      <c r="H398" s="232">
        <f t="shared" si="11"/>
        <v>0.37169999999999997</v>
      </c>
      <c r="I398" s="319">
        <v>0.49</v>
      </c>
      <c r="J398" s="319">
        <v>0.49</v>
      </c>
      <c r="K398" s="319">
        <v>0.49</v>
      </c>
      <c r="L398" s="319">
        <v>0.49</v>
      </c>
      <c r="M398" s="319">
        <v>0.49</v>
      </c>
      <c r="N398" s="319">
        <v>0.49</v>
      </c>
      <c r="O398" s="319">
        <v>0.49</v>
      </c>
      <c r="P398" s="319">
        <v>0.49</v>
      </c>
      <c r="Q398" s="319">
        <v>0.49</v>
      </c>
      <c r="R398" s="319">
        <v>0.49</v>
      </c>
      <c r="S398" s="319">
        <v>0.49</v>
      </c>
      <c r="T398" s="319">
        <v>0.49</v>
      </c>
      <c r="U398" s="319">
        <v>0.49</v>
      </c>
      <c r="V398" s="319">
        <v>0.49</v>
      </c>
      <c r="W398" s="319">
        <v>0.49</v>
      </c>
      <c r="X398" s="319">
        <v>0.49</v>
      </c>
      <c r="Y398" s="319">
        <v>0.49</v>
      </c>
      <c r="Z398" s="319">
        <v>0.49</v>
      </c>
      <c r="AA398" s="319">
        <v>0.49</v>
      </c>
      <c r="AB398" s="319">
        <v>0.49</v>
      </c>
      <c r="AC398" s="319">
        <v>0.49</v>
      </c>
      <c r="AD398" s="319">
        <v>0.49</v>
      </c>
      <c r="AE398" s="319">
        <v>0.49</v>
      </c>
      <c r="AF398" s="319">
        <v>0.49</v>
      </c>
      <c r="AG398" s="319">
        <v>0.49</v>
      </c>
      <c r="AH398" s="319">
        <v>0.49</v>
      </c>
      <c r="AI398" s="319">
        <v>0.49</v>
      </c>
      <c r="AJ398" s="319">
        <v>0.49</v>
      </c>
      <c r="AK398" s="319">
        <v>0.49</v>
      </c>
      <c r="AL398" s="319">
        <v>0.49</v>
      </c>
      <c r="AM398" s="319">
        <v>0.49</v>
      </c>
      <c r="AN398" s="319">
        <v>0.49</v>
      </c>
      <c r="AO398" s="319">
        <v>0.49</v>
      </c>
      <c r="AP398" s="319">
        <v>0.49</v>
      </c>
      <c r="AQ398" s="319">
        <v>0.49</v>
      </c>
      <c r="AR398" s="319">
        <v>0.49</v>
      </c>
      <c r="AS398" s="319">
        <v>0.49</v>
      </c>
      <c r="AT398" s="319">
        <v>0.49</v>
      </c>
      <c r="AU398" s="319">
        <v>0.49</v>
      </c>
      <c r="AV398" s="319">
        <v>0.49</v>
      </c>
      <c r="AW398" s="319">
        <v>0.49</v>
      </c>
      <c r="AX398" s="319">
        <v>0.49</v>
      </c>
      <c r="AY398" s="319">
        <v>0.49</v>
      </c>
      <c r="AZ398" s="319">
        <v>0.49</v>
      </c>
      <c r="BA398" s="319">
        <v>0.49</v>
      </c>
      <c r="BB398" s="319">
        <v>0.49</v>
      </c>
      <c r="BC398" s="319">
        <v>0.49</v>
      </c>
      <c r="BD398" s="319">
        <v>0.49</v>
      </c>
      <c r="BE398" s="319">
        <v>0.49</v>
      </c>
      <c r="BF398" s="3"/>
    </row>
    <row r="399" spans="1:58" ht="14.25" customHeight="1" x14ac:dyDescent="0.45">
      <c r="A399" s="618"/>
      <c r="B399" s="215"/>
      <c r="C399" s="220" t="s">
        <v>228</v>
      </c>
      <c r="D399" s="221" t="s">
        <v>229</v>
      </c>
      <c r="E399" s="232">
        <f t="shared" si="11"/>
        <v>0.42459999999999998</v>
      </c>
      <c r="F399" s="232">
        <f t="shared" si="11"/>
        <v>0.47670000000000001</v>
      </c>
      <c r="G399" s="232">
        <f t="shared" si="11"/>
        <v>0.6381</v>
      </c>
      <c r="H399" s="232">
        <f t="shared" si="11"/>
        <v>0.63149999999999995</v>
      </c>
      <c r="I399" s="319">
        <v>0.42</v>
      </c>
      <c r="J399" s="319">
        <v>0.42</v>
      </c>
      <c r="K399" s="319">
        <v>0.42</v>
      </c>
      <c r="L399" s="319">
        <v>0.42</v>
      </c>
      <c r="M399" s="319">
        <v>0.42</v>
      </c>
      <c r="N399" s="319">
        <v>0.42</v>
      </c>
      <c r="O399" s="319">
        <v>0.42</v>
      </c>
      <c r="P399" s="319">
        <v>0.42</v>
      </c>
      <c r="Q399" s="319">
        <v>0.42</v>
      </c>
      <c r="R399" s="319">
        <v>0.42</v>
      </c>
      <c r="S399" s="319">
        <v>0.42</v>
      </c>
      <c r="T399" s="319">
        <v>0.42</v>
      </c>
      <c r="U399" s="319">
        <v>0.42</v>
      </c>
      <c r="V399" s="319">
        <v>0.42</v>
      </c>
      <c r="W399" s="319">
        <v>0.42</v>
      </c>
      <c r="X399" s="319">
        <v>0.42</v>
      </c>
      <c r="Y399" s="319">
        <v>0.42</v>
      </c>
      <c r="Z399" s="319">
        <v>0.42</v>
      </c>
      <c r="AA399" s="319">
        <v>0.42</v>
      </c>
      <c r="AB399" s="319">
        <v>0.42</v>
      </c>
      <c r="AC399" s="319">
        <v>0.42</v>
      </c>
      <c r="AD399" s="319">
        <v>0.42</v>
      </c>
      <c r="AE399" s="319">
        <v>0.42</v>
      </c>
      <c r="AF399" s="319">
        <v>0.42</v>
      </c>
      <c r="AG399" s="319">
        <v>0.42</v>
      </c>
      <c r="AH399" s="319">
        <v>0.42</v>
      </c>
      <c r="AI399" s="319">
        <v>0.42</v>
      </c>
      <c r="AJ399" s="319">
        <v>0.42</v>
      </c>
      <c r="AK399" s="319">
        <v>0.42</v>
      </c>
      <c r="AL399" s="319">
        <v>0.42</v>
      </c>
      <c r="AM399" s="319">
        <v>0.42</v>
      </c>
      <c r="AN399" s="319">
        <v>0.42</v>
      </c>
      <c r="AO399" s="319">
        <v>0.42</v>
      </c>
      <c r="AP399" s="319">
        <v>0.42</v>
      </c>
      <c r="AQ399" s="319">
        <v>0.42</v>
      </c>
      <c r="AR399" s="319">
        <v>0.42</v>
      </c>
      <c r="AS399" s="319">
        <v>0.42</v>
      </c>
      <c r="AT399" s="319">
        <v>0.42</v>
      </c>
      <c r="AU399" s="319">
        <v>0.42</v>
      </c>
      <c r="AV399" s="319">
        <v>0.42</v>
      </c>
      <c r="AW399" s="319">
        <v>0.42</v>
      </c>
      <c r="AX399" s="319">
        <v>0.42</v>
      </c>
      <c r="AY399" s="319">
        <v>0.42</v>
      </c>
      <c r="AZ399" s="319">
        <v>0.42</v>
      </c>
      <c r="BA399" s="319">
        <v>0.42</v>
      </c>
      <c r="BB399" s="319">
        <v>0.42</v>
      </c>
      <c r="BC399" s="319">
        <v>0.42</v>
      </c>
      <c r="BD399" s="319">
        <v>0.42</v>
      </c>
      <c r="BE399" s="319">
        <v>0.42</v>
      </c>
      <c r="BF399" s="3"/>
    </row>
    <row r="400" spans="1:58" ht="14.25" customHeight="1" x14ac:dyDescent="0.45">
      <c r="A400" s="618"/>
      <c r="B400" s="215"/>
      <c r="C400" s="220"/>
      <c r="D400" s="247" t="s">
        <v>230</v>
      </c>
      <c r="E400" s="306">
        <f t="shared" si="11"/>
        <v>0</v>
      </c>
      <c r="F400" s="306">
        <f t="shared" si="11"/>
        <v>0</v>
      </c>
      <c r="G400" s="306">
        <f t="shared" si="11"/>
        <v>0</v>
      </c>
      <c r="H400" s="306">
        <f t="shared" si="11"/>
        <v>0</v>
      </c>
      <c r="I400" s="319">
        <v>0</v>
      </c>
      <c r="J400" s="319">
        <v>0</v>
      </c>
      <c r="K400" s="319">
        <v>0</v>
      </c>
      <c r="L400" s="319">
        <v>0</v>
      </c>
      <c r="M400" s="319">
        <v>0</v>
      </c>
      <c r="N400" s="319">
        <v>0</v>
      </c>
      <c r="O400" s="319">
        <v>0</v>
      </c>
      <c r="P400" s="319">
        <v>0</v>
      </c>
      <c r="Q400" s="319">
        <v>0</v>
      </c>
      <c r="R400" s="319">
        <v>0</v>
      </c>
      <c r="S400" s="319">
        <v>0</v>
      </c>
      <c r="T400" s="319">
        <v>0</v>
      </c>
      <c r="U400" s="319">
        <v>0</v>
      </c>
      <c r="V400" s="319">
        <v>0</v>
      </c>
      <c r="W400" s="319">
        <v>0</v>
      </c>
      <c r="X400" s="319">
        <v>0</v>
      </c>
      <c r="Y400" s="319">
        <v>0</v>
      </c>
      <c r="Z400" s="319">
        <v>0</v>
      </c>
      <c r="AA400" s="319">
        <v>0</v>
      </c>
      <c r="AB400" s="319">
        <v>0</v>
      </c>
      <c r="AC400" s="319">
        <v>0</v>
      </c>
      <c r="AD400" s="319">
        <v>0</v>
      </c>
      <c r="AE400" s="319">
        <v>0</v>
      </c>
      <c r="AF400" s="319">
        <v>0</v>
      </c>
      <c r="AG400" s="319">
        <v>0</v>
      </c>
      <c r="AH400" s="319">
        <v>0</v>
      </c>
      <c r="AI400" s="319">
        <v>0</v>
      </c>
      <c r="AJ400" s="319">
        <v>0</v>
      </c>
      <c r="AK400" s="319">
        <v>0</v>
      </c>
      <c r="AL400" s="319">
        <v>0</v>
      </c>
      <c r="AM400" s="319">
        <v>0</v>
      </c>
      <c r="AN400" s="319">
        <v>0</v>
      </c>
      <c r="AO400" s="319">
        <v>0</v>
      </c>
      <c r="AP400" s="319">
        <v>0</v>
      </c>
      <c r="AQ400" s="319">
        <v>0</v>
      </c>
      <c r="AR400" s="319">
        <v>0</v>
      </c>
      <c r="AS400" s="319">
        <v>0</v>
      </c>
      <c r="AT400" s="319">
        <v>0</v>
      </c>
      <c r="AU400" s="319">
        <v>0</v>
      </c>
      <c r="AV400" s="319">
        <v>0</v>
      </c>
      <c r="AW400" s="319">
        <v>0</v>
      </c>
      <c r="AX400" s="319">
        <v>0</v>
      </c>
      <c r="AY400" s="319">
        <v>0</v>
      </c>
      <c r="AZ400" s="319">
        <v>0</v>
      </c>
      <c r="BA400" s="319">
        <v>0</v>
      </c>
      <c r="BB400" s="319">
        <v>0</v>
      </c>
      <c r="BC400" s="319">
        <v>0</v>
      </c>
      <c r="BD400" s="319">
        <v>0</v>
      </c>
      <c r="BE400" s="319">
        <v>0</v>
      </c>
      <c r="BF400" s="3"/>
    </row>
    <row r="401" spans="1:58" ht="14.25" customHeight="1" x14ac:dyDescent="0.45">
      <c r="A401" s="618"/>
      <c r="B401" s="215"/>
      <c r="C401" s="220" t="s">
        <v>231</v>
      </c>
      <c r="D401" s="221" t="s">
        <v>227</v>
      </c>
      <c r="E401" s="239">
        <f t="shared" si="11"/>
        <v>8.2900000000000001E-2</v>
      </c>
      <c r="F401" s="239">
        <f t="shared" si="11"/>
        <v>0.2581</v>
      </c>
      <c r="G401" s="239">
        <f t="shared" si="11"/>
        <v>7.1000000000000004E-3</v>
      </c>
      <c r="H401" s="239">
        <f t="shared" si="11"/>
        <v>1.44E-2</v>
      </c>
      <c r="I401" s="319">
        <v>0.08</v>
      </c>
      <c r="J401" s="319">
        <v>0.08</v>
      </c>
      <c r="K401" s="319">
        <v>0.08</v>
      </c>
      <c r="L401" s="319">
        <v>0.08</v>
      </c>
      <c r="M401" s="319">
        <v>0.08</v>
      </c>
      <c r="N401" s="319">
        <v>0.08</v>
      </c>
      <c r="O401" s="319">
        <v>0.08</v>
      </c>
      <c r="P401" s="319">
        <v>0.08</v>
      </c>
      <c r="Q401" s="319">
        <v>0.08</v>
      </c>
      <c r="R401" s="319">
        <v>0.08</v>
      </c>
      <c r="S401" s="319">
        <v>0.08</v>
      </c>
      <c r="T401" s="319">
        <v>0.08</v>
      </c>
      <c r="U401" s="319">
        <v>0.08</v>
      </c>
      <c r="V401" s="319">
        <v>0.08</v>
      </c>
      <c r="W401" s="319">
        <v>0.08</v>
      </c>
      <c r="X401" s="319">
        <v>0.08</v>
      </c>
      <c r="Y401" s="319">
        <v>0.08</v>
      </c>
      <c r="Z401" s="319">
        <v>0.08</v>
      </c>
      <c r="AA401" s="319">
        <v>0.08</v>
      </c>
      <c r="AB401" s="319">
        <v>0.08</v>
      </c>
      <c r="AC401" s="319">
        <v>0.08</v>
      </c>
      <c r="AD401" s="319">
        <v>0.08</v>
      </c>
      <c r="AE401" s="319">
        <v>0.08</v>
      </c>
      <c r="AF401" s="319">
        <v>0.08</v>
      </c>
      <c r="AG401" s="319">
        <v>0.08</v>
      </c>
      <c r="AH401" s="319">
        <v>0.08</v>
      </c>
      <c r="AI401" s="319">
        <v>0.08</v>
      </c>
      <c r="AJ401" s="319">
        <v>0.08</v>
      </c>
      <c r="AK401" s="319">
        <v>0.08</v>
      </c>
      <c r="AL401" s="319">
        <v>0.08</v>
      </c>
      <c r="AM401" s="319">
        <v>0.08</v>
      </c>
      <c r="AN401" s="319">
        <v>0.08</v>
      </c>
      <c r="AO401" s="319">
        <v>0.08</v>
      </c>
      <c r="AP401" s="319">
        <v>0.08</v>
      </c>
      <c r="AQ401" s="319">
        <v>0.08</v>
      </c>
      <c r="AR401" s="319">
        <v>0.08</v>
      </c>
      <c r="AS401" s="319">
        <v>0.08</v>
      </c>
      <c r="AT401" s="319">
        <v>0.08</v>
      </c>
      <c r="AU401" s="319">
        <v>0.08</v>
      </c>
      <c r="AV401" s="319">
        <v>0.08</v>
      </c>
      <c r="AW401" s="319">
        <v>0.08</v>
      </c>
      <c r="AX401" s="319">
        <v>0.08</v>
      </c>
      <c r="AY401" s="319">
        <v>0.08</v>
      </c>
      <c r="AZ401" s="319">
        <v>0.08</v>
      </c>
      <c r="BA401" s="319">
        <v>0.08</v>
      </c>
      <c r="BB401" s="319">
        <v>0.08</v>
      </c>
      <c r="BC401" s="319">
        <v>0.08</v>
      </c>
      <c r="BD401" s="319">
        <v>0.08</v>
      </c>
      <c r="BE401" s="319">
        <v>0.08</v>
      </c>
      <c r="BF401" s="3"/>
    </row>
    <row r="402" spans="1:58" ht="14.25" customHeight="1" x14ac:dyDescent="0.45">
      <c r="A402" s="618"/>
      <c r="B402" s="215"/>
      <c r="C402" s="220" t="s">
        <v>232</v>
      </c>
      <c r="D402" s="221" t="s">
        <v>229</v>
      </c>
      <c r="E402" s="239">
        <f t="shared" si="11"/>
        <v>0</v>
      </c>
      <c r="F402" s="239">
        <f t="shared" si="11"/>
        <v>0</v>
      </c>
      <c r="G402" s="239">
        <f t="shared" si="11"/>
        <v>0</v>
      </c>
      <c r="H402" s="239">
        <f t="shared" si="11"/>
        <v>0</v>
      </c>
      <c r="I402" s="319">
        <v>0</v>
      </c>
      <c r="J402" s="319">
        <v>0</v>
      </c>
      <c r="K402" s="319">
        <v>0</v>
      </c>
      <c r="L402" s="319">
        <v>0</v>
      </c>
      <c r="M402" s="319">
        <v>0</v>
      </c>
      <c r="N402" s="319">
        <v>0</v>
      </c>
      <c r="O402" s="319">
        <v>0</v>
      </c>
      <c r="P402" s="319">
        <v>0</v>
      </c>
      <c r="Q402" s="319">
        <v>0</v>
      </c>
      <c r="R402" s="319">
        <v>0</v>
      </c>
      <c r="S402" s="319">
        <v>0</v>
      </c>
      <c r="T402" s="319">
        <v>0</v>
      </c>
      <c r="U402" s="319">
        <v>0</v>
      </c>
      <c r="V402" s="319">
        <v>0</v>
      </c>
      <c r="W402" s="319">
        <v>0</v>
      </c>
      <c r="X402" s="319">
        <v>0</v>
      </c>
      <c r="Y402" s="319">
        <v>0</v>
      </c>
      <c r="Z402" s="319">
        <v>0</v>
      </c>
      <c r="AA402" s="319">
        <v>0</v>
      </c>
      <c r="AB402" s="319">
        <v>0</v>
      </c>
      <c r="AC402" s="319">
        <v>0</v>
      </c>
      <c r="AD402" s="319">
        <v>0</v>
      </c>
      <c r="AE402" s="319">
        <v>0</v>
      </c>
      <c r="AF402" s="319">
        <v>0</v>
      </c>
      <c r="AG402" s="319">
        <v>0</v>
      </c>
      <c r="AH402" s="319">
        <v>0</v>
      </c>
      <c r="AI402" s="319">
        <v>0</v>
      </c>
      <c r="AJ402" s="319">
        <v>0</v>
      </c>
      <c r="AK402" s="319">
        <v>0</v>
      </c>
      <c r="AL402" s="319">
        <v>0</v>
      </c>
      <c r="AM402" s="319">
        <v>0</v>
      </c>
      <c r="AN402" s="319">
        <v>0</v>
      </c>
      <c r="AO402" s="319">
        <v>0</v>
      </c>
      <c r="AP402" s="319">
        <v>0</v>
      </c>
      <c r="AQ402" s="319">
        <v>0</v>
      </c>
      <c r="AR402" s="319">
        <v>0</v>
      </c>
      <c r="AS402" s="319">
        <v>0</v>
      </c>
      <c r="AT402" s="319">
        <v>0</v>
      </c>
      <c r="AU402" s="319">
        <v>0</v>
      </c>
      <c r="AV402" s="319">
        <v>0</v>
      </c>
      <c r="AW402" s="319">
        <v>0</v>
      </c>
      <c r="AX402" s="319">
        <v>0</v>
      </c>
      <c r="AY402" s="319">
        <v>0</v>
      </c>
      <c r="AZ402" s="319">
        <v>0</v>
      </c>
      <c r="BA402" s="319">
        <v>0</v>
      </c>
      <c r="BB402" s="319">
        <v>0</v>
      </c>
      <c r="BC402" s="319">
        <v>0</v>
      </c>
      <c r="BD402" s="319">
        <v>0</v>
      </c>
      <c r="BE402" s="319">
        <v>0</v>
      </c>
      <c r="BF402" s="3"/>
    </row>
    <row r="403" spans="1:58" ht="14.25" customHeight="1" x14ac:dyDescent="0.45">
      <c r="A403" s="618"/>
      <c r="B403" s="215"/>
      <c r="C403" s="220"/>
      <c r="D403" s="224" t="s">
        <v>342</v>
      </c>
      <c r="E403" s="295">
        <f t="shared" si="11"/>
        <v>0.1255</v>
      </c>
      <c r="F403" s="295">
        <f t="shared" si="11"/>
        <v>0.17019999999999999</v>
      </c>
      <c r="G403" s="295">
        <f t="shared" si="11"/>
        <v>0.14960000000000001</v>
      </c>
      <c r="H403" s="295">
        <f t="shared" si="11"/>
        <v>0.1288</v>
      </c>
      <c r="I403" s="319">
        <v>0.13</v>
      </c>
      <c r="J403" s="319">
        <v>0.13</v>
      </c>
      <c r="K403" s="319">
        <v>0.13</v>
      </c>
      <c r="L403" s="319">
        <v>0.13</v>
      </c>
      <c r="M403" s="319">
        <v>0.13</v>
      </c>
      <c r="N403" s="319">
        <v>0.13</v>
      </c>
      <c r="O403" s="319">
        <v>0.13</v>
      </c>
      <c r="P403" s="319">
        <v>0.13</v>
      </c>
      <c r="Q403" s="319">
        <v>0.13</v>
      </c>
      <c r="R403" s="319">
        <v>0.13</v>
      </c>
      <c r="S403" s="319">
        <v>0.13</v>
      </c>
      <c r="T403" s="319">
        <v>0.13</v>
      </c>
      <c r="U403" s="319">
        <v>0.13</v>
      </c>
      <c r="V403" s="319">
        <v>0.13</v>
      </c>
      <c r="W403" s="319">
        <v>0.13</v>
      </c>
      <c r="X403" s="319">
        <v>0.13</v>
      </c>
      <c r="Y403" s="319">
        <v>0.13</v>
      </c>
      <c r="Z403" s="319">
        <v>0.13</v>
      </c>
      <c r="AA403" s="319">
        <v>0.13</v>
      </c>
      <c r="AB403" s="319">
        <v>0.13</v>
      </c>
      <c r="AC403" s="319">
        <v>0.13</v>
      </c>
      <c r="AD403" s="319">
        <v>0.13</v>
      </c>
      <c r="AE403" s="319">
        <v>0.13</v>
      </c>
      <c r="AF403" s="319">
        <v>0.13</v>
      </c>
      <c r="AG403" s="319">
        <v>0.13</v>
      </c>
      <c r="AH403" s="319">
        <v>0.13</v>
      </c>
      <c r="AI403" s="319">
        <v>0.13</v>
      </c>
      <c r="AJ403" s="319">
        <v>0.13</v>
      </c>
      <c r="AK403" s="319">
        <v>0.13</v>
      </c>
      <c r="AL403" s="319">
        <v>0.13</v>
      </c>
      <c r="AM403" s="319">
        <v>0.13</v>
      </c>
      <c r="AN403" s="319">
        <v>0.13</v>
      </c>
      <c r="AO403" s="319">
        <v>0.13</v>
      </c>
      <c r="AP403" s="319">
        <v>0.13</v>
      </c>
      <c r="AQ403" s="319">
        <v>0.13</v>
      </c>
      <c r="AR403" s="319">
        <v>0.13</v>
      </c>
      <c r="AS403" s="319">
        <v>0.13</v>
      </c>
      <c r="AT403" s="319">
        <v>0.13</v>
      </c>
      <c r="AU403" s="319">
        <v>0.13</v>
      </c>
      <c r="AV403" s="319">
        <v>0.13</v>
      </c>
      <c r="AW403" s="319">
        <v>0.13</v>
      </c>
      <c r="AX403" s="319">
        <v>0.13</v>
      </c>
      <c r="AY403" s="319">
        <v>0.13</v>
      </c>
      <c r="AZ403" s="319">
        <v>0.13</v>
      </c>
      <c r="BA403" s="319">
        <v>0.13</v>
      </c>
      <c r="BB403" s="319">
        <v>0.13</v>
      </c>
      <c r="BC403" s="319">
        <v>0.13</v>
      </c>
      <c r="BD403" s="319">
        <v>0.13</v>
      </c>
      <c r="BE403" s="319">
        <v>0.13</v>
      </c>
      <c r="BF403" s="3"/>
    </row>
    <row r="404" spans="1:58" ht="14.25" customHeight="1" x14ac:dyDescent="0.45">
      <c r="A404" s="618"/>
      <c r="B404" s="215"/>
      <c r="C404" s="220" t="s">
        <v>233</v>
      </c>
      <c r="D404" s="247" t="s">
        <v>223</v>
      </c>
      <c r="E404" s="307">
        <f t="shared" si="11"/>
        <v>3.49E-2</v>
      </c>
      <c r="F404" s="307">
        <f t="shared" si="11"/>
        <v>3.3500000000000002E-2</v>
      </c>
      <c r="G404" s="307">
        <f t="shared" si="11"/>
        <v>3.4200000000000001E-2</v>
      </c>
      <c r="H404" s="307">
        <f t="shared" si="11"/>
        <v>3.39E-2</v>
      </c>
      <c r="I404" s="319">
        <v>0.03</v>
      </c>
      <c r="J404" s="319">
        <v>0.03</v>
      </c>
      <c r="K404" s="319">
        <v>0.03</v>
      </c>
      <c r="L404" s="319">
        <v>0.03</v>
      </c>
      <c r="M404" s="319">
        <v>0.03</v>
      </c>
      <c r="N404" s="319">
        <v>0.03</v>
      </c>
      <c r="O404" s="319">
        <v>0.03</v>
      </c>
      <c r="P404" s="319">
        <v>0.03</v>
      </c>
      <c r="Q404" s="319">
        <v>0.03</v>
      </c>
      <c r="R404" s="319">
        <v>0.03</v>
      </c>
      <c r="S404" s="319">
        <v>0.03</v>
      </c>
      <c r="T404" s="319">
        <v>0.03</v>
      </c>
      <c r="U404" s="319">
        <v>0.03</v>
      </c>
      <c r="V404" s="319">
        <v>0.03</v>
      </c>
      <c r="W404" s="319">
        <v>0.03</v>
      </c>
      <c r="X404" s="319">
        <v>0.03</v>
      </c>
      <c r="Y404" s="319">
        <v>0.03</v>
      </c>
      <c r="Z404" s="319">
        <v>0.03</v>
      </c>
      <c r="AA404" s="319">
        <v>0.03</v>
      </c>
      <c r="AB404" s="319">
        <v>0.03</v>
      </c>
      <c r="AC404" s="319">
        <v>0.03</v>
      </c>
      <c r="AD404" s="319">
        <v>0.03</v>
      </c>
      <c r="AE404" s="319">
        <v>0.03</v>
      </c>
      <c r="AF404" s="319">
        <v>0.03</v>
      </c>
      <c r="AG404" s="319">
        <v>0.03</v>
      </c>
      <c r="AH404" s="319">
        <v>0.03</v>
      </c>
      <c r="AI404" s="319">
        <v>0.03</v>
      </c>
      <c r="AJ404" s="319">
        <v>0.03</v>
      </c>
      <c r="AK404" s="319">
        <v>0.03</v>
      </c>
      <c r="AL404" s="319">
        <v>0.03</v>
      </c>
      <c r="AM404" s="319">
        <v>0.03</v>
      </c>
      <c r="AN404" s="319">
        <v>0.03</v>
      </c>
      <c r="AO404" s="319">
        <v>0.03</v>
      </c>
      <c r="AP404" s="319">
        <v>0.03</v>
      </c>
      <c r="AQ404" s="319">
        <v>0.03</v>
      </c>
      <c r="AR404" s="319">
        <v>0.03</v>
      </c>
      <c r="AS404" s="319">
        <v>0.03</v>
      </c>
      <c r="AT404" s="319">
        <v>0.03</v>
      </c>
      <c r="AU404" s="319">
        <v>0.03</v>
      </c>
      <c r="AV404" s="319">
        <v>0.03</v>
      </c>
      <c r="AW404" s="319">
        <v>0.03</v>
      </c>
      <c r="AX404" s="319">
        <v>0.03</v>
      </c>
      <c r="AY404" s="319">
        <v>0.03</v>
      </c>
      <c r="AZ404" s="319">
        <v>0.03</v>
      </c>
      <c r="BA404" s="319">
        <v>0.03</v>
      </c>
      <c r="BB404" s="319">
        <v>0.03</v>
      </c>
      <c r="BC404" s="319">
        <v>0.03</v>
      </c>
      <c r="BD404" s="319">
        <v>0.03</v>
      </c>
      <c r="BE404" s="319">
        <v>0.03</v>
      </c>
      <c r="BF404" s="3"/>
    </row>
    <row r="405" spans="1:58" ht="14.25" customHeight="1" x14ac:dyDescent="0.45">
      <c r="A405" s="618"/>
      <c r="B405" s="215"/>
      <c r="C405" s="220" t="s">
        <v>234</v>
      </c>
      <c r="D405" s="247" t="s">
        <v>225</v>
      </c>
      <c r="E405" s="307">
        <f t="shared" si="11"/>
        <v>0.53620000000000001</v>
      </c>
      <c r="F405" s="307">
        <f t="shared" si="11"/>
        <v>0.79</v>
      </c>
      <c r="G405" s="307">
        <f t="shared" si="11"/>
        <v>0.67300000000000004</v>
      </c>
      <c r="H405" s="307">
        <f t="shared" si="11"/>
        <v>0.56330000000000002</v>
      </c>
      <c r="I405" s="319">
        <v>0.54</v>
      </c>
      <c r="J405" s="319">
        <v>0.54</v>
      </c>
      <c r="K405" s="319">
        <v>0.54</v>
      </c>
      <c r="L405" s="319">
        <v>0.54</v>
      </c>
      <c r="M405" s="319">
        <v>0.54</v>
      </c>
      <c r="N405" s="319">
        <v>0.54</v>
      </c>
      <c r="O405" s="319">
        <v>0.54</v>
      </c>
      <c r="P405" s="319">
        <v>0.54</v>
      </c>
      <c r="Q405" s="319">
        <v>0.54</v>
      </c>
      <c r="R405" s="319">
        <v>0.54</v>
      </c>
      <c r="S405" s="319">
        <v>0.54</v>
      </c>
      <c r="T405" s="319">
        <v>0.54</v>
      </c>
      <c r="U405" s="319">
        <v>0.54</v>
      </c>
      <c r="V405" s="319">
        <v>0.54</v>
      </c>
      <c r="W405" s="319">
        <v>0.54</v>
      </c>
      <c r="X405" s="319">
        <v>0.54</v>
      </c>
      <c r="Y405" s="319">
        <v>0.54</v>
      </c>
      <c r="Z405" s="319">
        <v>0.54</v>
      </c>
      <c r="AA405" s="319">
        <v>0.54</v>
      </c>
      <c r="AB405" s="319">
        <v>0.54</v>
      </c>
      <c r="AC405" s="319">
        <v>0.54</v>
      </c>
      <c r="AD405" s="319">
        <v>0.54</v>
      </c>
      <c r="AE405" s="319">
        <v>0.54</v>
      </c>
      <c r="AF405" s="319">
        <v>0.54</v>
      </c>
      <c r="AG405" s="319">
        <v>0.54</v>
      </c>
      <c r="AH405" s="319">
        <v>0.54</v>
      </c>
      <c r="AI405" s="319">
        <v>0.54</v>
      </c>
      <c r="AJ405" s="319">
        <v>0.54</v>
      </c>
      <c r="AK405" s="319">
        <v>0.54</v>
      </c>
      <c r="AL405" s="319">
        <v>0.54</v>
      </c>
      <c r="AM405" s="319">
        <v>0.54</v>
      </c>
      <c r="AN405" s="319">
        <v>0.54</v>
      </c>
      <c r="AO405" s="319">
        <v>0.54</v>
      </c>
      <c r="AP405" s="319">
        <v>0.54</v>
      </c>
      <c r="AQ405" s="319">
        <v>0.54</v>
      </c>
      <c r="AR405" s="319">
        <v>0.54</v>
      </c>
      <c r="AS405" s="319">
        <v>0.54</v>
      </c>
      <c r="AT405" s="319">
        <v>0.54</v>
      </c>
      <c r="AU405" s="319">
        <v>0.54</v>
      </c>
      <c r="AV405" s="319">
        <v>0.54</v>
      </c>
      <c r="AW405" s="319">
        <v>0.54</v>
      </c>
      <c r="AX405" s="319">
        <v>0.54</v>
      </c>
      <c r="AY405" s="319">
        <v>0.54</v>
      </c>
      <c r="AZ405" s="319">
        <v>0.54</v>
      </c>
      <c r="BA405" s="319">
        <v>0.54</v>
      </c>
      <c r="BB405" s="319">
        <v>0.54</v>
      </c>
      <c r="BC405" s="319">
        <v>0.54</v>
      </c>
      <c r="BD405" s="319">
        <v>0.54</v>
      </c>
      <c r="BE405" s="319">
        <v>0.54</v>
      </c>
      <c r="BF405" s="3"/>
    </row>
    <row r="406" spans="1:58" ht="14.25" customHeight="1" x14ac:dyDescent="0.45">
      <c r="A406" s="618"/>
      <c r="B406" s="215"/>
      <c r="C406" s="220"/>
      <c r="D406" s="224" t="s">
        <v>343</v>
      </c>
      <c r="E406" s="295">
        <f t="shared" si="11"/>
        <v>0.3569</v>
      </c>
      <c r="F406" s="295">
        <f t="shared" si="11"/>
        <v>0.36280000000000001</v>
      </c>
      <c r="G406" s="295">
        <f t="shared" si="11"/>
        <v>0.34639999999999999</v>
      </c>
      <c r="H406" s="295">
        <f t="shared" si="11"/>
        <v>0.3533</v>
      </c>
      <c r="I406" s="319">
        <v>0.36</v>
      </c>
      <c r="J406" s="319">
        <v>0.36</v>
      </c>
      <c r="K406" s="319">
        <v>0.36</v>
      </c>
      <c r="L406" s="319">
        <v>0.36</v>
      </c>
      <c r="M406" s="319">
        <v>0.36</v>
      </c>
      <c r="N406" s="319">
        <v>0.36</v>
      </c>
      <c r="O406" s="319">
        <v>0.36</v>
      </c>
      <c r="P406" s="319">
        <v>0.36</v>
      </c>
      <c r="Q406" s="319">
        <v>0.36</v>
      </c>
      <c r="R406" s="319">
        <v>0.36</v>
      </c>
      <c r="S406" s="319">
        <v>0.36</v>
      </c>
      <c r="T406" s="319">
        <v>0.36</v>
      </c>
      <c r="U406" s="319">
        <v>0.36</v>
      </c>
      <c r="V406" s="319">
        <v>0.36</v>
      </c>
      <c r="W406" s="319">
        <v>0.36</v>
      </c>
      <c r="X406" s="319">
        <v>0.36</v>
      </c>
      <c r="Y406" s="319">
        <v>0.36</v>
      </c>
      <c r="Z406" s="319">
        <v>0.36</v>
      </c>
      <c r="AA406" s="319">
        <v>0.36</v>
      </c>
      <c r="AB406" s="319">
        <v>0.36</v>
      </c>
      <c r="AC406" s="319">
        <v>0.36</v>
      </c>
      <c r="AD406" s="319">
        <v>0.36</v>
      </c>
      <c r="AE406" s="319">
        <v>0.36</v>
      </c>
      <c r="AF406" s="319">
        <v>0.36</v>
      </c>
      <c r="AG406" s="319">
        <v>0.36</v>
      </c>
      <c r="AH406" s="319">
        <v>0.36</v>
      </c>
      <c r="AI406" s="319">
        <v>0.36</v>
      </c>
      <c r="AJ406" s="319">
        <v>0.36</v>
      </c>
      <c r="AK406" s="319">
        <v>0.36</v>
      </c>
      <c r="AL406" s="319">
        <v>0.36</v>
      </c>
      <c r="AM406" s="319">
        <v>0.36</v>
      </c>
      <c r="AN406" s="319">
        <v>0.36</v>
      </c>
      <c r="AO406" s="319">
        <v>0.36</v>
      </c>
      <c r="AP406" s="319">
        <v>0.36</v>
      </c>
      <c r="AQ406" s="319">
        <v>0.36</v>
      </c>
      <c r="AR406" s="319">
        <v>0.36</v>
      </c>
      <c r="AS406" s="319">
        <v>0.36</v>
      </c>
      <c r="AT406" s="319">
        <v>0.36</v>
      </c>
      <c r="AU406" s="319">
        <v>0.36</v>
      </c>
      <c r="AV406" s="319">
        <v>0.36</v>
      </c>
      <c r="AW406" s="319">
        <v>0.36</v>
      </c>
      <c r="AX406" s="319">
        <v>0.36</v>
      </c>
      <c r="AY406" s="319">
        <v>0.36</v>
      </c>
      <c r="AZ406" s="319">
        <v>0.36</v>
      </c>
      <c r="BA406" s="319">
        <v>0.36</v>
      </c>
      <c r="BB406" s="319">
        <v>0.36</v>
      </c>
      <c r="BC406" s="319">
        <v>0.36</v>
      </c>
      <c r="BD406" s="319">
        <v>0.36</v>
      </c>
      <c r="BE406" s="319">
        <v>0.36</v>
      </c>
      <c r="BF406" s="3"/>
    </row>
    <row r="407" spans="1:58" ht="14.25" customHeight="1" x14ac:dyDescent="0.45">
      <c r="A407" s="618"/>
      <c r="B407" s="215"/>
      <c r="C407" s="220"/>
      <c r="D407" s="228" t="s">
        <v>180</v>
      </c>
      <c r="E407" s="229">
        <f t="shared" si="11"/>
        <v>0.3569</v>
      </c>
      <c r="F407" s="229">
        <f t="shared" si="11"/>
        <v>0.36559999999999998</v>
      </c>
      <c r="G407" s="229">
        <f t="shared" si="11"/>
        <v>0.35210000000000002</v>
      </c>
      <c r="H407" s="229">
        <f t="shared" si="11"/>
        <v>0.35970000000000002</v>
      </c>
      <c r="I407" s="319">
        <v>0.36</v>
      </c>
      <c r="J407" s="319">
        <v>0.36</v>
      </c>
      <c r="K407" s="319">
        <v>0.36</v>
      </c>
      <c r="L407" s="319">
        <v>0.36</v>
      </c>
      <c r="M407" s="319">
        <v>0.36</v>
      </c>
      <c r="N407" s="319">
        <v>0.36</v>
      </c>
      <c r="O407" s="319">
        <v>0.36</v>
      </c>
      <c r="P407" s="319">
        <v>0.36</v>
      </c>
      <c r="Q407" s="319">
        <v>0.36</v>
      </c>
      <c r="R407" s="319">
        <v>0.36</v>
      </c>
      <c r="S407" s="319">
        <v>0.36</v>
      </c>
      <c r="T407" s="319">
        <v>0.36</v>
      </c>
      <c r="U407" s="319">
        <v>0.36</v>
      </c>
      <c r="V407" s="319">
        <v>0.36</v>
      </c>
      <c r="W407" s="319">
        <v>0.36</v>
      </c>
      <c r="X407" s="319">
        <v>0.36</v>
      </c>
      <c r="Y407" s="319">
        <v>0.36</v>
      </c>
      <c r="Z407" s="319">
        <v>0.36</v>
      </c>
      <c r="AA407" s="319">
        <v>0.36</v>
      </c>
      <c r="AB407" s="319">
        <v>0.36</v>
      </c>
      <c r="AC407" s="319">
        <v>0.36</v>
      </c>
      <c r="AD407" s="319">
        <v>0.36</v>
      </c>
      <c r="AE407" s="319">
        <v>0.36</v>
      </c>
      <c r="AF407" s="319">
        <v>0.36</v>
      </c>
      <c r="AG407" s="319">
        <v>0.36</v>
      </c>
      <c r="AH407" s="319">
        <v>0.36</v>
      </c>
      <c r="AI407" s="319">
        <v>0.36</v>
      </c>
      <c r="AJ407" s="319">
        <v>0.36</v>
      </c>
      <c r="AK407" s="319">
        <v>0.36</v>
      </c>
      <c r="AL407" s="319">
        <v>0.36</v>
      </c>
      <c r="AM407" s="319">
        <v>0.36</v>
      </c>
      <c r="AN407" s="319">
        <v>0.36</v>
      </c>
      <c r="AO407" s="319">
        <v>0.36</v>
      </c>
      <c r="AP407" s="319">
        <v>0.36</v>
      </c>
      <c r="AQ407" s="319">
        <v>0.36</v>
      </c>
      <c r="AR407" s="319">
        <v>0.36</v>
      </c>
      <c r="AS407" s="319">
        <v>0.36</v>
      </c>
      <c r="AT407" s="319">
        <v>0.36</v>
      </c>
      <c r="AU407" s="319">
        <v>0.36</v>
      </c>
      <c r="AV407" s="319">
        <v>0.36</v>
      </c>
      <c r="AW407" s="319">
        <v>0.36</v>
      </c>
      <c r="AX407" s="319">
        <v>0.36</v>
      </c>
      <c r="AY407" s="319">
        <v>0.36</v>
      </c>
      <c r="AZ407" s="319">
        <v>0.36</v>
      </c>
      <c r="BA407" s="319">
        <v>0.36</v>
      </c>
      <c r="BB407" s="319">
        <v>0.36</v>
      </c>
      <c r="BC407" s="319">
        <v>0.36</v>
      </c>
      <c r="BD407" s="319">
        <v>0.36</v>
      </c>
      <c r="BE407" s="319">
        <v>0.36</v>
      </c>
      <c r="BF407" s="3"/>
    </row>
    <row r="408" spans="1:58" ht="14.25" customHeight="1" x14ac:dyDescent="0.45">
      <c r="A408" s="618"/>
      <c r="B408" s="215"/>
      <c r="C408" s="220"/>
      <c r="D408" s="247" t="s">
        <v>225</v>
      </c>
      <c r="E408" s="306">
        <f t="shared" si="11"/>
        <v>0</v>
      </c>
      <c r="F408" s="306">
        <f t="shared" si="11"/>
        <v>0</v>
      </c>
      <c r="G408" s="306">
        <f t="shared" si="11"/>
        <v>0</v>
      </c>
      <c r="H408" s="306">
        <f t="shared" si="11"/>
        <v>0</v>
      </c>
      <c r="I408" s="319">
        <v>0</v>
      </c>
      <c r="J408" s="319">
        <v>0</v>
      </c>
      <c r="K408" s="319">
        <v>0</v>
      </c>
      <c r="L408" s="319">
        <v>0</v>
      </c>
      <c r="M408" s="319">
        <v>0</v>
      </c>
      <c r="N408" s="319">
        <v>0</v>
      </c>
      <c r="O408" s="319">
        <v>0</v>
      </c>
      <c r="P408" s="319">
        <v>0</v>
      </c>
      <c r="Q408" s="319">
        <v>0</v>
      </c>
      <c r="R408" s="319">
        <v>0</v>
      </c>
      <c r="S408" s="319">
        <v>0</v>
      </c>
      <c r="T408" s="319">
        <v>0</v>
      </c>
      <c r="U408" s="319">
        <v>0</v>
      </c>
      <c r="V408" s="319">
        <v>0</v>
      </c>
      <c r="W408" s="319">
        <v>0</v>
      </c>
      <c r="X408" s="319">
        <v>0</v>
      </c>
      <c r="Y408" s="319">
        <v>0</v>
      </c>
      <c r="Z408" s="319">
        <v>0</v>
      </c>
      <c r="AA408" s="319">
        <v>0</v>
      </c>
      <c r="AB408" s="319">
        <v>0</v>
      </c>
      <c r="AC408" s="319">
        <v>0</v>
      </c>
      <c r="AD408" s="319">
        <v>0</v>
      </c>
      <c r="AE408" s="319">
        <v>0</v>
      </c>
      <c r="AF408" s="319">
        <v>0</v>
      </c>
      <c r="AG408" s="319">
        <v>0</v>
      </c>
      <c r="AH408" s="319">
        <v>0</v>
      </c>
      <c r="AI408" s="319">
        <v>0</v>
      </c>
      <c r="AJ408" s="319">
        <v>0</v>
      </c>
      <c r="AK408" s="319">
        <v>0</v>
      </c>
      <c r="AL408" s="319">
        <v>0</v>
      </c>
      <c r="AM408" s="319">
        <v>0</v>
      </c>
      <c r="AN408" s="319">
        <v>0</v>
      </c>
      <c r="AO408" s="319">
        <v>0</v>
      </c>
      <c r="AP408" s="319">
        <v>0</v>
      </c>
      <c r="AQ408" s="319">
        <v>0</v>
      </c>
      <c r="AR408" s="319">
        <v>0</v>
      </c>
      <c r="AS408" s="319">
        <v>0</v>
      </c>
      <c r="AT408" s="319">
        <v>0</v>
      </c>
      <c r="AU408" s="319">
        <v>0</v>
      </c>
      <c r="AV408" s="319">
        <v>0</v>
      </c>
      <c r="AW408" s="319">
        <v>0</v>
      </c>
      <c r="AX408" s="319">
        <v>0</v>
      </c>
      <c r="AY408" s="319">
        <v>0</v>
      </c>
      <c r="AZ408" s="319">
        <v>0</v>
      </c>
      <c r="BA408" s="319">
        <v>0</v>
      </c>
      <c r="BB408" s="319">
        <v>0</v>
      </c>
      <c r="BC408" s="319">
        <v>0</v>
      </c>
      <c r="BD408" s="319">
        <v>0</v>
      </c>
      <c r="BE408" s="319">
        <v>0</v>
      </c>
      <c r="BF408" s="3"/>
    </row>
    <row r="409" spans="1:58" ht="14.25" customHeight="1" x14ac:dyDescent="0.45">
      <c r="A409" s="618"/>
      <c r="B409" s="215"/>
      <c r="C409" s="220" t="s">
        <v>235</v>
      </c>
      <c r="D409" s="221" t="s">
        <v>236</v>
      </c>
      <c r="E409" s="232">
        <f t="shared" si="11"/>
        <v>0.44030000000000002</v>
      </c>
      <c r="F409" s="232">
        <f t="shared" si="11"/>
        <v>0.40460000000000002</v>
      </c>
      <c r="G409" s="232">
        <f t="shared" si="11"/>
        <v>0.4269</v>
      </c>
      <c r="H409" s="232">
        <f t="shared" si="11"/>
        <v>0.1363</v>
      </c>
      <c r="I409" s="646">
        <v>0.62</v>
      </c>
      <c r="J409" s="646">
        <v>0.62</v>
      </c>
      <c r="K409" s="646">
        <v>0.62</v>
      </c>
      <c r="L409" s="646">
        <v>0.62</v>
      </c>
      <c r="M409" s="646">
        <v>0.62</v>
      </c>
      <c r="N409" s="646">
        <v>0.62</v>
      </c>
      <c r="O409" s="646">
        <v>0.62</v>
      </c>
      <c r="P409" s="646">
        <v>0.62</v>
      </c>
      <c r="Q409" s="646">
        <v>0.62</v>
      </c>
      <c r="R409" s="646">
        <v>0.62</v>
      </c>
      <c r="S409" s="646">
        <v>0.62</v>
      </c>
      <c r="T409" s="646">
        <v>0.62</v>
      </c>
      <c r="U409" s="646">
        <v>0.62</v>
      </c>
      <c r="V409" s="646">
        <v>0.62</v>
      </c>
      <c r="W409" s="646">
        <v>0.62</v>
      </c>
      <c r="X409" s="646">
        <v>0.62</v>
      </c>
      <c r="Y409" s="646">
        <v>0.62</v>
      </c>
      <c r="Z409" s="646">
        <v>0.62</v>
      </c>
      <c r="AA409" s="646">
        <v>0.62</v>
      </c>
      <c r="AB409" s="646">
        <v>0.62</v>
      </c>
      <c r="AC409" s="646">
        <v>0.62</v>
      </c>
      <c r="AD409" s="646">
        <v>0.62</v>
      </c>
      <c r="AE409" s="646">
        <v>0.62</v>
      </c>
      <c r="AF409" s="646">
        <v>0.62</v>
      </c>
      <c r="AG409" s="646">
        <v>0.62</v>
      </c>
      <c r="AH409" s="646">
        <v>0.62</v>
      </c>
      <c r="AI409" s="646">
        <v>0.62</v>
      </c>
      <c r="AJ409" s="646">
        <v>0.62</v>
      </c>
      <c r="AK409" s="646">
        <v>0.62</v>
      </c>
      <c r="AL409" s="646">
        <v>0.62</v>
      </c>
      <c r="AM409" s="646">
        <v>0.62</v>
      </c>
      <c r="AN409" s="646">
        <v>0.62</v>
      </c>
      <c r="AO409" s="646">
        <v>0.62</v>
      </c>
      <c r="AP409" s="646">
        <v>0.62</v>
      </c>
      <c r="AQ409" s="646">
        <v>0.62</v>
      </c>
      <c r="AR409" s="646">
        <v>0.62</v>
      </c>
      <c r="AS409" s="646">
        <v>0.62</v>
      </c>
      <c r="AT409" s="646">
        <v>0.62</v>
      </c>
      <c r="AU409" s="646">
        <v>0.62</v>
      </c>
      <c r="AV409" s="646">
        <v>0.62</v>
      </c>
      <c r="AW409" s="646">
        <v>0.62</v>
      </c>
      <c r="AX409" s="646">
        <v>0.62</v>
      </c>
      <c r="AY409" s="646">
        <v>0.62</v>
      </c>
      <c r="AZ409" s="646">
        <v>0.62</v>
      </c>
      <c r="BA409" s="646">
        <v>0.62</v>
      </c>
      <c r="BB409" s="646">
        <v>0.62</v>
      </c>
      <c r="BC409" s="646">
        <v>0.62</v>
      </c>
      <c r="BD409" s="646">
        <v>0.62</v>
      </c>
      <c r="BE409" s="646">
        <v>0.62</v>
      </c>
      <c r="BF409" s="3"/>
    </row>
    <row r="410" spans="1:58" ht="14.25" customHeight="1" x14ac:dyDescent="0.45">
      <c r="A410" s="618"/>
      <c r="B410" s="215"/>
      <c r="C410" s="220"/>
      <c r="D410" s="247" t="s">
        <v>223</v>
      </c>
      <c r="E410" s="306">
        <f t="shared" si="11"/>
        <v>0</v>
      </c>
      <c r="F410" s="306">
        <f t="shared" si="11"/>
        <v>0</v>
      </c>
      <c r="G410" s="306">
        <f t="shared" si="11"/>
        <v>0</v>
      </c>
      <c r="H410" s="306">
        <f t="shared" si="11"/>
        <v>0</v>
      </c>
      <c r="I410" s="319">
        <v>0</v>
      </c>
      <c r="J410" s="319">
        <v>0</v>
      </c>
      <c r="K410" s="319">
        <v>0</v>
      </c>
      <c r="L410" s="319">
        <v>0</v>
      </c>
      <c r="M410" s="319">
        <v>0</v>
      </c>
      <c r="N410" s="319">
        <v>0</v>
      </c>
      <c r="O410" s="319">
        <v>0</v>
      </c>
      <c r="P410" s="319">
        <v>0</v>
      </c>
      <c r="Q410" s="319">
        <v>0</v>
      </c>
      <c r="R410" s="319">
        <v>0</v>
      </c>
      <c r="S410" s="319">
        <v>0</v>
      </c>
      <c r="T410" s="319">
        <v>0</v>
      </c>
      <c r="U410" s="319">
        <v>0</v>
      </c>
      <c r="V410" s="319">
        <v>0</v>
      </c>
      <c r="W410" s="319">
        <v>0</v>
      </c>
      <c r="X410" s="319">
        <v>0</v>
      </c>
      <c r="Y410" s="319">
        <v>0</v>
      </c>
      <c r="Z410" s="319">
        <v>0</v>
      </c>
      <c r="AA410" s="319">
        <v>0</v>
      </c>
      <c r="AB410" s="319">
        <v>0</v>
      </c>
      <c r="AC410" s="319">
        <v>0</v>
      </c>
      <c r="AD410" s="319">
        <v>0</v>
      </c>
      <c r="AE410" s="319">
        <v>0</v>
      </c>
      <c r="AF410" s="319">
        <v>0</v>
      </c>
      <c r="AG410" s="319">
        <v>0</v>
      </c>
      <c r="AH410" s="319">
        <v>0</v>
      </c>
      <c r="AI410" s="319">
        <v>0</v>
      </c>
      <c r="AJ410" s="319">
        <v>0</v>
      </c>
      <c r="AK410" s="319">
        <v>0</v>
      </c>
      <c r="AL410" s="319">
        <v>0</v>
      </c>
      <c r="AM410" s="319">
        <v>0</v>
      </c>
      <c r="AN410" s="319">
        <v>0</v>
      </c>
      <c r="AO410" s="319">
        <v>0</v>
      </c>
      <c r="AP410" s="319">
        <v>0</v>
      </c>
      <c r="AQ410" s="319">
        <v>0</v>
      </c>
      <c r="AR410" s="319">
        <v>0</v>
      </c>
      <c r="AS410" s="319">
        <v>0</v>
      </c>
      <c r="AT410" s="319">
        <v>0</v>
      </c>
      <c r="AU410" s="319">
        <v>0</v>
      </c>
      <c r="AV410" s="319">
        <v>0</v>
      </c>
      <c r="AW410" s="319">
        <v>0</v>
      </c>
      <c r="AX410" s="319">
        <v>0</v>
      </c>
      <c r="AY410" s="319">
        <v>0</v>
      </c>
      <c r="AZ410" s="319">
        <v>0</v>
      </c>
      <c r="BA410" s="319">
        <v>0</v>
      </c>
      <c r="BB410" s="319">
        <v>0</v>
      </c>
      <c r="BC410" s="319">
        <v>0</v>
      </c>
      <c r="BD410" s="319">
        <v>0</v>
      </c>
      <c r="BE410" s="319">
        <v>0</v>
      </c>
      <c r="BF410" s="3"/>
    </row>
    <row r="411" spans="1:58" ht="14.25" customHeight="1" x14ac:dyDescent="0.45">
      <c r="A411" s="618"/>
      <c r="B411" s="215"/>
      <c r="C411" s="220" t="s">
        <v>237</v>
      </c>
      <c r="D411" s="221" t="s">
        <v>236</v>
      </c>
      <c r="E411" s="232">
        <f t="shared" si="11"/>
        <v>0.20250000000000001</v>
      </c>
      <c r="F411" s="232">
        <f t="shared" si="11"/>
        <v>0.23860000000000001</v>
      </c>
      <c r="G411" s="232">
        <f t="shared" si="11"/>
        <v>0.20830000000000001</v>
      </c>
      <c r="H411" s="232">
        <f t="shared" si="11"/>
        <v>0.23</v>
      </c>
      <c r="I411" s="646">
        <v>0.62</v>
      </c>
      <c r="J411" s="646">
        <v>0.62</v>
      </c>
      <c r="K411" s="646">
        <v>0.62</v>
      </c>
      <c r="L411" s="646">
        <v>0.62</v>
      </c>
      <c r="M411" s="646">
        <v>0.62</v>
      </c>
      <c r="N411" s="646">
        <v>0.62</v>
      </c>
      <c r="O411" s="646">
        <v>0.62</v>
      </c>
      <c r="P411" s="646">
        <v>0.62</v>
      </c>
      <c r="Q411" s="646">
        <v>0.62</v>
      </c>
      <c r="R411" s="646">
        <v>0.62</v>
      </c>
      <c r="S411" s="646">
        <v>0.62</v>
      </c>
      <c r="T411" s="646">
        <v>0.62</v>
      </c>
      <c r="U411" s="646">
        <v>0.62</v>
      </c>
      <c r="V411" s="646">
        <v>0.62</v>
      </c>
      <c r="W411" s="646">
        <v>0.62</v>
      </c>
      <c r="X411" s="646">
        <v>0.62</v>
      </c>
      <c r="Y411" s="646">
        <v>0.62</v>
      </c>
      <c r="Z411" s="646">
        <v>0.62</v>
      </c>
      <c r="AA411" s="646">
        <v>0.62</v>
      </c>
      <c r="AB411" s="646">
        <v>0.62</v>
      </c>
      <c r="AC411" s="646">
        <v>0.62</v>
      </c>
      <c r="AD411" s="646">
        <v>0.62</v>
      </c>
      <c r="AE411" s="646">
        <v>0.62</v>
      </c>
      <c r="AF411" s="646">
        <v>0.62</v>
      </c>
      <c r="AG411" s="646">
        <v>0.62</v>
      </c>
      <c r="AH411" s="646">
        <v>0.62</v>
      </c>
      <c r="AI411" s="646">
        <v>0.62</v>
      </c>
      <c r="AJ411" s="646">
        <v>0.62</v>
      </c>
      <c r="AK411" s="646">
        <v>0.62</v>
      </c>
      <c r="AL411" s="646">
        <v>0.62</v>
      </c>
      <c r="AM411" s="646">
        <v>0.62</v>
      </c>
      <c r="AN411" s="646">
        <v>0.62</v>
      </c>
      <c r="AO411" s="646">
        <v>0.62</v>
      </c>
      <c r="AP411" s="646">
        <v>0.62</v>
      </c>
      <c r="AQ411" s="646">
        <v>0.62</v>
      </c>
      <c r="AR411" s="646">
        <v>0.62</v>
      </c>
      <c r="AS411" s="646">
        <v>0.62</v>
      </c>
      <c r="AT411" s="646">
        <v>0.62</v>
      </c>
      <c r="AU411" s="646">
        <v>0.62</v>
      </c>
      <c r="AV411" s="646">
        <v>0.62</v>
      </c>
      <c r="AW411" s="646">
        <v>0.62</v>
      </c>
      <c r="AX411" s="646">
        <v>0.62</v>
      </c>
      <c r="AY411" s="646">
        <v>0.62</v>
      </c>
      <c r="AZ411" s="646">
        <v>0.62</v>
      </c>
      <c r="BA411" s="646">
        <v>0.62</v>
      </c>
      <c r="BB411" s="646">
        <v>0.62</v>
      </c>
      <c r="BC411" s="646">
        <v>0.62</v>
      </c>
      <c r="BD411" s="646">
        <v>0.62</v>
      </c>
      <c r="BE411" s="646">
        <v>0.62</v>
      </c>
      <c r="BF411" s="3"/>
    </row>
    <row r="412" spans="1:58" ht="14.25" customHeight="1" x14ac:dyDescent="0.45">
      <c r="A412" s="618"/>
      <c r="B412" s="215"/>
      <c r="C412" s="220"/>
      <c r="D412" s="247" t="s">
        <v>238</v>
      </c>
      <c r="E412" s="306">
        <f t="shared" ref="E412:H429" si="12">ROUND(IFERROR(E314/($E$348*0.0036*E69*$F$348),0),4)</f>
        <v>0</v>
      </c>
      <c r="F412" s="306">
        <f t="shared" si="12"/>
        <v>0</v>
      </c>
      <c r="G412" s="306">
        <f t="shared" si="12"/>
        <v>0</v>
      </c>
      <c r="H412" s="306">
        <f t="shared" si="12"/>
        <v>0</v>
      </c>
      <c r="I412" s="319">
        <v>0</v>
      </c>
      <c r="J412" s="319">
        <v>0</v>
      </c>
      <c r="K412" s="319">
        <v>0</v>
      </c>
      <c r="L412" s="319">
        <v>0</v>
      </c>
      <c r="M412" s="319">
        <v>0</v>
      </c>
      <c r="N412" s="319">
        <v>0</v>
      </c>
      <c r="O412" s="319">
        <v>0</v>
      </c>
      <c r="P412" s="319">
        <v>0</v>
      </c>
      <c r="Q412" s="319">
        <v>0</v>
      </c>
      <c r="R412" s="319">
        <v>0</v>
      </c>
      <c r="S412" s="319">
        <v>0</v>
      </c>
      <c r="T412" s="319">
        <v>0</v>
      </c>
      <c r="U412" s="319">
        <v>0</v>
      </c>
      <c r="V412" s="319">
        <v>0</v>
      </c>
      <c r="W412" s="319">
        <v>0</v>
      </c>
      <c r="X412" s="319">
        <v>0</v>
      </c>
      <c r="Y412" s="319">
        <v>0</v>
      </c>
      <c r="Z412" s="319">
        <v>0</v>
      </c>
      <c r="AA412" s="319">
        <v>0</v>
      </c>
      <c r="AB412" s="319">
        <v>0</v>
      </c>
      <c r="AC412" s="319">
        <v>0</v>
      </c>
      <c r="AD412" s="319">
        <v>0</v>
      </c>
      <c r="AE412" s="319">
        <v>0</v>
      </c>
      <c r="AF412" s="319">
        <v>0</v>
      </c>
      <c r="AG412" s="319">
        <v>0</v>
      </c>
      <c r="AH412" s="319">
        <v>0</v>
      </c>
      <c r="AI412" s="319">
        <v>0</v>
      </c>
      <c r="AJ412" s="319">
        <v>0</v>
      </c>
      <c r="AK412" s="319">
        <v>0</v>
      </c>
      <c r="AL412" s="319">
        <v>0</v>
      </c>
      <c r="AM412" s="319">
        <v>0</v>
      </c>
      <c r="AN412" s="319">
        <v>0</v>
      </c>
      <c r="AO412" s="319">
        <v>0</v>
      </c>
      <c r="AP412" s="319">
        <v>0</v>
      </c>
      <c r="AQ412" s="319">
        <v>0</v>
      </c>
      <c r="AR412" s="319">
        <v>0</v>
      </c>
      <c r="AS412" s="319">
        <v>0</v>
      </c>
      <c r="AT412" s="319">
        <v>0</v>
      </c>
      <c r="AU412" s="319">
        <v>0</v>
      </c>
      <c r="AV412" s="319">
        <v>0</v>
      </c>
      <c r="AW412" s="319">
        <v>0</v>
      </c>
      <c r="AX412" s="319">
        <v>0</v>
      </c>
      <c r="AY412" s="319">
        <v>0</v>
      </c>
      <c r="AZ412" s="319">
        <v>0</v>
      </c>
      <c r="BA412" s="319">
        <v>0</v>
      </c>
      <c r="BB412" s="319">
        <v>0</v>
      </c>
      <c r="BC412" s="319">
        <v>0</v>
      </c>
      <c r="BD412" s="319">
        <v>0</v>
      </c>
      <c r="BE412" s="319">
        <v>0</v>
      </c>
      <c r="BF412" s="3"/>
    </row>
    <row r="413" spans="1:58" ht="14.25" customHeight="1" x14ac:dyDescent="0.45">
      <c r="A413" s="618"/>
      <c r="B413" s="215"/>
      <c r="C413" s="220" t="s">
        <v>239</v>
      </c>
      <c r="D413" s="221" t="s">
        <v>240</v>
      </c>
      <c r="E413" s="309">
        <f t="shared" si="12"/>
        <v>0.54430000000000001</v>
      </c>
      <c r="F413" s="309">
        <f t="shared" si="12"/>
        <v>0.5363</v>
      </c>
      <c r="G413" s="310">
        <f t="shared" si="12"/>
        <v>0.51929999999999998</v>
      </c>
      <c r="H413" s="310">
        <f t="shared" si="12"/>
        <v>0.48199999999999998</v>
      </c>
      <c r="I413" s="646">
        <v>0.62</v>
      </c>
      <c r="J413" s="646">
        <v>0.62</v>
      </c>
      <c r="K413" s="646">
        <v>0.62</v>
      </c>
      <c r="L413" s="646">
        <v>0.62</v>
      </c>
      <c r="M413" s="646">
        <v>0.62</v>
      </c>
      <c r="N413" s="646">
        <v>0.62</v>
      </c>
      <c r="O413" s="646">
        <v>0.62</v>
      </c>
      <c r="P413" s="646">
        <v>0.62</v>
      </c>
      <c r="Q413" s="646">
        <v>0.62</v>
      </c>
      <c r="R413" s="646">
        <v>0.62</v>
      </c>
      <c r="S413" s="646">
        <v>0.62</v>
      </c>
      <c r="T413" s="646">
        <v>0.62</v>
      </c>
      <c r="U413" s="646">
        <v>0.62</v>
      </c>
      <c r="V413" s="646">
        <v>0.62</v>
      </c>
      <c r="W413" s="646">
        <v>0.62</v>
      </c>
      <c r="X413" s="646">
        <v>0.62</v>
      </c>
      <c r="Y413" s="646">
        <v>0.62</v>
      </c>
      <c r="Z413" s="646">
        <v>0.62</v>
      </c>
      <c r="AA413" s="646">
        <v>0.62</v>
      </c>
      <c r="AB413" s="646">
        <v>0.62</v>
      </c>
      <c r="AC413" s="646">
        <v>0.62</v>
      </c>
      <c r="AD413" s="646">
        <v>0.62</v>
      </c>
      <c r="AE413" s="646">
        <v>0.62</v>
      </c>
      <c r="AF413" s="646">
        <v>0.62</v>
      </c>
      <c r="AG413" s="646">
        <v>0.62</v>
      </c>
      <c r="AH413" s="646">
        <v>0.62</v>
      </c>
      <c r="AI413" s="646">
        <v>0.62</v>
      </c>
      <c r="AJ413" s="646">
        <v>0.62</v>
      </c>
      <c r="AK413" s="646">
        <v>0.62</v>
      </c>
      <c r="AL413" s="646">
        <v>0.62</v>
      </c>
      <c r="AM413" s="646">
        <v>0.62</v>
      </c>
      <c r="AN413" s="646">
        <v>0.62</v>
      </c>
      <c r="AO413" s="646">
        <v>0.62</v>
      </c>
      <c r="AP413" s="646">
        <v>0.62</v>
      </c>
      <c r="AQ413" s="646">
        <v>0.62</v>
      </c>
      <c r="AR413" s="646">
        <v>0.62</v>
      </c>
      <c r="AS413" s="646">
        <v>0.62</v>
      </c>
      <c r="AT413" s="646">
        <v>0.62</v>
      </c>
      <c r="AU413" s="646">
        <v>0.62</v>
      </c>
      <c r="AV413" s="646">
        <v>0.62</v>
      </c>
      <c r="AW413" s="646">
        <v>0.62</v>
      </c>
      <c r="AX413" s="646">
        <v>0.62</v>
      </c>
      <c r="AY413" s="646">
        <v>0.62</v>
      </c>
      <c r="AZ413" s="646">
        <v>0.62</v>
      </c>
      <c r="BA413" s="646">
        <v>0.62</v>
      </c>
      <c r="BB413" s="646">
        <v>0.62</v>
      </c>
      <c r="BC413" s="646">
        <v>0.62</v>
      </c>
      <c r="BD413" s="646">
        <v>0.62</v>
      </c>
      <c r="BE413" s="646">
        <v>0.62</v>
      </c>
      <c r="BF413" s="3"/>
    </row>
    <row r="414" spans="1:58" ht="14.25" customHeight="1" x14ac:dyDescent="0.45">
      <c r="A414" s="618"/>
      <c r="B414" s="215"/>
      <c r="C414" s="220" t="s">
        <v>241</v>
      </c>
      <c r="D414" s="221" t="s">
        <v>236</v>
      </c>
      <c r="E414" s="309">
        <f t="shared" si="12"/>
        <v>0.21249999999999999</v>
      </c>
      <c r="F414" s="309">
        <f t="shared" si="12"/>
        <v>0.2606</v>
      </c>
      <c r="G414" s="311">
        <f t="shared" si="12"/>
        <v>0.24740000000000001</v>
      </c>
      <c r="H414" s="309">
        <f t="shared" si="12"/>
        <v>0.2621</v>
      </c>
      <c r="I414" s="646">
        <v>0.62</v>
      </c>
      <c r="J414" s="646">
        <v>0.62</v>
      </c>
      <c r="K414" s="646">
        <v>0.62</v>
      </c>
      <c r="L414" s="646">
        <v>0.62</v>
      </c>
      <c r="M414" s="646">
        <v>0.62</v>
      </c>
      <c r="N414" s="646">
        <v>0.62</v>
      </c>
      <c r="O414" s="646">
        <v>0.62</v>
      </c>
      <c r="P414" s="646">
        <v>0.62</v>
      </c>
      <c r="Q414" s="646">
        <v>0.62</v>
      </c>
      <c r="R414" s="646">
        <v>0.62</v>
      </c>
      <c r="S414" s="646">
        <v>0.62</v>
      </c>
      <c r="T414" s="646">
        <v>0.62</v>
      </c>
      <c r="U414" s="646">
        <v>0.62</v>
      </c>
      <c r="V414" s="646">
        <v>0.62</v>
      </c>
      <c r="W414" s="646">
        <v>0.62</v>
      </c>
      <c r="X414" s="646">
        <v>0.62</v>
      </c>
      <c r="Y414" s="646">
        <v>0.62</v>
      </c>
      <c r="Z414" s="646">
        <v>0.62</v>
      </c>
      <c r="AA414" s="646">
        <v>0.62</v>
      </c>
      <c r="AB414" s="646">
        <v>0.62</v>
      </c>
      <c r="AC414" s="646">
        <v>0.62</v>
      </c>
      <c r="AD414" s="646">
        <v>0.62</v>
      </c>
      <c r="AE414" s="646">
        <v>0.62</v>
      </c>
      <c r="AF414" s="646">
        <v>0.62</v>
      </c>
      <c r="AG414" s="646">
        <v>0.62</v>
      </c>
      <c r="AH414" s="646">
        <v>0.62</v>
      </c>
      <c r="AI414" s="646">
        <v>0.62</v>
      </c>
      <c r="AJ414" s="646">
        <v>0.62</v>
      </c>
      <c r="AK414" s="646">
        <v>0.62</v>
      </c>
      <c r="AL414" s="646">
        <v>0.62</v>
      </c>
      <c r="AM414" s="646">
        <v>0.62</v>
      </c>
      <c r="AN414" s="646">
        <v>0.62</v>
      </c>
      <c r="AO414" s="646">
        <v>0.62</v>
      </c>
      <c r="AP414" s="646">
        <v>0.62</v>
      </c>
      <c r="AQ414" s="646">
        <v>0.62</v>
      </c>
      <c r="AR414" s="646">
        <v>0.62</v>
      </c>
      <c r="AS414" s="646">
        <v>0.62</v>
      </c>
      <c r="AT414" s="646">
        <v>0.62</v>
      </c>
      <c r="AU414" s="646">
        <v>0.62</v>
      </c>
      <c r="AV414" s="646">
        <v>0.62</v>
      </c>
      <c r="AW414" s="646">
        <v>0.62</v>
      </c>
      <c r="AX414" s="646">
        <v>0.62</v>
      </c>
      <c r="AY414" s="646">
        <v>0.62</v>
      </c>
      <c r="AZ414" s="646">
        <v>0.62</v>
      </c>
      <c r="BA414" s="646">
        <v>0.62</v>
      </c>
      <c r="BB414" s="646">
        <v>0.62</v>
      </c>
      <c r="BC414" s="646">
        <v>0.62</v>
      </c>
      <c r="BD414" s="646">
        <v>0.62</v>
      </c>
      <c r="BE414" s="646">
        <v>0.62</v>
      </c>
      <c r="BF414" s="3"/>
    </row>
    <row r="415" spans="1:58" ht="14.25" customHeight="1" x14ac:dyDescent="0.45">
      <c r="A415" s="618"/>
      <c r="B415" s="215"/>
      <c r="C415" s="220" t="s">
        <v>242</v>
      </c>
      <c r="D415" s="221" t="s">
        <v>243</v>
      </c>
      <c r="E415" s="309">
        <f t="shared" si="12"/>
        <v>0.59689999999999999</v>
      </c>
      <c r="F415" s="309">
        <f t="shared" si="12"/>
        <v>0.55130000000000001</v>
      </c>
      <c r="G415" s="309">
        <f t="shared" si="12"/>
        <v>0.57899999999999996</v>
      </c>
      <c r="H415" s="309">
        <f t="shared" si="12"/>
        <v>0.59189999999999998</v>
      </c>
      <c r="I415" s="319">
        <v>0.6</v>
      </c>
      <c r="J415" s="319">
        <v>0.6</v>
      </c>
      <c r="K415" s="319">
        <v>0.6</v>
      </c>
      <c r="L415" s="319">
        <v>0.6</v>
      </c>
      <c r="M415" s="319">
        <v>0.6</v>
      </c>
      <c r="N415" s="319">
        <v>0.6</v>
      </c>
      <c r="O415" s="319">
        <v>0.6</v>
      </c>
      <c r="P415" s="319">
        <v>0.6</v>
      </c>
      <c r="Q415" s="319">
        <v>0.6</v>
      </c>
      <c r="R415" s="319">
        <v>0.6</v>
      </c>
      <c r="S415" s="319">
        <v>0.6</v>
      </c>
      <c r="T415" s="319">
        <v>0.6</v>
      </c>
      <c r="U415" s="319">
        <v>0.6</v>
      </c>
      <c r="V415" s="319">
        <v>0.6</v>
      </c>
      <c r="W415" s="319">
        <v>0.6</v>
      </c>
      <c r="X415" s="319">
        <v>0.6</v>
      </c>
      <c r="Y415" s="319">
        <v>0.6</v>
      </c>
      <c r="Z415" s="319">
        <v>0.6</v>
      </c>
      <c r="AA415" s="319">
        <v>0.6</v>
      </c>
      <c r="AB415" s="319">
        <v>0.6</v>
      </c>
      <c r="AC415" s="319">
        <v>0.6</v>
      </c>
      <c r="AD415" s="319">
        <v>0.6</v>
      </c>
      <c r="AE415" s="319">
        <v>0.6</v>
      </c>
      <c r="AF415" s="319">
        <v>0.6</v>
      </c>
      <c r="AG415" s="319">
        <v>0.6</v>
      </c>
      <c r="AH415" s="319">
        <v>0.6</v>
      </c>
      <c r="AI415" s="319">
        <v>0.6</v>
      </c>
      <c r="AJ415" s="319">
        <v>0.6</v>
      </c>
      <c r="AK415" s="319">
        <v>0.6</v>
      </c>
      <c r="AL415" s="319">
        <v>0.6</v>
      </c>
      <c r="AM415" s="319">
        <v>0.6</v>
      </c>
      <c r="AN415" s="319">
        <v>0.6</v>
      </c>
      <c r="AO415" s="319">
        <v>0.6</v>
      </c>
      <c r="AP415" s="319">
        <v>0.6</v>
      </c>
      <c r="AQ415" s="319">
        <v>0.6</v>
      </c>
      <c r="AR415" s="319">
        <v>0.6</v>
      </c>
      <c r="AS415" s="319">
        <v>0.6</v>
      </c>
      <c r="AT415" s="319">
        <v>0.6</v>
      </c>
      <c r="AU415" s="319">
        <v>0.6</v>
      </c>
      <c r="AV415" s="319">
        <v>0.6</v>
      </c>
      <c r="AW415" s="319">
        <v>0.6</v>
      </c>
      <c r="AX415" s="319">
        <v>0.6</v>
      </c>
      <c r="AY415" s="319">
        <v>0.6</v>
      </c>
      <c r="AZ415" s="319">
        <v>0.6</v>
      </c>
      <c r="BA415" s="319">
        <v>0.6</v>
      </c>
      <c r="BB415" s="319">
        <v>0.6</v>
      </c>
      <c r="BC415" s="319">
        <v>0.6</v>
      </c>
      <c r="BD415" s="319">
        <v>0.6</v>
      </c>
      <c r="BE415" s="319">
        <v>0.6</v>
      </c>
      <c r="BF415" s="3"/>
    </row>
    <row r="416" spans="1:58" ht="14.25" customHeight="1" x14ac:dyDescent="0.45">
      <c r="A416" s="618"/>
      <c r="B416" s="215"/>
      <c r="C416" s="220" t="s">
        <v>244</v>
      </c>
      <c r="D416" s="221" t="s">
        <v>245</v>
      </c>
      <c r="E416" s="309">
        <f t="shared" si="12"/>
        <v>0.37669999999999998</v>
      </c>
      <c r="F416" s="309">
        <f t="shared" si="12"/>
        <v>0.34789999999999999</v>
      </c>
      <c r="G416" s="310">
        <f t="shared" si="12"/>
        <v>0.33389999999999997</v>
      </c>
      <c r="H416" s="310">
        <f t="shared" si="12"/>
        <v>0.37369999999999998</v>
      </c>
      <c r="I416" s="646">
        <v>0.62</v>
      </c>
      <c r="J416" s="646">
        <v>0.62</v>
      </c>
      <c r="K416" s="646">
        <v>0.62</v>
      </c>
      <c r="L416" s="646">
        <v>0.62</v>
      </c>
      <c r="M416" s="646">
        <v>0.62</v>
      </c>
      <c r="N416" s="646">
        <v>0.62</v>
      </c>
      <c r="O416" s="646">
        <v>0.62</v>
      </c>
      <c r="P416" s="646">
        <v>0.62</v>
      </c>
      <c r="Q416" s="646">
        <v>0.62</v>
      </c>
      <c r="R416" s="646">
        <v>0.62</v>
      </c>
      <c r="S416" s="646">
        <v>0.62</v>
      </c>
      <c r="T416" s="646">
        <v>0.62</v>
      </c>
      <c r="U416" s="646">
        <v>0.62</v>
      </c>
      <c r="V416" s="646">
        <v>0.62</v>
      </c>
      <c r="W416" s="646">
        <v>0.62</v>
      </c>
      <c r="X416" s="646">
        <v>0.62</v>
      </c>
      <c r="Y416" s="646">
        <v>0.62</v>
      </c>
      <c r="Z416" s="646">
        <v>0.62</v>
      </c>
      <c r="AA416" s="646">
        <v>0.62</v>
      </c>
      <c r="AB416" s="646">
        <v>0.62</v>
      </c>
      <c r="AC416" s="646">
        <v>0.62</v>
      </c>
      <c r="AD416" s="646">
        <v>0.62</v>
      </c>
      <c r="AE416" s="646">
        <v>0.62</v>
      </c>
      <c r="AF416" s="646">
        <v>0.62</v>
      </c>
      <c r="AG416" s="646">
        <v>0.62</v>
      </c>
      <c r="AH416" s="646">
        <v>0.62</v>
      </c>
      <c r="AI416" s="646">
        <v>0.62</v>
      </c>
      <c r="AJ416" s="646">
        <v>0.62</v>
      </c>
      <c r="AK416" s="646">
        <v>0.62</v>
      </c>
      <c r="AL416" s="646">
        <v>0.62</v>
      </c>
      <c r="AM416" s="646">
        <v>0.62</v>
      </c>
      <c r="AN416" s="646">
        <v>0.62</v>
      </c>
      <c r="AO416" s="646">
        <v>0.62</v>
      </c>
      <c r="AP416" s="646">
        <v>0.62</v>
      </c>
      <c r="AQ416" s="646">
        <v>0.62</v>
      </c>
      <c r="AR416" s="646">
        <v>0.62</v>
      </c>
      <c r="AS416" s="646">
        <v>0.62</v>
      </c>
      <c r="AT416" s="646">
        <v>0.62</v>
      </c>
      <c r="AU416" s="646">
        <v>0.62</v>
      </c>
      <c r="AV416" s="646">
        <v>0.62</v>
      </c>
      <c r="AW416" s="646">
        <v>0.62</v>
      </c>
      <c r="AX416" s="646">
        <v>0.62</v>
      </c>
      <c r="AY416" s="646">
        <v>0.62</v>
      </c>
      <c r="AZ416" s="646">
        <v>0.62</v>
      </c>
      <c r="BA416" s="646">
        <v>0.62</v>
      </c>
      <c r="BB416" s="646">
        <v>0.62</v>
      </c>
      <c r="BC416" s="646">
        <v>0.62</v>
      </c>
      <c r="BD416" s="646">
        <v>0.62</v>
      </c>
      <c r="BE416" s="646">
        <v>0.62</v>
      </c>
      <c r="BF416" s="3"/>
    </row>
    <row r="417" spans="1:68" ht="14.25" customHeight="1" x14ac:dyDescent="0.45">
      <c r="A417" s="618"/>
      <c r="B417" s="215"/>
      <c r="C417" s="220"/>
      <c r="D417" s="228" t="s">
        <v>188</v>
      </c>
      <c r="E417" s="312">
        <f t="shared" si="12"/>
        <v>0.37790000000000001</v>
      </c>
      <c r="F417" s="312">
        <f t="shared" si="12"/>
        <v>0.3523</v>
      </c>
      <c r="G417" s="312">
        <f t="shared" si="12"/>
        <v>0.32450000000000001</v>
      </c>
      <c r="H417" s="312">
        <f t="shared" si="12"/>
        <v>0.30709999999999998</v>
      </c>
      <c r="I417" s="319">
        <v>0.38</v>
      </c>
      <c r="J417" s="319">
        <v>0.38</v>
      </c>
      <c r="K417" s="319">
        <v>0.38</v>
      </c>
      <c r="L417" s="319">
        <v>0.38</v>
      </c>
      <c r="M417" s="319">
        <v>0.38</v>
      </c>
      <c r="N417" s="319">
        <v>0.38</v>
      </c>
      <c r="O417" s="319">
        <v>0.38</v>
      </c>
      <c r="P417" s="319">
        <v>0.38</v>
      </c>
      <c r="Q417" s="319">
        <v>0.38</v>
      </c>
      <c r="R417" s="319">
        <v>0.38</v>
      </c>
      <c r="S417" s="319">
        <v>0.38</v>
      </c>
      <c r="T417" s="319">
        <v>0.38</v>
      </c>
      <c r="U417" s="319">
        <v>0.38</v>
      </c>
      <c r="V417" s="319">
        <v>0.38</v>
      </c>
      <c r="W417" s="319">
        <v>0.38</v>
      </c>
      <c r="X417" s="319">
        <v>0.38</v>
      </c>
      <c r="Y417" s="319">
        <v>0.38</v>
      </c>
      <c r="Z417" s="319">
        <v>0.38</v>
      </c>
      <c r="AA417" s="319">
        <v>0.38</v>
      </c>
      <c r="AB417" s="319">
        <v>0.38</v>
      </c>
      <c r="AC417" s="319">
        <v>0.38</v>
      </c>
      <c r="AD417" s="319">
        <v>0.38</v>
      </c>
      <c r="AE417" s="319">
        <v>0.38</v>
      </c>
      <c r="AF417" s="319">
        <v>0.38</v>
      </c>
      <c r="AG417" s="319">
        <v>0.38</v>
      </c>
      <c r="AH417" s="319">
        <v>0.38</v>
      </c>
      <c r="AI417" s="319">
        <v>0.38</v>
      </c>
      <c r="AJ417" s="319">
        <v>0.38</v>
      </c>
      <c r="AK417" s="319">
        <v>0.38</v>
      </c>
      <c r="AL417" s="319">
        <v>0.38</v>
      </c>
      <c r="AM417" s="319">
        <v>0.38</v>
      </c>
      <c r="AN417" s="319">
        <v>0.38</v>
      </c>
      <c r="AO417" s="319">
        <v>0.38</v>
      </c>
      <c r="AP417" s="319">
        <v>0.38</v>
      </c>
      <c r="AQ417" s="319">
        <v>0.38</v>
      </c>
      <c r="AR417" s="319">
        <v>0.38</v>
      </c>
      <c r="AS417" s="319">
        <v>0.38</v>
      </c>
      <c r="AT417" s="319">
        <v>0.38</v>
      </c>
      <c r="AU417" s="319">
        <v>0.38</v>
      </c>
      <c r="AV417" s="319">
        <v>0.38</v>
      </c>
      <c r="AW417" s="319">
        <v>0.38</v>
      </c>
      <c r="AX417" s="319">
        <v>0.38</v>
      </c>
      <c r="AY417" s="319">
        <v>0.38</v>
      </c>
      <c r="AZ417" s="319">
        <v>0.38</v>
      </c>
      <c r="BA417" s="319">
        <v>0.38</v>
      </c>
      <c r="BB417" s="319">
        <v>0.38</v>
      </c>
      <c r="BC417" s="319">
        <v>0.38</v>
      </c>
      <c r="BD417" s="319">
        <v>0.38</v>
      </c>
      <c r="BE417" s="319">
        <v>0.38</v>
      </c>
      <c r="BF417" s="3"/>
    </row>
    <row r="418" spans="1:68" ht="14.25" customHeight="1" x14ac:dyDescent="0.45">
      <c r="A418" s="618"/>
      <c r="B418" s="215"/>
      <c r="C418" s="220"/>
      <c r="D418" s="247" t="s">
        <v>238</v>
      </c>
      <c r="E418" s="313">
        <f t="shared" si="12"/>
        <v>0</v>
      </c>
      <c r="F418" s="313">
        <f t="shared" si="12"/>
        <v>0</v>
      </c>
      <c r="G418" s="313">
        <f t="shared" si="12"/>
        <v>0</v>
      </c>
      <c r="H418" s="313">
        <f t="shared" si="12"/>
        <v>0</v>
      </c>
      <c r="I418" s="319">
        <v>0</v>
      </c>
      <c r="J418" s="319">
        <v>0</v>
      </c>
      <c r="K418" s="319">
        <v>0</v>
      </c>
      <c r="L418" s="319">
        <v>0</v>
      </c>
      <c r="M418" s="319">
        <v>0</v>
      </c>
      <c r="N418" s="319">
        <v>0</v>
      </c>
      <c r="O418" s="319">
        <v>0</v>
      </c>
      <c r="P418" s="319">
        <v>0</v>
      </c>
      <c r="Q418" s="319">
        <v>0</v>
      </c>
      <c r="R418" s="319">
        <v>0</v>
      </c>
      <c r="S418" s="319">
        <v>0</v>
      </c>
      <c r="T418" s="319">
        <v>0</v>
      </c>
      <c r="U418" s="319">
        <v>0</v>
      </c>
      <c r="V418" s="319">
        <v>0</v>
      </c>
      <c r="W418" s="319">
        <v>0</v>
      </c>
      <c r="X418" s="319">
        <v>0</v>
      </c>
      <c r="Y418" s="319">
        <v>0</v>
      </c>
      <c r="Z418" s="319">
        <v>0</v>
      </c>
      <c r="AA418" s="319">
        <v>0</v>
      </c>
      <c r="AB418" s="319">
        <v>0</v>
      </c>
      <c r="AC418" s="319">
        <v>0</v>
      </c>
      <c r="AD418" s="319">
        <v>0</v>
      </c>
      <c r="AE418" s="319">
        <v>0</v>
      </c>
      <c r="AF418" s="319">
        <v>0</v>
      </c>
      <c r="AG418" s="319">
        <v>0</v>
      </c>
      <c r="AH418" s="319">
        <v>0</v>
      </c>
      <c r="AI418" s="319">
        <v>0</v>
      </c>
      <c r="AJ418" s="319">
        <v>0</v>
      </c>
      <c r="AK418" s="319">
        <v>0</v>
      </c>
      <c r="AL418" s="319">
        <v>0</v>
      </c>
      <c r="AM418" s="319">
        <v>0</v>
      </c>
      <c r="AN418" s="319">
        <v>0</v>
      </c>
      <c r="AO418" s="319">
        <v>0</v>
      </c>
      <c r="AP418" s="319">
        <v>0</v>
      </c>
      <c r="AQ418" s="319">
        <v>0</v>
      </c>
      <c r="AR418" s="319">
        <v>0</v>
      </c>
      <c r="AS418" s="319">
        <v>0</v>
      </c>
      <c r="AT418" s="319">
        <v>0</v>
      </c>
      <c r="AU418" s="319">
        <v>0</v>
      </c>
      <c r="AV418" s="319">
        <v>0</v>
      </c>
      <c r="AW418" s="319">
        <v>0</v>
      </c>
      <c r="AX418" s="319">
        <v>0</v>
      </c>
      <c r="AY418" s="319">
        <v>0</v>
      </c>
      <c r="AZ418" s="319">
        <v>0</v>
      </c>
      <c r="BA418" s="319">
        <v>0</v>
      </c>
      <c r="BB418" s="319">
        <v>0</v>
      </c>
      <c r="BC418" s="319">
        <v>0</v>
      </c>
      <c r="BD418" s="319">
        <v>0</v>
      </c>
      <c r="BE418" s="319">
        <v>0</v>
      </c>
      <c r="BF418" s="3"/>
    </row>
    <row r="419" spans="1:68" ht="14.25" customHeight="1" x14ac:dyDescent="0.45">
      <c r="A419" s="618"/>
      <c r="B419" s="215"/>
      <c r="C419" s="220" t="s">
        <v>246</v>
      </c>
      <c r="D419" s="221" t="s">
        <v>236</v>
      </c>
      <c r="E419" s="43">
        <f t="shared" si="12"/>
        <v>0.37390000000000001</v>
      </c>
      <c r="F419" s="43">
        <f t="shared" si="12"/>
        <v>0.36699999999999999</v>
      </c>
      <c r="G419" s="44">
        <f t="shared" si="12"/>
        <v>0.32700000000000001</v>
      </c>
      <c r="H419" s="45">
        <f t="shared" si="12"/>
        <v>0.33350000000000002</v>
      </c>
      <c r="I419" s="646">
        <v>0.58950000000000002</v>
      </c>
      <c r="J419" s="646">
        <v>0.58950000000000002</v>
      </c>
      <c r="K419" s="646">
        <v>0.58950000000000002</v>
      </c>
      <c r="L419" s="646">
        <v>0.58950000000000002</v>
      </c>
      <c r="M419" s="646">
        <v>0.58950000000000002</v>
      </c>
      <c r="N419" s="646">
        <v>0.58950000000000002</v>
      </c>
      <c r="O419" s="646">
        <v>0.58950000000000002</v>
      </c>
      <c r="P419" s="646">
        <v>0.58950000000000002</v>
      </c>
      <c r="Q419" s="646">
        <v>0.58950000000000002</v>
      </c>
      <c r="R419" s="646">
        <v>0.58950000000000002</v>
      </c>
      <c r="S419" s="646">
        <v>0.58950000000000002</v>
      </c>
      <c r="T419" s="646">
        <v>0.58950000000000002</v>
      </c>
      <c r="U419" s="646">
        <v>0.58950000000000002</v>
      </c>
      <c r="V419" s="646">
        <v>0.58950000000000002</v>
      </c>
      <c r="W419" s="646">
        <v>0.58950000000000002</v>
      </c>
      <c r="X419" s="646">
        <v>0.58950000000000002</v>
      </c>
      <c r="Y419" s="646">
        <v>0.58950000000000002</v>
      </c>
      <c r="Z419" s="646">
        <v>0.58950000000000002</v>
      </c>
      <c r="AA419" s="646">
        <v>0.58950000000000002</v>
      </c>
      <c r="AB419" s="646">
        <v>0.58950000000000002</v>
      </c>
      <c r="AC419" s="646">
        <v>0.58950000000000002</v>
      </c>
      <c r="AD419" s="646">
        <v>0.58950000000000002</v>
      </c>
      <c r="AE419" s="646">
        <v>0.58950000000000002</v>
      </c>
      <c r="AF419" s="646">
        <v>0.58950000000000002</v>
      </c>
      <c r="AG419" s="646">
        <v>0.58950000000000002</v>
      </c>
      <c r="AH419" s="646">
        <v>0.58950000000000002</v>
      </c>
      <c r="AI419" s="646">
        <v>0.58950000000000002</v>
      </c>
      <c r="AJ419" s="646">
        <v>0.58950000000000002</v>
      </c>
      <c r="AK419" s="646">
        <v>0.58950000000000002</v>
      </c>
      <c r="AL419" s="646">
        <v>0.58950000000000002</v>
      </c>
      <c r="AM419" s="646">
        <v>0.58950000000000002</v>
      </c>
      <c r="AN419" s="646">
        <v>0.58950000000000002</v>
      </c>
      <c r="AO419" s="646">
        <v>0.58950000000000002</v>
      </c>
      <c r="AP419" s="646">
        <v>0.58950000000000002</v>
      </c>
      <c r="AQ419" s="646">
        <v>0.58950000000000002</v>
      </c>
      <c r="AR419" s="646">
        <v>0.58950000000000002</v>
      </c>
      <c r="AS419" s="646">
        <v>0.58950000000000002</v>
      </c>
      <c r="AT419" s="646">
        <v>0.58950000000000002</v>
      </c>
      <c r="AU419" s="646">
        <v>0.58950000000000002</v>
      </c>
      <c r="AV419" s="646">
        <v>0.58950000000000002</v>
      </c>
      <c r="AW419" s="646">
        <v>0.58950000000000002</v>
      </c>
      <c r="AX419" s="646">
        <v>0.58950000000000002</v>
      </c>
      <c r="AY419" s="646">
        <v>0.58950000000000002</v>
      </c>
      <c r="AZ419" s="646">
        <v>0.58950000000000002</v>
      </c>
      <c r="BA419" s="646">
        <v>0.58950000000000002</v>
      </c>
      <c r="BB419" s="646">
        <v>0.58950000000000002</v>
      </c>
      <c r="BC419" s="646">
        <v>0.58950000000000002</v>
      </c>
      <c r="BD419" s="646">
        <v>0.58950000000000002</v>
      </c>
      <c r="BE419" s="646">
        <v>0.58950000000000002</v>
      </c>
      <c r="BF419" s="3"/>
    </row>
    <row r="420" spans="1:68" ht="14" customHeight="1" x14ac:dyDescent="0.45">
      <c r="A420" s="618"/>
      <c r="B420" s="215"/>
      <c r="C420" s="220" t="s">
        <v>247</v>
      </c>
      <c r="D420" s="221" t="s">
        <v>248</v>
      </c>
      <c r="E420" s="43">
        <f t="shared" si="12"/>
        <v>0.38979999999999998</v>
      </c>
      <c r="F420" s="43">
        <f t="shared" si="12"/>
        <v>0.35499999999999998</v>
      </c>
      <c r="G420" s="44">
        <f t="shared" si="12"/>
        <v>0.33960000000000001</v>
      </c>
      <c r="H420" s="46">
        <f t="shared" si="12"/>
        <v>0.30680000000000002</v>
      </c>
      <c r="I420" s="646">
        <v>0.57740000000000002</v>
      </c>
      <c r="J420" s="646">
        <v>0.57740000000000002</v>
      </c>
      <c r="K420" s="646">
        <v>0.57740000000000002</v>
      </c>
      <c r="L420" s="646">
        <v>0.57740000000000002</v>
      </c>
      <c r="M420" s="646">
        <v>0.57740000000000002</v>
      </c>
      <c r="N420" s="646">
        <v>0.57740000000000002</v>
      </c>
      <c r="O420" s="646">
        <v>0.57740000000000002</v>
      </c>
      <c r="P420" s="646">
        <v>0.57740000000000002</v>
      </c>
      <c r="Q420" s="646">
        <v>0.57740000000000002</v>
      </c>
      <c r="R420" s="646">
        <v>0.57740000000000002</v>
      </c>
      <c r="S420" s="646">
        <v>0.57740000000000002</v>
      </c>
      <c r="T420" s="646">
        <v>0.57740000000000002</v>
      </c>
      <c r="U420" s="646">
        <v>0.57740000000000002</v>
      </c>
      <c r="V420" s="646">
        <v>0.57740000000000002</v>
      </c>
      <c r="W420" s="646">
        <v>0.57740000000000002</v>
      </c>
      <c r="X420" s="646">
        <v>0.57740000000000002</v>
      </c>
      <c r="Y420" s="646">
        <v>0.57740000000000002</v>
      </c>
      <c r="Z420" s="646">
        <v>0.57740000000000002</v>
      </c>
      <c r="AA420" s="646">
        <v>0.57740000000000002</v>
      </c>
      <c r="AB420" s="646">
        <v>0.57740000000000002</v>
      </c>
      <c r="AC420" s="646">
        <v>0.57740000000000002</v>
      </c>
      <c r="AD420" s="646">
        <v>0.57740000000000002</v>
      </c>
      <c r="AE420" s="646">
        <v>0.57740000000000002</v>
      </c>
      <c r="AF420" s="646">
        <v>0.57740000000000002</v>
      </c>
      <c r="AG420" s="646">
        <v>0.57740000000000002</v>
      </c>
      <c r="AH420" s="646">
        <v>0.57740000000000002</v>
      </c>
      <c r="AI420" s="646">
        <v>0.57740000000000002</v>
      </c>
      <c r="AJ420" s="646">
        <v>0.57740000000000002</v>
      </c>
      <c r="AK420" s="646">
        <v>0.57740000000000002</v>
      </c>
      <c r="AL420" s="646">
        <v>0.57740000000000002</v>
      </c>
      <c r="AM420" s="646">
        <v>0.57740000000000002</v>
      </c>
      <c r="AN420" s="646">
        <v>0.57740000000000002</v>
      </c>
      <c r="AO420" s="646">
        <v>0.57740000000000002</v>
      </c>
      <c r="AP420" s="646">
        <v>0.57740000000000002</v>
      </c>
      <c r="AQ420" s="646">
        <v>0.57740000000000002</v>
      </c>
      <c r="AR420" s="646">
        <v>0.57740000000000002</v>
      </c>
      <c r="AS420" s="646">
        <v>0.57740000000000002</v>
      </c>
      <c r="AT420" s="646">
        <v>0.57740000000000002</v>
      </c>
      <c r="AU420" s="646">
        <v>0.57740000000000002</v>
      </c>
      <c r="AV420" s="646">
        <v>0.57740000000000002</v>
      </c>
      <c r="AW420" s="646">
        <v>0.57740000000000002</v>
      </c>
      <c r="AX420" s="646">
        <v>0.57740000000000002</v>
      </c>
      <c r="AY420" s="646">
        <v>0.57740000000000002</v>
      </c>
      <c r="AZ420" s="646">
        <v>0.57740000000000002</v>
      </c>
      <c r="BA420" s="646">
        <v>0.57740000000000002</v>
      </c>
      <c r="BB420" s="646">
        <v>0.57740000000000002</v>
      </c>
      <c r="BC420" s="646">
        <v>0.57740000000000002</v>
      </c>
      <c r="BD420" s="646">
        <v>0.57740000000000002</v>
      </c>
      <c r="BE420" s="646">
        <v>0.57740000000000002</v>
      </c>
      <c r="BF420" s="3"/>
    </row>
    <row r="421" spans="1:68" ht="14.25" customHeight="1" x14ac:dyDescent="0.45">
      <c r="A421" s="618"/>
      <c r="B421" s="215"/>
      <c r="C421" s="220" t="s">
        <v>249</v>
      </c>
      <c r="D421" s="221" t="s">
        <v>240</v>
      </c>
      <c r="E421" s="43">
        <f t="shared" si="12"/>
        <v>0.30830000000000002</v>
      </c>
      <c r="F421" s="43">
        <f t="shared" si="12"/>
        <v>0.18010000000000001</v>
      </c>
      <c r="G421" s="44">
        <f t="shared" si="12"/>
        <v>0.16</v>
      </c>
      <c r="H421" s="46">
        <f t="shared" si="12"/>
        <v>4.6600000000000003E-2</v>
      </c>
      <c r="I421" s="646">
        <v>0.58950000000000002</v>
      </c>
      <c r="J421" s="646">
        <v>0.58950000000000002</v>
      </c>
      <c r="K421" s="646">
        <v>0.58950000000000002</v>
      </c>
      <c r="L421" s="646">
        <v>0.58950000000000002</v>
      </c>
      <c r="M421" s="646">
        <v>0.58950000000000002</v>
      </c>
      <c r="N421" s="646">
        <v>0.58950000000000002</v>
      </c>
      <c r="O421" s="646">
        <v>0.58950000000000002</v>
      </c>
      <c r="P421" s="646">
        <v>0.58950000000000002</v>
      </c>
      <c r="Q421" s="646">
        <v>0.58950000000000002</v>
      </c>
      <c r="R421" s="646">
        <v>0.58950000000000002</v>
      </c>
      <c r="S421" s="646">
        <v>0.58950000000000002</v>
      </c>
      <c r="T421" s="646">
        <v>0.58950000000000002</v>
      </c>
      <c r="U421" s="646">
        <v>0.58950000000000002</v>
      </c>
      <c r="V421" s="646">
        <v>0.58950000000000002</v>
      </c>
      <c r="W421" s="646">
        <v>0.58950000000000002</v>
      </c>
      <c r="X421" s="646">
        <v>0.58950000000000002</v>
      </c>
      <c r="Y421" s="646">
        <v>0.58950000000000002</v>
      </c>
      <c r="Z421" s="646">
        <v>0.58950000000000002</v>
      </c>
      <c r="AA421" s="646">
        <v>0.58950000000000002</v>
      </c>
      <c r="AB421" s="646">
        <v>0.58950000000000002</v>
      </c>
      <c r="AC421" s="646">
        <v>0.58950000000000002</v>
      </c>
      <c r="AD421" s="646">
        <v>0.58950000000000002</v>
      </c>
      <c r="AE421" s="646">
        <v>0.58950000000000002</v>
      </c>
      <c r="AF421" s="646">
        <v>0.58950000000000002</v>
      </c>
      <c r="AG421" s="646">
        <v>0.58950000000000002</v>
      </c>
      <c r="AH421" s="646">
        <v>0.58950000000000002</v>
      </c>
      <c r="AI421" s="646">
        <v>0.58950000000000002</v>
      </c>
      <c r="AJ421" s="646">
        <v>0.58950000000000002</v>
      </c>
      <c r="AK421" s="646">
        <v>0.58950000000000002</v>
      </c>
      <c r="AL421" s="646">
        <v>0.58950000000000002</v>
      </c>
      <c r="AM421" s="646">
        <v>0.58950000000000002</v>
      </c>
      <c r="AN421" s="646">
        <v>0.58950000000000002</v>
      </c>
      <c r="AO421" s="646">
        <v>0.58950000000000002</v>
      </c>
      <c r="AP421" s="646">
        <v>0.58950000000000002</v>
      </c>
      <c r="AQ421" s="646">
        <v>0.58950000000000002</v>
      </c>
      <c r="AR421" s="646">
        <v>0.58950000000000002</v>
      </c>
      <c r="AS421" s="646">
        <v>0.58950000000000002</v>
      </c>
      <c r="AT421" s="646">
        <v>0.58950000000000002</v>
      </c>
      <c r="AU421" s="646">
        <v>0.58950000000000002</v>
      </c>
      <c r="AV421" s="646">
        <v>0.58950000000000002</v>
      </c>
      <c r="AW421" s="646">
        <v>0.58950000000000002</v>
      </c>
      <c r="AX421" s="646">
        <v>0.58950000000000002</v>
      </c>
      <c r="AY421" s="646">
        <v>0.58950000000000002</v>
      </c>
      <c r="AZ421" s="646">
        <v>0.58950000000000002</v>
      </c>
      <c r="BA421" s="646">
        <v>0.58950000000000002</v>
      </c>
      <c r="BB421" s="646">
        <v>0.58950000000000002</v>
      </c>
      <c r="BC421" s="646">
        <v>0.58950000000000002</v>
      </c>
      <c r="BD421" s="646">
        <v>0.58950000000000002</v>
      </c>
      <c r="BE421" s="646">
        <v>0.58950000000000002</v>
      </c>
      <c r="BF421" s="3"/>
    </row>
    <row r="422" spans="1:68" ht="14.25" customHeight="1" x14ac:dyDescent="0.45">
      <c r="A422" s="618"/>
      <c r="B422" s="215"/>
      <c r="C422" s="220"/>
      <c r="D422" s="228" t="s">
        <v>193</v>
      </c>
      <c r="E422" s="229">
        <f t="shared" si="12"/>
        <v>0.2225</v>
      </c>
      <c r="F422" s="229">
        <f t="shared" si="12"/>
        <v>0.2082</v>
      </c>
      <c r="G422" s="229">
        <f t="shared" si="12"/>
        <v>3.8899999999999997E-2</v>
      </c>
      <c r="H422" s="229">
        <f t="shared" si="12"/>
        <v>0.21529999999999999</v>
      </c>
      <c r="I422" s="319">
        <v>0.22</v>
      </c>
      <c r="J422" s="319">
        <v>0.22</v>
      </c>
      <c r="K422" s="319">
        <v>0.22</v>
      </c>
      <c r="L422" s="319">
        <v>0.22</v>
      </c>
      <c r="M422" s="319">
        <v>0.22</v>
      </c>
      <c r="N422" s="319">
        <v>0.22</v>
      </c>
      <c r="O422" s="319">
        <v>0.22</v>
      </c>
      <c r="P422" s="319">
        <v>0.22</v>
      </c>
      <c r="Q422" s="319">
        <v>0.22</v>
      </c>
      <c r="R422" s="319">
        <v>0.22</v>
      </c>
      <c r="S422" s="319">
        <v>0.22</v>
      </c>
      <c r="T422" s="319">
        <v>0.22</v>
      </c>
      <c r="U422" s="319">
        <v>0.22</v>
      </c>
      <c r="V422" s="319">
        <v>0.22</v>
      </c>
      <c r="W422" s="319">
        <v>0.22</v>
      </c>
      <c r="X422" s="319">
        <v>0.22</v>
      </c>
      <c r="Y422" s="319">
        <v>0.22</v>
      </c>
      <c r="Z422" s="319">
        <v>0.22</v>
      </c>
      <c r="AA422" s="319">
        <v>0.22</v>
      </c>
      <c r="AB422" s="319">
        <v>0.22</v>
      </c>
      <c r="AC422" s="319">
        <v>0.22</v>
      </c>
      <c r="AD422" s="319">
        <v>0.22</v>
      </c>
      <c r="AE422" s="319">
        <v>0.22</v>
      </c>
      <c r="AF422" s="319">
        <v>0.22</v>
      </c>
      <c r="AG422" s="319">
        <v>0.22</v>
      </c>
      <c r="AH422" s="319">
        <v>0.22</v>
      </c>
      <c r="AI422" s="319">
        <v>0.22</v>
      </c>
      <c r="AJ422" s="319">
        <v>0.22</v>
      </c>
      <c r="AK422" s="319">
        <v>0.22</v>
      </c>
      <c r="AL422" s="319">
        <v>0.22</v>
      </c>
      <c r="AM422" s="319">
        <v>0.22</v>
      </c>
      <c r="AN422" s="319">
        <v>0.22</v>
      </c>
      <c r="AO422" s="319">
        <v>0.22</v>
      </c>
      <c r="AP422" s="319">
        <v>0.22</v>
      </c>
      <c r="AQ422" s="319">
        <v>0.22</v>
      </c>
      <c r="AR422" s="319">
        <v>0.22</v>
      </c>
      <c r="AS422" s="319">
        <v>0.22</v>
      </c>
      <c r="AT422" s="319">
        <v>0.22</v>
      </c>
      <c r="AU422" s="319">
        <v>0.22</v>
      </c>
      <c r="AV422" s="319">
        <v>0.22</v>
      </c>
      <c r="AW422" s="319">
        <v>0.22</v>
      </c>
      <c r="AX422" s="319">
        <v>0.22</v>
      </c>
      <c r="AY422" s="319">
        <v>0.22</v>
      </c>
      <c r="AZ422" s="319">
        <v>0.22</v>
      </c>
      <c r="BA422" s="319">
        <v>0.22</v>
      </c>
      <c r="BB422" s="319">
        <v>0.22</v>
      </c>
      <c r="BC422" s="319">
        <v>0.22</v>
      </c>
      <c r="BD422" s="319">
        <v>0.22</v>
      </c>
      <c r="BE422" s="319">
        <v>0.22</v>
      </c>
      <c r="BF422" s="3"/>
    </row>
    <row r="423" spans="1:68" ht="14.25" customHeight="1" x14ac:dyDescent="0.45">
      <c r="A423" s="618"/>
      <c r="B423" s="215"/>
      <c r="C423" s="220"/>
      <c r="D423" s="247" t="s">
        <v>225</v>
      </c>
      <c r="E423" s="306">
        <f t="shared" si="12"/>
        <v>0</v>
      </c>
      <c r="F423" s="306">
        <f t="shared" si="12"/>
        <v>0</v>
      </c>
      <c r="G423" s="306">
        <f t="shared" si="12"/>
        <v>0</v>
      </c>
      <c r="H423" s="306">
        <f t="shared" si="12"/>
        <v>0</v>
      </c>
      <c r="I423" s="319">
        <v>0</v>
      </c>
      <c r="J423" s="319">
        <v>0</v>
      </c>
      <c r="K423" s="319">
        <v>0</v>
      </c>
      <c r="L423" s="319">
        <v>0</v>
      </c>
      <c r="M423" s="319">
        <v>0</v>
      </c>
      <c r="N423" s="319">
        <v>0</v>
      </c>
      <c r="O423" s="319">
        <v>0</v>
      </c>
      <c r="P423" s="319">
        <v>0</v>
      </c>
      <c r="Q423" s="319">
        <v>0</v>
      </c>
      <c r="R423" s="319">
        <v>0</v>
      </c>
      <c r="S423" s="319">
        <v>0</v>
      </c>
      <c r="T423" s="319">
        <v>0</v>
      </c>
      <c r="U423" s="319">
        <v>0</v>
      </c>
      <c r="V423" s="319">
        <v>0</v>
      </c>
      <c r="W423" s="319">
        <v>0</v>
      </c>
      <c r="X423" s="319">
        <v>0</v>
      </c>
      <c r="Y423" s="319">
        <v>0</v>
      </c>
      <c r="Z423" s="319">
        <v>0</v>
      </c>
      <c r="AA423" s="319">
        <v>0</v>
      </c>
      <c r="AB423" s="319">
        <v>0</v>
      </c>
      <c r="AC423" s="319">
        <v>0</v>
      </c>
      <c r="AD423" s="319">
        <v>0</v>
      </c>
      <c r="AE423" s="319">
        <v>0</v>
      </c>
      <c r="AF423" s="319">
        <v>0</v>
      </c>
      <c r="AG423" s="319">
        <v>0</v>
      </c>
      <c r="AH423" s="319">
        <v>0</v>
      </c>
      <c r="AI423" s="319">
        <v>0</v>
      </c>
      <c r="AJ423" s="319">
        <v>0</v>
      </c>
      <c r="AK423" s="319">
        <v>0</v>
      </c>
      <c r="AL423" s="319">
        <v>0</v>
      </c>
      <c r="AM423" s="319">
        <v>0</v>
      </c>
      <c r="AN423" s="319">
        <v>0</v>
      </c>
      <c r="AO423" s="319">
        <v>0</v>
      </c>
      <c r="AP423" s="319">
        <v>0</v>
      </c>
      <c r="AQ423" s="319">
        <v>0</v>
      </c>
      <c r="AR423" s="319">
        <v>0</v>
      </c>
      <c r="AS423" s="319">
        <v>0</v>
      </c>
      <c r="AT423" s="319">
        <v>0</v>
      </c>
      <c r="AU423" s="319">
        <v>0</v>
      </c>
      <c r="AV423" s="319">
        <v>0</v>
      </c>
      <c r="AW423" s="319">
        <v>0</v>
      </c>
      <c r="AX423" s="319">
        <v>0</v>
      </c>
      <c r="AY423" s="319">
        <v>0</v>
      </c>
      <c r="AZ423" s="319">
        <v>0</v>
      </c>
      <c r="BA423" s="319">
        <v>0</v>
      </c>
      <c r="BB423" s="319">
        <v>0</v>
      </c>
      <c r="BC423" s="319">
        <v>0</v>
      </c>
      <c r="BD423" s="319">
        <v>0</v>
      </c>
      <c r="BE423" s="319">
        <v>0</v>
      </c>
      <c r="BF423" s="3"/>
    </row>
    <row r="424" spans="1:68" ht="14.25" customHeight="1" x14ac:dyDescent="0.45">
      <c r="A424" s="618"/>
      <c r="B424" s="215"/>
      <c r="C424" s="220" t="s">
        <v>250</v>
      </c>
      <c r="D424" s="221" t="s">
        <v>236</v>
      </c>
      <c r="E424" s="47">
        <f t="shared" si="12"/>
        <v>8.0000000000000004E-4</v>
      </c>
      <c r="F424" s="47">
        <f>ROUND(IFERROR(F326/($E$348*0.0036*F81*$F$348),0),4)</f>
        <v>0</v>
      </c>
      <c r="G424" s="47">
        <f t="shared" si="12"/>
        <v>0</v>
      </c>
      <c r="H424" s="47">
        <f t="shared" si="12"/>
        <v>0</v>
      </c>
      <c r="I424" s="646">
        <v>0.58950000000000002</v>
      </c>
      <c r="J424" s="646">
        <v>0.58950000000000002</v>
      </c>
      <c r="K424" s="646">
        <v>0.58950000000000002</v>
      </c>
      <c r="L424" s="646">
        <v>0.58950000000000002</v>
      </c>
      <c r="M424" s="646">
        <v>0.58950000000000002</v>
      </c>
      <c r="N424" s="646">
        <v>0.58950000000000002</v>
      </c>
      <c r="O424" s="646">
        <v>0.58950000000000002</v>
      </c>
      <c r="P424" s="646">
        <v>0.58950000000000002</v>
      </c>
      <c r="Q424" s="646">
        <v>0.58950000000000002</v>
      </c>
      <c r="R424" s="646">
        <v>0.58950000000000002</v>
      </c>
      <c r="S424" s="646">
        <v>0.58950000000000002</v>
      </c>
      <c r="T424" s="646">
        <v>0.58950000000000002</v>
      </c>
      <c r="U424" s="646">
        <v>0.58950000000000002</v>
      </c>
      <c r="V424" s="646">
        <v>0.58950000000000002</v>
      </c>
      <c r="W424" s="646">
        <v>0.58950000000000002</v>
      </c>
      <c r="X424" s="646">
        <v>0.58950000000000002</v>
      </c>
      <c r="Y424" s="646">
        <v>0.58950000000000002</v>
      </c>
      <c r="Z424" s="646">
        <v>0.58950000000000002</v>
      </c>
      <c r="AA424" s="646">
        <v>0.58950000000000002</v>
      </c>
      <c r="AB424" s="646">
        <v>0.58950000000000002</v>
      </c>
      <c r="AC424" s="646">
        <v>0.58950000000000002</v>
      </c>
      <c r="AD424" s="646">
        <v>0.58950000000000002</v>
      </c>
      <c r="AE424" s="646">
        <v>0.58950000000000002</v>
      </c>
      <c r="AF424" s="646">
        <v>0.58950000000000002</v>
      </c>
      <c r="AG424" s="646">
        <v>0.58950000000000002</v>
      </c>
      <c r="AH424" s="646">
        <v>0.58950000000000002</v>
      </c>
      <c r="AI424" s="646">
        <v>0.58950000000000002</v>
      </c>
      <c r="AJ424" s="646">
        <v>0.58950000000000002</v>
      </c>
      <c r="AK424" s="646">
        <v>0.58950000000000002</v>
      </c>
      <c r="AL424" s="646">
        <v>0.58950000000000002</v>
      </c>
      <c r="AM424" s="646">
        <v>0.58950000000000002</v>
      </c>
      <c r="AN424" s="646">
        <v>0.58950000000000002</v>
      </c>
      <c r="AO424" s="646">
        <v>0.58950000000000002</v>
      </c>
      <c r="AP424" s="646">
        <v>0.58950000000000002</v>
      </c>
      <c r="AQ424" s="646">
        <v>0.58950000000000002</v>
      </c>
      <c r="AR424" s="646">
        <v>0.58950000000000002</v>
      </c>
      <c r="AS424" s="646">
        <v>0.58950000000000002</v>
      </c>
      <c r="AT424" s="646">
        <v>0.58950000000000002</v>
      </c>
      <c r="AU424" s="646">
        <v>0.58950000000000002</v>
      </c>
      <c r="AV424" s="646">
        <v>0.58950000000000002</v>
      </c>
      <c r="AW424" s="646">
        <v>0.58950000000000002</v>
      </c>
      <c r="AX424" s="646">
        <v>0.58950000000000002</v>
      </c>
      <c r="AY424" s="646">
        <v>0.58950000000000002</v>
      </c>
      <c r="AZ424" s="646">
        <v>0.58950000000000002</v>
      </c>
      <c r="BA424" s="646">
        <v>0.58950000000000002</v>
      </c>
      <c r="BB424" s="646">
        <v>0.58950000000000002</v>
      </c>
      <c r="BC424" s="646">
        <v>0.58950000000000002</v>
      </c>
      <c r="BD424" s="646">
        <v>0.58950000000000002</v>
      </c>
      <c r="BE424" s="646">
        <v>0.58950000000000002</v>
      </c>
      <c r="BF424" s="3"/>
    </row>
    <row r="425" spans="1:68" ht="14.25" customHeight="1" x14ac:dyDescent="0.45">
      <c r="A425" s="618"/>
      <c r="B425" s="215"/>
      <c r="C425" s="220"/>
      <c r="D425" s="247" t="s">
        <v>230</v>
      </c>
      <c r="E425" s="306">
        <f t="shared" si="12"/>
        <v>0</v>
      </c>
      <c r="F425" s="306">
        <f t="shared" si="12"/>
        <v>0</v>
      </c>
      <c r="G425" s="306">
        <f t="shared" si="12"/>
        <v>0</v>
      </c>
      <c r="H425" s="306">
        <f t="shared" si="12"/>
        <v>0</v>
      </c>
      <c r="I425" s="319">
        <v>0</v>
      </c>
      <c r="J425" s="319">
        <v>0</v>
      </c>
      <c r="K425" s="319">
        <v>0</v>
      </c>
      <c r="L425" s="319">
        <v>0</v>
      </c>
      <c r="M425" s="319">
        <v>0</v>
      </c>
      <c r="N425" s="319">
        <v>0</v>
      </c>
      <c r="O425" s="319">
        <v>0</v>
      </c>
      <c r="P425" s="319">
        <v>0</v>
      </c>
      <c r="Q425" s="319">
        <v>0</v>
      </c>
      <c r="R425" s="319">
        <v>0</v>
      </c>
      <c r="S425" s="319">
        <v>0</v>
      </c>
      <c r="T425" s="319">
        <v>0</v>
      </c>
      <c r="U425" s="319">
        <v>0</v>
      </c>
      <c r="V425" s="319">
        <v>0</v>
      </c>
      <c r="W425" s="319">
        <v>0</v>
      </c>
      <c r="X425" s="319">
        <v>0</v>
      </c>
      <c r="Y425" s="319">
        <v>0</v>
      </c>
      <c r="Z425" s="319">
        <v>0</v>
      </c>
      <c r="AA425" s="319">
        <v>0</v>
      </c>
      <c r="AB425" s="319">
        <v>0</v>
      </c>
      <c r="AC425" s="319">
        <v>0</v>
      </c>
      <c r="AD425" s="319">
        <v>0</v>
      </c>
      <c r="AE425" s="319">
        <v>0</v>
      </c>
      <c r="AF425" s="319">
        <v>0</v>
      </c>
      <c r="AG425" s="319">
        <v>0</v>
      </c>
      <c r="AH425" s="319">
        <v>0</v>
      </c>
      <c r="AI425" s="319">
        <v>0</v>
      </c>
      <c r="AJ425" s="319">
        <v>0</v>
      </c>
      <c r="AK425" s="319">
        <v>0</v>
      </c>
      <c r="AL425" s="319">
        <v>0</v>
      </c>
      <c r="AM425" s="319">
        <v>0</v>
      </c>
      <c r="AN425" s="319">
        <v>0</v>
      </c>
      <c r="AO425" s="319">
        <v>0</v>
      </c>
      <c r="AP425" s="319">
        <v>0</v>
      </c>
      <c r="AQ425" s="319">
        <v>0</v>
      </c>
      <c r="AR425" s="319">
        <v>0</v>
      </c>
      <c r="AS425" s="319">
        <v>0</v>
      </c>
      <c r="AT425" s="319">
        <v>0</v>
      </c>
      <c r="AU425" s="319">
        <v>0</v>
      </c>
      <c r="AV425" s="319">
        <v>0</v>
      </c>
      <c r="AW425" s="319">
        <v>0</v>
      </c>
      <c r="AX425" s="319">
        <v>0</v>
      </c>
      <c r="AY425" s="319">
        <v>0</v>
      </c>
      <c r="AZ425" s="319">
        <v>0</v>
      </c>
      <c r="BA425" s="319">
        <v>0</v>
      </c>
      <c r="BB425" s="319">
        <v>0</v>
      </c>
      <c r="BC425" s="319">
        <v>0</v>
      </c>
      <c r="BD425" s="319">
        <v>0</v>
      </c>
      <c r="BE425" s="319">
        <v>0</v>
      </c>
      <c r="BF425" s="3"/>
    </row>
    <row r="426" spans="1:68" ht="14.25" customHeight="1" x14ac:dyDescent="0.45">
      <c r="A426" s="618"/>
      <c r="B426" s="215"/>
      <c r="C426" s="220" t="s">
        <v>251</v>
      </c>
      <c r="D426" s="221" t="s">
        <v>236</v>
      </c>
      <c r="E426" s="218">
        <f t="shared" si="12"/>
        <v>1E-3</v>
      </c>
      <c r="F426" s="218">
        <f t="shared" si="12"/>
        <v>4.0000000000000002E-4</v>
      </c>
      <c r="G426" s="218">
        <f t="shared" si="12"/>
        <v>0</v>
      </c>
      <c r="H426" s="218">
        <f t="shared" si="12"/>
        <v>0</v>
      </c>
      <c r="I426" s="646">
        <v>0.58950000000000002</v>
      </c>
      <c r="J426" s="646">
        <v>0.58950000000000002</v>
      </c>
      <c r="K426" s="646">
        <v>0.58950000000000002</v>
      </c>
      <c r="L426" s="646">
        <v>0.58950000000000002</v>
      </c>
      <c r="M426" s="646">
        <v>0.58950000000000002</v>
      </c>
      <c r="N426" s="646">
        <v>0.58950000000000002</v>
      </c>
      <c r="O426" s="646">
        <v>0.58950000000000002</v>
      </c>
      <c r="P426" s="646">
        <v>0.58950000000000002</v>
      </c>
      <c r="Q426" s="646">
        <v>0.58950000000000002</v>
      </c>
      <c r="R426" s="646">
        <v>0.58950000000000002</v>
      </c>
      <c r="S426" s="646">
        <v>0.58950000000000002</v>
      </c>
      <c r="T426" s="646">
        <v>0.58950000000000002</v>
      </c>
      <c r="U426" s="646">
        <v>0.58950000000000002</v>
      </c>
      <c r="V426" s="646">
        <v>0.58950000000000002</v>
      </c>
      <c r="W426" s="646">
        <v>0.58950000000000002</v>
      </c>
      <c r="X426" s="646">
        <v>0.58950000000000002</v>
      </c>
      <c r="Y426" s="646">
        <v>0.58950000000000002</v>
      </c>
      <c r="Z426" s="646">
        <v>0.58950000000000002</v>
      </c>
      <c r="AA426" s="646">
        <v>0.58950000000000002</v>
      </c>
      <c r="AB426" s="646">
        <v>0.58950000000000002</v>
      </c>
      <c r="AC426" s="646">
        <v>0.58950000000000002</v>
      </c>
      <c r="AD426" s="646">
        <v>0.58950000000000002</v>
      </c>
      <c r="AE426" s="646">
        <v>0.58950000000000002</v>
      </c>
      <c r="AF426" s="646">
        <v>0.58950000000000002</v>
      </c>
      <c r="AG426" s="646">
        <v>0.58950000000000002</v>
      </c>
      <c r="AH426" s="646">
        <v>0.58950000000000002</v>
      </c>
      <c r="AI426" s="646">
        <v>0.58950000000000002</v>
      </c>
      <c r="AJ426" s="646">
        <v>0.58950000000000002</v>
      </c>
      <c r="AK426" s="646">
        <v>0.58950000000000002</v>
      </c>
      <c r="AL426" s="646">
        <v>0.58950000000000002</v>
      </c>
      <c r="AM426" s="646">
        <v>0.58950000000000002</v>
      </c>
      <c r="AN426" s="646">
        <v>0.58950000000000002</v>
      </c>
      <c r="AO426" s="646">
        <v>0.58950000000000002</v>
      </c>
      <c r="AP426" s="646">
        <v>0.58950000000000002</v>
      </c>
      <c r="AQ426" s="646">
        <v>0.58950000000000002</v>
      </c>
      <c r="AR426" s="646">
        <v>0.58950000000000002</v>
      </c>
      <c r="AS426" s="646">
        <v>0.58950000000000002</v>
      </c>
      <c r="AT426" s="646">
        <v>0.58950000000000002</v>
      </c>
      <c r="AU426" s="646">
        <v>0.58950000000000002</v>
      </c>
      <c r="AV426" s="646">
        <v>0.58950000000000002</v>
      </c>
      <c r="AW426" s="646">
        <v>0.58950000000000002</v>
      </c>
      <c r="AX426" s="646">
        <v>0.58950000000000002</v>
      </c>
      <c r="AY426" s="646">
        <v>0.58950000000000002</v>
      </c>
      <c r="AZ426" s="646">
        <v>0.58950000000000002</v>
      </c>
      <c r="BA426" s="646">
        <v>0.58950000000000002</v>
      </c>
      <c r="BB426" s="646">
        <v>0.58950000000000002</v>
      </c>
      <c r="BC426" s="646">
        <v>0.58950000000000002</v>
      </c>
      <c r="BD426" s="646">
        <v>0.58950000000000002</v>
      </c>
      <c r="BE426" s="646">
        <v>0.58950000000000002</v>
      </c>
      <c r="BF426" s="3"/>
    </row>
    <row r="427" spans="1:68" ht="14.25" customHeight="1" x14ac:dyDescent="0.45">
      <c r="A427" s="618"/>
      <c r="B427" s="215"/>
      <c r="C427" s="220"/>
      <c r="D427" s="247" t="s">
        <v>238</v>
      </c>
      <c r="E427" s="306">
        <f t="shared" si="12"/>
        <v>0</v>
      </c>
      <c r="F427" s="306">
        <f t="shared" si="12"/>
        <v>0</v>
      </c>
      <c r="G427" s="306">
        <f t="shared" si="12"/>
        <v>0</v>
      </c>
      <c r="H427" s="306">
        <f t="shared" si="12"/>
        <v>0</v>
      </c>
      <c r="I427" s="319">
        <v>0</v>
      </c>
      <c r="J427" s="319">
        <v>0</v>
      </c>
      <c r="K427" s="319">
        <v>0</v>
      </c>
      <c r="L427" s="319">
        <v>0</v>
      </c>
      <c r="M427" s="319">
        <v>0</v>
      </c>
      <c r="N427" s="319">
        <v>0</v>
      </c>
      <c r="O427" s="319">
        <v>0</v>
      </c>
      <c r="P427" s="319">
        <v>0</v>
      </c>
      <c r="Q427" s="319">
        <v>0</v>
      </c>
      <c r="R427" s="319">
        <v>0</v>
      </c>
      <c r="S427" s="319">
        <v>0</v>
      </c>
      <c r="T427" s="319">
        <v>0</v>
      </c>
      <c r="U427" s="319">
        <v>0</v>
      </c>
      <c r="V427" s="319">
        <v>0</v>
      </c>
      <c r="W427" s="319">
        <v>0</v>
      </c>
      <c r="X427" s="319">
        <v>0</v>
      </c>
      <c r="Y427" s="319">
        <v>0</v>
      </c>
      <c r="Z427" s="319">
        <v>0</v>
      </c>
      <c r="AA427" s="319">
        <v>0</v>
      </c>
      <c r="AB427" s="319">
        <v>0</v>
      </c>
      <c r="AC427" s="319">
        <v>0</v>
      </c>
      <c r="AD427" s="319">
        <v>0</v>
      </c>
      <c r="AE427" s="319">
        <v>0</v>
      </c>
      <c r="AF427" s="319">
        <v>0</v>
      </c>
      <c r="AG427" s="319">
        <v>0</v>
      </c>
      <c r="AH427" s="319">
        <v>0</v>
      </c>
      <c r="AI427" s="319">
        <v>0</v>
      </c>
      <c r="AJ427" s="319">
        <v>0</v>
      </c>
      <c r="AK427" s="319">
        <v>0</v>
      </c>
      <c r="AL427" s="319">
        <v>0</v>
      </c>
      <c r="AM427" s="319">
        <v>0</v>
      </c>
      <c r="AN427" s="319">
        <v>0</v>
      </c>
      <c r="AO427" s="319">
        <v>0</v>
      </c>
      <c r="AP427" s="319">
        <v>0</v>
      </c>
      <c r="AQ427" s="319">
        <v>0</v>
      </c>
      <c r="AR427" s="319">
        <v>0</v>
      </c>
      <c r="AS427" s="319">
        <v>0</v>
      </c>
      <c r="AT427" s="319">
        <v>0</v>
      </c>
      <c r="AU427" s="319">
        <v>0</v>
      </c>
      <c r="AV427" s="319">
        <v>0</v>
      </c>
      <c r="AW427" s="319">
        <v>0</v>
      </c>
      <c r="AX427" s="319">
        <v>0</v>
      </c>
      <c r="AY427" s="319">
        <v>0</v>
      </c>
      <c r="AZ427" s="319">
        <v>0</v>
      </c>
      <c r="BA427" s="319">
        <v>0</v>
      </c>
      <c r="BB427" s="319">
        <v>0</v>
      </c>
      <c r="BC427" s="319">
        <v>0</v>
      </c>
      <c r="BD427" s="319">
        <v>0</v>
      </c>
      <c r="BE427" s="319">
        <v>0</v>
      </c>
      <c r="BF427" s="3"/>
    </row>
    <row r="428" spans="1:68" ht="14.25" customHeight="1" x14ac:dyDescent="0.45">
      <c r="A428" s="618"/>
      <c r="B428" s="215"/>
      <c r="C428" s="220" t="s">
        <v>252</v>
      </c>
      <c r="D428" s="221" t="s">
        <v>245</v>
      </c>
      <c r="E428" s="232">
        <f t="shared" si="12"/>
        <v>0.29389999999999999</v>
      </c>
      <c r="F428" s="232">
        <f t="shared" si="12"/>
        <v>0.27100000000000002</v>
      </c>
      <c r="G428" s="232">
        <f t="shared" si="12"/>
        <v>5.0700000000000002E-2</v>
      </c>
      <c r="H428" s="232">
        <f t="shared" si="12"/>
        <v>0.28039999999999998</v>
      </c>
      <c r="I428" s="319">
        <v>0.60499999999999998</v>
      </c>
      <c r="J428" s="319">
        <v>0.60499999999999998</v>
      </c>
      <c r="K428" s="319">
        <v>0.60499999999999998</v>
      </c>
      <c r="L428" s="319">
        <v>0.60499999999999998</v>
      </c>
      <c r="M428" s="319">
        <v>0.60499999999999998</v>
      </c>
      <c r="N428" s="319">
        <v>0.60499999999999998</v>
      </c>
      <c r="O428" s="319">
        <v>0.60499999999999998</v>
      </c>
      <c r="P428" s="319">
        <v>0.60499999999999998</v>
      </c>
      <c r="Q428" s="319">
        <v>0.60499999999999998</v>
      </c>
      <c r="R428" s="319">
        <v>0.60499999999999998</v>
      </c>
      <c r="S428" s="319">
        <v>0.60499999999999998</v>
      </c>
      <c r="T428" s="319">
        <v>0.60499999999999998</v>
      </c>
      <c r="U428" s="319">
        <v>0.60499999999999998</v>
      </c>
      <c r="V428" s="319">
        <v>0.60499999999999998</v>
      </c>
      <c r="W428" s="319">
        <v>0.60499999999999998</v>
      </c>
      <c r="X428" s="319">
        <v>0.60499999999999998</v>
      </c>
      <c r="Y428" s="319">
        <v>0.60499999999999998</v>
      </c>
      <c r="Z428" s="319">
        <v>0.60499999999999998</v>
      </c>
      <c r="AA428" s="319">
        <v>0.60499999999999998</v>
      </c>
      <c r="AB428" s="319">
        <v>0.60499999999999998</v>
      </c>
      <c r="AC428" s="319">
        <v>0.60499999999999998</v>
      </c>
      <c r="AD428" s="319">
        <v>0.60499999999999998</v>
      </c>
      <c r="AE428" s="319">
        <v>0.60499999999999998</v>
      </c>
      <c r="AF428" s="319">
        <v>0.60499999999999998</v>
      </c>
      <c r="AG428" s="319">
        <v>0.60499999999999998</v>
      </c>
      <c r="AH428" s="319">
        <v>0.60499999999999998</v>
      </c>
      <c r="AI428" s="319">
        <v>0.60499999999999998</v>
      </c>
      <c r="AJ428" s="319">
        <v>0.60499999999999998</v>
      </c>
      <c r="AK428" s="319">
        <v>0.60499999999999998</v>
      </c>
      <c r="AL428" s="319">
        <v>0.60499999999999998</v>
      </c>
      <c r="AM428" s="319">
        <v>0.60499999999999998</v>
      </c>
      <c r="AN428" s="319">
        <v>0.60499999999999998</v>
      </c>
      <c r="AO428" s="319">
        <v>0.60499999999999998</v>
      </c>
      <c r="AP428" s="319">
        <v>0.60499999999999998</v>
      </c>
      <c r="AQ428" s="319">
        <v>0.60499999999999998</v>
      </c>
      <c r="AR428" s="319">
        <v>0.60499999999999998</v>
      </c>
      <c r="AS428" s="319">
        <v>0.60499999999999998</v>
      </c>
      <c r="AT428" s="319">
        <v>0.60499999999999998</v>
      </c>
      <c r="AU428" s="319">
        <v>0.60499999999999998</v>
      </c>
      <c r="AV428" s="319">
        <v>0.60499999999999998</v>
      </c>
      <c r="AW428" s="319">
        <v>0.60499999999999998</v>
      </c>
      <c r="AX428" s="319">
        <v>0.60499999999999998</v>
      </c>
      <c r="AY428" s="319">
        <v>0.60499999999999998</v>
      </c>
      <c r="AZ428" s="319">
        <v>0.60499999999999998</v>
      </c>
      <c r="BA428" s="319">
        <v>0.60499999999999998</v>
      </c>
      <c r="BB428" s="319">
        <v>0.60499999999999998</v>
      </c>
      <c r="BC428" s="319">
        <v>0.60499999999999998</v>
      </c>
      <c r="BD428" s="319">
        <v>0.60499999999999998</v>
      </c>
      <c r="BE428" s="319">
        <v>0.60499999999999998</v>
      </c>
      <c r="BF428" s="3"/>
    </row>
    <row r="429" spans="1:68" ht="14.25" customHeight="1" thickBot="1" x14ac:dyDescent="0.5">
      <c r="A429" s="618"/>
      <c r="B429" s="258"/>
      <c r="C429" s="259"/>
      <c r="D429" s="316" t="s">
        <v>347</v>
      </c>
      <c r="E429" s="295">
        <f t="shared" si="12"/>
        <v>0</v>
      </c>
      <c r="F429" s="295">
        <f t="shared" si="12"/>
        <v>0</v>
      </c>
      <c r="G429" s="295">
        <f t="shared" si="12"/>
        <v>0</v>
      </c>
      <c r="H429" s="295">
        <f t="shared" si="12"/>
        <v>0</v>
      </c>
      <c r="I429" s="320">
        <v>0</v>
      </c>
      <c r="J429" s="320">
        <v>0</v>
      </c>
      <c r="K429" s="320">
        <v>0</v>
      </c>
      <c r="L429" s="320">
        <v>0</v>
      </c>
      <c r="M429" s="320">
        <v>0</v>
      </c>
      <c r="N429" s="320">
        <v>0</v>
      </c>
      <c r="O429" s="320">
        <v>0</v>
      </c>
      <c r="P429" s="320">
        <v>0</v>
      </c>
      <c r="Q429" s="320">
        <v>0</v>
      </c>
      <c r="R429" s="320">
        <v>0</v>
      </c>
      <c r="S429" s="320">
        <v>0</v>
      </c>
      <c r="T429" s="320">
        <v>0</v>
      </c>
      <c r="U429" s="320">
        <v>0</v>
      </c>
      <c r="V429" s="320">
        <v>0</v>
      </c>
      <c r="W429" s="320">
        <v>0</v>
      </c>
      <c r="X429" s="320">
        <v>0</v>
      </c>
      <c r="Y429" s="320">
        <v>0</v>
      </c>
      <c r="Z429" s="320">
        <v>0</v>
      </c>
      <c r="AA429" s="320">
        <v>0</v>
      </c>
      <c r="AB429" s="320">
        <v>0</v>
      </c>
      <c r="AC429" s="320">
        <v>0</v>
      </c>
      <c r="AD429" s="320">
        <v>0</v>
      </c>
      <c r="AE429" s="320">
        <v>0</v>
      </c>
      <c r="AF429" s="320">
        <v>0</v>
      </c>
      <c r="AG429" s="320">
        <v>0</v>
      </c>
      <c r="AH429" s="320">
        <v>0</v>
      </c>
      <c r="AI429" s="320">
        <v>0</v>
      </c>
      <c r="AJ429" s="320">
        <v>0</v>
      </c>
      <c r="AK429" s="320">
        <v>0</v>
      </c>
      <c r="AL429" s="320">
        <v>0</v>
      </c>
      <c r="AM429" s="320">
        <v>0</v>
      </c>
      <c r="AN429" s="320">
        <v>0</v>
      </c>
      <c r="AO429" s="320">
        <v>0</v>
      </c>
      <c r="AP429" s="320">
        <v>0</v>
      </c>
      <c r="AQ429" s="320">
        <v>0</v>
      </c>
      <c r="AR429" s="320">
        <v>0</v>
      </c>
      <c r="AS429" s="320">
        <v>0</v>
      </c>
      <c r="AT429" s="320">
        <v>0</v>
      </c>
      <c r="AU429" s="320">
        <v>0</v>
      </c>
      <c r="AV429" s="320">
        <v>0</v>
      </c>
      <c r="AW429" s="320">
        <v>0</v>
      </c>
      <c r="AX429" s="320">
        <v>0</v>
      </c>
      <c r="AY429" s="320">
        <v>0</v>
      </c>
      <c r="AZ429" s="320">
        <v>0</v>
      </c>
      <c r="BA429" s="320">
        <v>0</v>
      </c>
      <c r="BB429" s="320">
        <v>0</v>
      </c>
      <c r="BC429" s="320">
        <v>0</v>
      </c>
      <c r="BD429" s="320">
        <v>0</v>
      </c>
      <c r="BE429" s="320">
        <v>0</v>
      </c>
      <c r="BF429" s="3"/>
    </row>
    <row r="430" spans="1:68" ht="14.25" customHeight="1" x14ac:dyDescent="0.45">
      <c r="A430" s="618"/>
      <c r="B430" s="618" t="s">
        <v>1068</v>
      </c>
      <c r="C430" s="618"/>
      <c r="D430" s="618"/>
      <c r="E430" s="618"/>
      <c r="F430" s="618"/>
      <c r="G430" s="618"/>
      <c r="H430" s="618"/>
      <c r="I430" s="618"/>
      <c r="J430" s="618"/>
      <c r="K430" s="618"/>
      <c r="L430" s="618"/>
      <c r="M430" s="618"/>
      <c r="N430" s="618"/>
      <c r="O430" s="618"/>
      <c r="P430" s="618"/>
      <c r="Q430" s="618"/>
      <c r="R430" s="618"/>
      <c r="S430" s="618"/>
      <c r="T430" s="618"/>
      <c r="U430" s="618"/>
      <c r="V430" s="618"/>
      <c r="W430" s="618"/>
      <c r="X430" s="618"/>
      <c r="Y430" s="618"/>
      <c r="Z430" s="618"/>
      <c r="AA430" s="618"/>
      <c r="AB430" s="618"/>
      <c r="AC430" s="618"/>
      <c r="AD430" s="618"/>
      <c r="AE430" s="618"/>
      <c r="AF430" s="618"/>
      <c r="AG430" s="618"/>
      <c r="AH430" s="618"/>
      <c r="AI430" s="618"/>
      <c r="AJ430" s="618"/>
      <c r="AK430" s="618"/>
      <c r="AL430" s="618"/>
      <c r="AM430" s="618"/>
      <c r="AN430" s="618"/>
      <c r="AO430" s="618"/>
      <c r="AP430" s="618"/>
      <c r="AQ430" s="618"/>
      <c r="AR430" s="618"/>
      <c r="AS430" s="618"/>
      <c r="AT430" s="618"/>
      <c r="AU430" s="618"/>
      <c r="AV430" s="618"/>
      <c r="AW430" s="618"/>
      <c r="AX430" s="618"/>
      <c r="AY430" s="618"/>
      <c r="AZ430" s="618"/>
      <c r="BA430" s="618"/>
      <c r="BB430" s="618"/>
      <c r="BC430" s="618"/>
      <c r="BD430" s="618"/>
      <c r="BE430" s="618"/>
      <c r="BF430" s="618"/>
      <c r="BG430" s="618"/>
      <c r="BH430" s="618"/>
      <c r="BI430" s="618"/>
      <c r="BJ430" s="618"/>
      <c r="BK430" s="618"/>
      <c r="BL430" s="618"/>
      <c r="BM430" s="618"/>
      <c r="BN430" s="618"/>
      <c r="BO430" s="618"/>
      <c r="BP430" s="618"/>
    </row>
    <row r="431" spans="1:68" ht="14.25" customHeight="1" thickBot="1" x14ac:dyDescent="0.5">
      <c r="A431" s="618"/>
      <c r="B431" s="618"/>
      <c r="C431" s="618"/>
      <c r="D431" s="618"/>
      <c r="E431" s="618"/>
      <c r="F431" s="618"/>
      <c r="G431" s="618"/>
      <c r="H431" s="618"/>
      <c r="I431" s="618"/>
      <c r="J431" s="618"/>
      <c r="K431" s="618"/>
      <c r="L431" s="618"/>
      <c r="M431" s="618"/>
      <c r="N431" s="618"/>
      <c r="O431" s="618"/>
      <c r="P431" s="618"/>
      <c r="Q431" s="618"/>
      <c r="R431" s="618"/>
      <c r="S431" s="618"/>
      <c r="T431" s="618"/>
      <c r="U431" s="618"/>
      <c r="V431" s="618"/>
      <c r="W431" s="618"/>
      <c r="X431" s="618"/>
      <c r="Y431" s="618"/>
      <c r="Z431" s="618"/>
      <c r="AA431" s="618"/>
      <c r="AB431" s="618"/>
      <c r="AC431" s="618"/>
      <c r="AD431" s="618"/>
      <c r="AE431" s="618"/>
      <c r="AF431" s="618"/>
      <c r="AG431" s="618"/>
      <c r="AH431" s="618"/>
      <c r="AI431" s="618"/>
      <c r="AJ431" s="618"/>
      <c r="AK431" s="618"/>
      <c r="AL431" s="618"/>
      <c r="AM431" s="3"/>
      <c r="AN431" s="3"/>
      <c r="AO431" s="3"/>
      <c r="AP431" s="3"/>
      <c r="AQ431" s="3"/>
      <c r="AR431" s="3"/>
      <c r="AS431" s="3"/>
      <c r="AT431" s="3"/>
      <c r="AU431" s="3"/>
      <c r="AV431" s="3"/>
      <c r="AW431" s="3"/>
      <c r="AX431" s="3"/>
      <c r="AY431" s="3"/>
      <c r="AZ431" s="3"/>
      <c r="BA431" s="3"/>
      <c r="BB431" s="3"/>
      <c r="BC431" s="3"/>
      <c r="BD431" s="3"/>
      <c r="BE431" s="3"/>
      <c r="BF431" s="3"/>
    </row>
    <row r="432" spans="1:68" ht="14.25" customHeight="1" x14ac:dyDescent="0.45">
      <c r="A432" s="618"/>
      <c r="B432" s="26"/>
      <c r="C432" s="211"/>
      <c r="D432" s="270" t="s">
        <v>355</v>
      </c>
      <c r="E432" s="279"/>
      <c r="F432" s="618"/>
      <c r="G432" s="618"/>
      <c r="H432" s="618"/>
      <c r="I432" s="618"/>
      <c r="J432" s="618"/>
      <c r="K432" s="618"/>
      <c r="L432" s="618"/>
      <c r="M432" s="618"/>
      <c r="N432" s="618"/>
      <c r="O432" s="618"/>
      <c r="P432" s="618"/>
      <c r="Q432" s="618"/>
      <c r="R432" s="618"/>
      <c r="S432" s="618"/>
      <c r="T432" s="618"/>
      <c r="U432" s="618"/>
      <c r="V432" s="618"/>
      <c r="W432" s="618"/>
      <c r="X432" s="618"/>
      <c r="Y432" s="618"/>
      <c r="Z432" s="618"/>
      <c r="AA432" s="618"/>
      <c r="AB432" s="618"/>
      <c r="AC432" s="618"/>
      <c r="AD432" s="618"/>
      <c r="AE432" s="618"/>
      <c r="AF432" s="618"/>
      <c r="AG432" s="618"/>
      <c r="AH432" s="618"/>
      <c r="AI432" s="618"/>
      <c r="AJ432" s="618"/>
      <c r="AK432" s="618"/>
      <c r="AL432" s="618"/>
      <c r="AM432" s="3"/>
      <c r="AN432" s="3"/>
      <c r="AO432" s="3"/>
      <c r="AP432" s="3"/>
      <c r="AQ432" s="3"/>
      <c r="AR432" s="3"/>
      <c r="AS432" s="3"/>
      <c r="AT432" s="3"/>
      <c r="AU432" s="3"/>
      <c r="AV432" s="3"/>
      <c r="AW432" s="3"/>
      <c r="AX432" s="3"/>
      <c r="AY432" s="3"/>
      <c r="AZ432" s="3"/>
      <c r="BA432" s="3"/>
      <c r="BB432" s="3"/>
      <c r="BC432" s="3"/>
      <c r="BD432" s="3"/>
      <c r="BE432" s="3"/>
      <c r="BF432" s="3"/>
    </row>
    <row r="433" spans="1:58" ht="15" customHeight="1" x14ac:dyDescent="0.45">
      <c r="A433" s="618"/>
      <c r="B433" s="639" t="s">
        <v>356</v>
      </c>
      <c r="C433" s="220"/>
      <c r="D433" s="221" t="s">
        <v>166</v>
      </c>
      <c r="E433" s="233">
        <v>0.3</v>
      </c>
      <c r="F433" s="618"/>
      <c r="G433" s="618"/>
      <c r="H433" s="618"/>
      <c r="I433" s="618"/>
      <c r="J433" s="618"/>
      <c r="K433" s="618"/>
      <c r="L433" s="618"/>
      <c r="M433" s="618"/>
      <c r="N433" s="618"/>
      <c r="O433" s="618"/>
      <c r="P433" s="618"/>
      <c r="Q433" s="618"/>
      <c r="R433" s="618"/>
      <c r="S433" s="618"/>
      <c r="T433" s="618"/>
      <c r="U433" s="618"/>
      <c r="V433" s="618"/>
      <c r="W433" s="618"/>
      <c r="X433" s="618"/>
      <c r="Y433" s="618"/>
      <c r="Z433" s="618"/>
      <c r="AA433" s="618"/>
      <c r="AB433" s="618"/>
      <c r="AC433" s="618"/>
      <c r="AD433" s="618"/>
      <c r="AE433" s="618"/>
      <c r="AF433" s="618"/>
      <c r="AG433" s="618"/>
      <c r="AH433" s="618"/>
      <c r="AI433" s="618"/>
      <c r="AJ433" s="618"/>
      <c r="AK433" s="618"/>
      <c r="AL433" s="618"/>
      <c r="AM433" s="3"/>
      <c r="AN433" s="3"/>
      <c r="AO433" s="3"/>
      <c r="AP433" s="3"/>
      <c r="AQ433" s="3"/>
      <c r="AR433" s="3"/>
      <c r="AS433" s="3"/>
      <c r="AT433" s="3"/>
      <c r="AU433" s="3"/>
      <c r="AV433" s="3"/>
      <c r="AW433" s="3"/>
      <c r="AX433" s="3"/>
      <c r="AY433" s="3"/>
      <c r="AZ433" s="3"/>
      <c r="BA433" s="3"/>
      <c r="BB433" s="3"/>
      <c r="BC433" s="3"/>
      <c r="BD433" s="3"/>
      <c r="BE433" s="3"/>
      <c r="BF433" s="3"/>
    </row>
    <row r="434" spans="1:58" ht="14.25" customHeight="1" x14ac:dyDescent="0.45">
      <c r="A434" s="618"/>
      <c r="B434" s="631"/>
      <c r="C434" s="220"/>
      <c r="D434" s="221" t="s">
        <v>357</v>
      </c>
      <c r="E434" s="233">
        <v>0.9</v>
      </c>
      <c r="F434" s="618"/>
      <c r="G434" s="618"/>
      <c r="H434" s="618"/>
      <c r="I434" s="618"/>
      <c r="J434" s="618"/>
      <c r="K434" s="618"/>
      <c r="L434" s="618"/>
      <c r="M434" s="618"/>
      <c r="N434" s="618"/>
      <c r="O434" s="618"/>
      <c r="P434" s="618"/>
      <c r="Q434" s="618"/>
      <c r="R434" s="618"/>
      <c r="S434" s="618"/>
      <c r="T434" s="618"/>
      <c r="U434" s="618"/>
      <c r="V434" s="618"/>
      <c r="W434" s="618"/>
      <c r="X434" s="618"/>
      <c r="Y434" s="618"/>
      <c r="Z434" s="618"/>
      <c r="AA434" s="618"/>
      <c r="AB434" s="618"/>
      <c r="AC434" s="618"/>
      <c r="AD434" s="618"/>
      <c r="AE434" s="618"/>
      <c r="AF434" s="618"/>
      <c r="AG434" s="618"/>
      <c r="AH434" s="618"/>
      <c r="AI434" s="618"/>
      <c r="AJ434" s="618"/>
      <c r="AK434" s="618"/>
      <c r="AL434" s="618"/>
      <c r="AM434" s="3"/>
      <c r="AN434" s="3"/>
      <c r="AO434" s="3"/>
      <c r="AP434" s="3"/>
      <c r="AQ434" s="3"/>
      <c r="AR434" s="3"/>
      <c r="AS434" s="3"/>
      <c r="AT434" s="3"/>
      <c r="AU434" s="3"/>
      <c r="AV434" s="3"/>
      <c r="AW434" s="3"/>
      <c r="AX434" s="3"/>
      <c r="AY434" s="3"/>
      <c r="AZ434" s="3"/>
      <c r="BA434" s="3"/>
      <c r="BB434" s="3"/>
      <c r="BC434" s="3"/>
      <c r="BD434" s="3"/>
      <c r="BE434" s="3"/>
      <c r="BF434" s="3"/>
    </row>
    <row r="435" spans="1:58" ht="14.25" customHeight="1" x14ac:dyDescent="0.45">
      <c r="A435" s="618"/>
      <c r="B435" s="631"/>
      <c r="C435" s="220"/>
      <c r="D435" s="221" t="s">
        <v>282</v>
      </c>
      <c r="E435" s="233">
        <v>0.95</v>
      </c>
      <c r="F435" s="618"/>
      <c r="G435" s="618"/>
      <c r="H435" s="618"/>
      <c r="I435" s="618"/>
      <c r="J435" s="618"/>
      <c r="K435" s="618"/>
      <c r="L435" s="618"/>
      <c r="M435" s="618"/>
      <c r="N435" s="618"/>
      <c r="O435" s="618"/>
      <c r="P435" s="618"/>
      <c r="Q435" s="618"/>
      <c r="R435" s="618"/>
      <c r="S435" s="618"/>
      <c r="T435" s="618"/>
      <c r="U435" s="618"/>
      <c r="V435" s="618"/>
      <c r="W435" s="618"/>
      <c r="X435" s="618"/>
      <c r="Y435" s="618"/>
      <c r="Z435" s="618"/>
      <c r="AA435" s="618"/>
      <c r="AB435" s="618"/>
      <c r="AC435" s="618"/>
      <c r="AD435" s="618"/>
      <c r="AE435" s="618"/>
      <c r="AF435" s="618"/>
      <c r="AG435" s="618"/>
      <c r="AH435" s="618"/>
      <c r="AI435" s="618"/>
      <c r="AJ435" s="618"/>
      <c r="AK435" s="618"/>
      <c r="AL435" s="618"/>
      <c r="AM435" s="3"/>
      <c r="AN435" s="3"/>
      <c r="AO435" s="3"/>
      <c r="AP435" s="3"/>
      <c r="AQ435" s="3"/>
      <c r="AR435" s="3"/>
      <c r="AS435" s="3"/>
      <c r="AT435" s="3"/>
      <c r="AU435" s="3"/>
      <c r="AV435" s="3"/>
      <c r="AW435" s="3"/>
      <c r="AX435" s="3"/>
      <c r="AY435" s="3"/>
      <c r="AZ435" s="3"/>
      <c r="BA435" s="3"/>
      <c r="BB435" s="3"/>
      <c r="BC435" s="3"/>
      <c r="BD435" s="3"/>
      <c r="BE435" s="3"/>
      <c r="BF435" s="3"/>
    </row>
    <row r="436" spans="1:58" ht="14.25" customHeight="1" x14ac:dyDescent="0.45">
      <c r="A436" s="618"/>
      <c r="B436" s="631"/>
      <c r="C436" s="220"/>
      <c r="D436" s="243" t="s">
        <v>283</v>
      </c>
      <c r="E436" s="233"/>
      <c r="F436" s="618"/>
      <c r="G436" s="618"/>
      <c r="H436" s="618"/>
      <c r="I436" s="618"/>
      <c r="J436" s="618"/>
      <c r="K436" s="618"/>
      <c r="L436" s="618"/>
      <c r="M436" s="618"/>
      <c r="N436" s="618"/>
      <c r="O436" s="618"/>
      <c r="P436" s="618"/>
      <c r="Q436" s="618"/>
      <c r="R436" s="618"/>
      <c r="S436" s="618"/>
      <c r="T436" s="618"/>
      <c r="U436" s="618"/>
      <c r="V436" s="618"/>
      <c r="W436" s="618"/>
      <c r="X436" s="618"/>
      <c r="Y436" s="618"/>
      <c r="Z436" s="618"/>
      <c r="AA436" s="618"/>
      <c r="AB436" s="618"/>
      <c r="AC436" s="618"/>
      <c r="AD436" s="618"/>
      <c r="AE436" s="618"/>
      <c r="AF436" s="618"/>
      <c r="AG436" s="618"/>
      <c r="AH436" s="618"/>
      <c r="AI436" s="618"/>
      <c r="AJ436" s="618"/>
      <c r="AK436" s="618"/>
      <c r="AL436" s="618"/>
      <c r="AM436" s="3"/>
      <c r="AN436" s="3"/>
      <c r="AO436" s="3"/>
      <c r="AP436" s="3"/>
      <c r="AQ436" s="3"/>
      <c r="AR436" s="3"/>
      <c r="AS436" s="3"/>
      <c r="AT436" s="3"/>
      <c r="AU436" s="3"/>
      <c r="AV436" s="3"/>
      <c r="AW436" s="3"/>
      <c r="AX436" s="3"/>
      <c r="AY436" s="3"/>
      <c r="AZ436" s="3"/>
      <c r="BA436" s="3"/>
      <c r="BB436" s="3"/>
      <c r="BC436" s="3"/>
      <c r="BD436" s="3"/>
      <c r="BE436" s="3"/>
      <c r="BF436" s="3"/>
    </row>
    <row r="437" spans="1:58" ht="14.25" customHeight="1" x14ac:dyDescent="0.45">
      <c r="A437" s="618"/>
      <c r="B437" s="631"/>
      <c r="C437" s="220"/>
      <c r="D437" s="221" t="s">
        <v>201</v>
      </c>
      <c r="E437" s="233">
        <v>0.43759999999999999</v>
      </c>
      <c r="F437" s="618"/>
      <c r="G437" s="618"/>
      <c r="H437" s="618"/>
      <c r="I437" s="618"/>
      <c r="J437" s="618"/>
      <c r="K437" s="618"/>
      <c r="L437" s="618"/>
      <c r="M437" s="618"/>
      <c r="N437" s="618"/>
      <c r="O437" s="618"/>
      <c r="P437" s="618"/>
      <c r="Q437" s="618"/>
      <c r="R437" s="618"/>
      <c r="S437" s="618"/>
      <c r="T437" s="618"/>
      <c r="U437" s="618"/>
      <c r="V437" s="618"/>
      <c r="W437" s="618"/>
      <c r="X437" s="618"/>
      <c r="Y437" s="618"/>
      <c r="Z437" s="618"/>
      <c r="AA437" s="618"/>
      <c r="AB437" s="618"/>
      <c r="AC437" s="618"/>
      <c r="AD437" s="618"/>
      <c r="AE437" s="618"/>
      <c r="AF437" s="618"/>
      <c r="AG437" s="618"/>
      <c r="AH437" s="618"/>
      <c r="AI437" s="618"/>
      <c r="AJ437" s="618"/>
      <c r="AK437" s="618"/>
      <c r="AL437" s="618"/>
      <c r="AM437" s="3"/>
      <c r="AN437" s="3"/>
      <c r="AO437" s="3"/>
      <c r="AP437" s="3"/>
      <c r="AQ437" s="3"/>
      <c r="AR437" s="3"/>
      <c r="AS437" s="3"/>
      <c r="AT437" s="3"/>
      <c r="AU437" s="3"/>
      <c r="AV437" s="3"/>
      <c r="AW437" s="3"/>
      <c r="AX437" s="3"/>
      <c r="AY437" s="3"/>
      <c r="AZ437" s="3"/>
      <c r="BA437" s="3"/>
      <c r="BB437" s="3"/>
      <c r="BC437" s="3"/>
      <c r="BD437" s="3"/>
      <c r="BE437" s="3"/>
      <c r="BF437" s="3"/>
    </row>
    <row r="438" spans="1:58" ht="14.25" customHeight="1" x14ac:dyDescent="0.45">
      <c r="A438" s="618"/>
      <c r="B438" s="631"/>
      <c r="C438" s="220"/>
      <c r="D438" s="221" t="s">
        <v>203</v>
      </c>
      <c r="E438" s="233">
        <v>0.61450000000000005</v>
      </c>
      <c r="F438" s="618"/>
      <c r="G438" s="618"/>
      <c r="H438" s="618"/>
      <c r="I438" s="618"/>
      <c r="J438" s="618"/>
      <c r="K438" s="618"/>
      <c r="L438" s="618"/>
      <c r="M438" s="618"/>
      <c r="N438" s="618"/>
      <c r="O438" s="618"/>
      <c r="P438" s="618"/>
      <c r="Q438" s="618"/>
      <c r="R438" s="618"/>
      <c r="S438" s="618"/>
      <c r="T438" s="618"/>
      <c r="U438" s="618"/>
      <c r="V438" s="618"/>
      <c r="W438" s="618"/>
      <c r="X438" s="618"/>
      <c r="Y438" s="618"/>
      <c r="Z438" s="618"/>
      <c r="AA438" s="618"/>
      <c r="AB438" s="618"/>
      <c r="AC438" s="618"/>
      <c r="AD438" s="618"/>
      <c r="AE438" s="618"/>
      <c r="AF438" s="618"/>
      <c r="AG438" s="618"/>
      <c r="AH438" s="618"/>
      <c r="AI438" s="618"/>
      <c r="AJ438" s="618"/>
      <c r="AK438" s="618"/>
      <c r="AL438" s="618"/>
      <c r="AM438" s="3"/>
      <c r="AN438" s="3"/>
      <c r="AO438" s="3"/>
      <c r="AP438" s="3"/>
      <c r="AQ438" s="3"/>
      <c r="AR438" s="3"/>
      <c r="AS438" s="3"/>
      <c r="AT438" s="3"/>
      <c r="AU438" s="3"/>
      <c r="AV438" s="3"/>
      <c r="AW438" s="3"/>
      <c r="AX438" s="3"/>
      <c r="AY438" s="3"/>
      <c r="AZ438" s="3"/>
      <c r="BA438" s="3"/>
      <c r="BB438" s="3"/>
      <c r="BC438" s="3"/>
      <c r="BD438" s="3"/>
      <c r="BE438" s="3"/>
      <c r="BF438" s="3"/>
    </row>
    <row r="439" spans="1:58" ht="14.25" customHeight="1" x14ac:dyDescent="0.45">
      <c r="A439" s="618"/>
      <c r="B439" s="631"/>
      <c r="C439" s="220"/>
      <c r="D439" s="221" t="s">
        <v>205</v>
      </c>
      <c r="E439" s="233"/>
      <c r="F439" s="618"/>
      <c r="G439" s="618"/>
      <c r="H439" s="618"/>
      <c r="I439" s="618"/>
      <c r="J439" s="618"/>
      <c r="K439" s="618"/>
      <c r="L439" s="618"/>
      <c r="M439" s="618"/>
      <c r="N439" s="618"/>
      <c r="O439" s="618"/>
      <c r="P439" s="618"/>
      <c r="Q439" s="618"/>
      <c r="R439" s="618"/>
      <c r="S439" s="618"/>
      <c r="T439" s="618"/>
      <c r="U439" s="618"/>
      <c r="V439" s="618"/>
      <c r="W439" s="618"/>
      <c r="X439" s="618"/>
      <c r="Y439" s="618"/>
      <c r="Z439" s="618"/>
      <c r="AA439" s="618"/>
      <c r="AB439" s="618"/>
      <c r="AC439" s="618"/>
      <c r="AD439" s="618"/>
      <c r="AE439" s="618"/>
      <c r="AF439" s="618"/>
      <c r="AG439" s="618"/>
      <c r="AH439" s="618"/>
      <c r="AI439" s="618"/>
      <c r="AJ439" s="618"/>
      <c r="AK439" s="618"/>
      <c r="AL439" s="618"/>
      <c r="AM439" s="3"/>
      <c r="AN439" s="3"/>
      <c r="AO439" s="3"/>
      <c r="AP439" s="3"/>
      <c r="AQ439" s="3"/>
      <c r="AR439" s="3"/>
      <c r="AS439" s="3"/>
      <c r="AT439" s="3"/>
      <c r="AU439" s="3"/>
      <c r="AV439" s="3"/>
      <c r="AW439" s="3"/>
      <c r="AX439" s="3"/>
      <c r="AY439" s="3"/>
      <c r="AZ439" s="3"/>
      <c r="BA439" s="3"/>
      <c r="BB439" s="3"/>
      <c r="BC439" s="3"/>
      <c r="BD439" s="3"/>
      <c r="BE439" s="3"/>
      <c r="BF439" s="3"/>
    </row>
    <row r="440" spans="1:58" ht="14.25" customHeight="1" x14ac:dyDescent="0.45">
      <c r="A440" s="618"/>
      <c r="B440" s="631"/>
      <c r="C440" s="220"/>
      <c r="D440" s="221" t="s">
        <v>207</v>
      </c>
      <c r="E440" s="233">
        <v>0.77300000000000002</v>
      </c>
      <c r="F440" s="618"/>
      <c r="G440" s="618"/>
      <c r="H440" s="618"/>
      <c r="I440" s="618"/>
      <c r="J440" s="618"/>
      <c r="K440" s="618"/>
      <c r="L440" s="618"/>
      <c r="M440" s="618"/>
      <c r="N440" s="618"/>
      <c r="O440" s="618"/>
      <c r="P440" s="618"/>
      <c r="Q440" s="618"/>
      <c r="R440" s="618"/>
      <c r="S440" s="618"/>
      <c r="T440" s="618"/>
      <c r="U440" s="618"/>
      <c r="V440" s="618"/>
      <c r="W440" s="618"/>
      <c r="X440" s="618"/>
      <c r="Y440" s="618"/>
      <c r="Z440" s="618"/>
      <c r="AA440" s="618"/>
      <c r="AB440" s="618"/>
      <c r="AC440" s="618"/>
      <c r="AD440" s="618"/>
      <c r="AE440" s="618"/>
      <c r="AF440" s="618"/>
      <c r="AG440" s="618"/>
      <c r="AH440" s="618"/>
      <c r="AI440" s="618"/>
      <c r="AJ440" s="618"/>
      <c r="AK440" s="618"/>
      <c r="AL440" s="618"/>
      <c r="AM440" s="3"/>
      <c r="AN440" s="3"/>
      <c r="AO440" s="3"/>
      <c r="AP440" s="3"/>
      <c r="AQ440" s="3"/>
      <c r="AR440" s="3"/>
      <c r="AS440" s="3"/>
      <c r="AT440" s="3"/>
      <c r="AU440" s="3"/>
      <c r="AV440" s="3"/>
      <c r="AW440" s="3"/>
      <c r="AX440" s="3"/>
      <c r="AY440" s="3"/>
      <c r="AZ440" s="3"/>
      <c r="BA440" s="3"/>
      <c r="BB440" s="3"/>
      <c r="BC440" s="3"/>
      <c r="BD440" s="3"/>
      <c r="BE440" s="3"/>
      <c r="BF440" s="3"/>
    </row>
    <row r="441" spans="1:58" ht="14.25" customHeight="1" x14ac:dyDescent="0.45">
      <c r="A441" s="618"/>
      <c r="B441" s="631"/>
      <c r="C441" s="220"/>
      <c r="D441" s="221" t="s">
        <v>209</v>
      </c>
      <c r="E441" s="233">
        <v>0.64990000000000003</v>
      </c>
      <c r="F441" s="618"/>
      <c r="G441" s="618"/>
      <c r="H441" s="618"/>
      <c r="I441" s="618"/>
      <c r="J441" s="618"/>
      <c r="K441" s="618"/>
      <c r="L441" s="618"/>
      <c r="M441" s="618"/>
      <c r="N441" s="618"/>
      <c r="O441" s="618"/>
      <c r="P441" s="618"/>
      <c r="Q441" s="618"/>
      <c r="R441" s="618"/>
      <c r="S441" s="618"/>
      <c r="T441" s="618"/>
      <c r="U441" s="618"/>
      <c r="V441" s="618"/>
      <c r="W441" s="618"/>
      <c r="X441" s="618"/>
      <c r="Y441" s="618"/>
      <c r="Z441" s="618"/>
      <c r="AA441" s="618"/>
      <c r="AB441" s="618"/>
      <c r="AC441" s="618"/>
      <c r="AD441" s="618"/>
      <c r="AE441" s="618"/>
      <c r="AF441" s="618"/>
      <c r="AG441" s="618"/>
      <c r="AH441" s="618"/>
      <c r="AI441" s="618"/>
      <c r="AJ441" s="618"/>
      <c r="AK441" s="618"/>
      <c r="AL441" s="618"/>
      <c r="AM441" s="3"/>
      <c r="AN441" s="3"/>
      <c r="AO441" s="3"/>
      <c r="AP441" s="3"/>
      <c r="AQ441" s="3"/>
      <c r="AR441" s="3"/>
      <c r="AS441" s="3"/>
      <c r="AT441" s="3"/>
      <c r="AU441" s="3"/>
      <c r="AV441" s="3"/>
      <c r="AW441" s="3"/>
      <c r="AX441" s="3"/>
      <c r="AY441" s="3"/>
      <c r="AZ441" s="3"/>
      <c r="BA441" s="3"/>
      <c r="BB441" s="3"/>
      <c r="BC441" s="3"/>
      <c r="BD441" s="3"/>
      <c r="BE441" s="3"/>
      <c r="BF441" s="3"/>
    </row>
    <row r="442" spans="1:58" ht="14.25" customHeight="1" x14ac:dyDescent="0.45">
      <c r="A442" s="618"/>
      <c r="B442" s="631"/>
      <c r="C442" s="220"/>
      <c r="D442" s="221" t="s">
        <v>211</v>
      </c>
      <c r="E442" s="233">
        <v>0.6321</v>
      </c>
      <c r="F442" s="618"/>
      <c r="G442" s="618"/>
      <c r="H442" s="618"/>
      <c r="I442" s="618"/>
      <c r="J442" s="618"/>
      <c r="K442" s="618"/>
      <c r="L442" s="618"/>
      <c r="M442" s="618"/>
      <c r="N442" s="618"/>
      <c r="O442" s="618"/>
      <c r="P442" s="618"/>
      <c r="Q442" s="618"/>
      <c r="R442" s="618"/>
      <c r="S442" s="618"/>
      <c r="T442" s="618"/>
      <c r="U442" s="618"/>
      <c r="V442" s="618"/>
      <c r="W442" s="618"/>
      <c r="X442" s="618"/>
      <c r="Y442" s="618"/>
      <c r="Z442" s="618"/>
      <c r="AA442" s="618"/>
      <c r="AB442" s="618"/>
      <c r="AC442" s="618"/>
      <c r="AD442" s="618"/>
      <c r="AE442" s="618"/>
      <c r="AF442" s="618"/>
      <c r="AG442" s="618"/>
      <c r="AH442" s="618"/>
      <c r="AI442" s="618"/>
      <c r="AJ442" s="618"/>
      <c r="AK442" s="618"/>
      <c r="AL442" s="618"/>
      <c r="AM442" s="3"/>
      <c r="AN442" s="3"/>
      <c r="AO442" s="3"/>
      <c r="AP442" s="3"/>
      <c r="AQ442" s="3"/>
      <c r="AR442" s="3"/>
      <c r="AS442" s="3"/>
      <c r="AT442" s="3"/>
      <c r="AU442" s="3"/>
      <c r="AV442" s="3"/>
      <c r="AW442" s="3"/>
      <c r="AX442" s="3"/>
      <c r="AY442" s="3"/>
      <c r="AZ442" s="3"/>
      <c r="BA442" s="3"/>
      <c r="BB442" s="3"/>
      <c r="BC442" s="3"/>
      <c r="BD442" s="3"/>
      <c r="BE442" s="3"/>
      <c r="BF442" s="3"/>
    </row>
    <row r="443" spans="1:58" ht="14.25" customHeight="1" x14ac:dyDescent="0.45">
      <c r="A443" s="618"/>
      <c r="B443" s="631"/>
      <c r="C443" s="220"/>
      <c r="D443" s="243" t="s">
        <v>285</v>
      </c>
      <c r="E443" s="233"/>
      <c r="F443" s="618"/>
      <c r="G443" s="618"/>
      <c r="H443" s="618"/>
      <c r="I443" s="618"/>
      <c r="J443" s="618"/>
      <c r="K443" s="618"/>
      <c r="L443" s="618"/>
      <c r="M443" s="618"/>
      <c r="N443" s="618"/>
      <c r="O443" s="618"/>
      <c r="P443" s="618"/>
      <c r="Q443" s="618"/>
      <c r="R443" s="618"/>
      <c r="S443" s="618"/>
      <c r="T443" s="618"/>
      <c r="U443" s="618"/>
      <c r="V443" s="618"/>
      <c r="W443" s="618"/>
      <c r="X443" s="618"/>
      <c r="Y443" s="618"/>
      <c r="Z443" s="618"/>
      <c r="AA443" s="618"/>
      <c r="AB443" s="618"/>
      <c r="AC443" s="618"/>
      <c r="AD443" s="618"/>
      <c r="AE443" s="618"/>
      <c r="AF443" s="618"/>
      <c r="AG443" s="618"/>
      <c r="AH443" s="618"/>
      <c r="AI443" s="618"/>
      <c r="AJ443" s="618"/>
      <c r="AK443" s="618"/>
      <c r="AL443" s="618"/>
      <c r="AM443" s="3"/>
      <c r="AN443" s="3"/>
      <c r="AO443" s="3"/>
      <c r="AP443" s="3"/>
      <c r="AQ443" s="3"/>
      <c r="AR443" s="3"/>
      <c r="AS443" s="3"/>
      <c r="AT443" s="3"/>
      <c r="AU443" s="3"/>
      <c r="AV443" s="3"/>
      <c r="AW443" s="3"/>
      <c r="AX443" s="3"/>
      <c r="AY443" s="3"/>
      <c r="AZ443" s="3"/>
      <c r="BA443" s="3"/>
      <c r="BB443" s="3"/>
      <c r="BC443" s="3"/>
      <c r="BD443" s="3"/>
      <c r="BE443" s="3"/>
      <c r="BF443" s="3"/>
    </row>
    <row r="444" spans="1:58" ht="14.25" customHeight="1" x14ac:dyDescent="0.45">
      <c r="A444" s="618"/>
      <c r="B444" s="631"/>
      <c r="C444" s="220"/>
      <c r="D444" s="221" t="s">
        <v>201</v>
      </c>
      <c r="E444" s="233">
        <v>0.39800000000000002</v>
      </c>
      <c r="F444" s="618"/>
      <c r="G444" s="618"/>
      <c r="H444" s="618"/>
      <c r="I444" s="618"/>
      <c r="J444" s="618"/>
      <c r="K444" s="618"/>
      <c r="L444" s="618"/>
      <c r="M444" s="618"/>
      <c r="N444" s="618"/>
      <c r="O444" s="618"/>
      <c r="P444" s="618"/>
      <c r="Q444" s="618"/>
      <c r="R444" s="618"/>
      <c r="S444" s="618"/>
      <c r="T444" s="618"/>
      <c r="U444" s="618"/>
      <c r="V444" s="618"/>
      <c r="W444" s="618"/>
      <c r="X444" s="618"/>
      <c r="Y444" s="618"/>
      <c r="Z444" s="618"/>
      <c r="AA444" s="618"/>
      <c r="AB444" s="618"/>
      <c r="AC444" s="618"/>
      <c r="AD444" s="618"/>
      <c r="AE444" s="618"/>
      <c r="AF444" s="618"/>
      <c r="AG444" s="618"/>
      <c r="AH444" s="618"/>
      <c r="AI444" s="618"/>
      <c r="AJ444" s="618"/>
      <c r="AK444" s="618"/>
      <c r="AL444" s="618"/>
      <c r="AM444" s="3"/>
      <c r="AN444" s="3"/>
      <c r="AO444" s="3"/>
      <c r="AP444" s="3"/>
      <c r="AQ444" s="3"/>
      <c r="AR444" s="3"/>
      <c r="AS444" s="3"/>
      <c r="AT444" s="3"/>
      <c r="AU444" s="3"/>
      <c r="AV444" s="3"/>
      <c r="AW444" s="3"/>
      <c r="AX444" s="3"/>
      <c r="AY444" s="3"/>
      <c r="AZ444" s="3"/>
      <c r="BA444" s="3"/>
      <c r="BB444" s="3"/>
      <c r="BC444" s="3"/>
      <c r="BD444" s="3"/>
      <c r="BE444" s="3"/>
      <c r="BF444" s="3"/>
    </row>
    <row r="445" spans="1:58" ht="14.25" customHeight="1" x14ac:dyDescent="0.45">
      <c r="A445" s="618"/>
      <c r="B445" s="631"/>
      <c r="C445" s="220"/>
      <c r="D445" s="221" t="s">
        <v>203</v>
      </c>
      <c r="E445" s="233">
        <v>0.50119999999999998</v>
      </c>
      <c r="F445" s="618"/>
      <c r="G445" s="618"/>
      <c r="H445" s="618"/>
      <c r="I445" s="618"/>
      <c r="J445" s="618"/>
      <c r="K445" s="618"/>
      <c r="L445" s="618"/>
      <c r="M445" s="618"/>
      <c r="N445" s="618"/>
      <c r="O445" s="618"/>
      <c r="P445" s="618"/>
      <c r="Q445" s="618"/>
      <c r="R445" s="618"/>
      <c r="S445" s="618"/>
      <c r="T445" s="618"/>
      <c r="U445" s="618"/>
      <c r="V445" s="618"/>
      <c r="W445" s="618"/>
      <c r="X445" s="618"/>
      <c r="Y445" s="618"/>
      <c r="Z445" s="618"/>
      <c r="AA445" s="618"/>
      <c r="AB445" s="618"/>
      <c r="AC445" s="618"/>
      <c r="AD445" s="618"/>
      <c r="AE445" s="618"/>
      <c r="AF445" s="618"/>
      <c r="AG445" s="618"/>
      <c r="AH445" s="618"/>
      <c r="AI445" s="618"/>
      <c r="AJ445" s="618"/>
      <c r="AK445" s="618"/>
      <c r="AL445" s="618"/>
      <c r="AM445" s="3"/>
      <c r="AN445" s="3"/>
      <c r="AO445" s="3"/>
      <c r="AP445" s="3"/>
      <c r="AQ445" s="3"/>
      <c r="AR445" s="3"/>
      <c r="AS445" s="3"/>
      <c r="AT445" s="3"/>
      <c r="AU445" s="3"/>
      <c r="AV445" s="3"/>
      <c r="AW445" s="3"/>
      <c r="AX445" s="3"/>
      <c r="AY445" s="3"/>
      <c r="AZ445" s="3"/>
      <c r="BA445" s="3"/>
      <c r="BB445" s="3"/>
      <c r="BC445" s="3"/>
      <c r="BD445" s="3"/>
      <c r="BE445" s="3"/>
      <c r="BF445" s="3"/>
    </row>
    <row r="446" spans="1:58" ht="14.25" customHeight="1" x14ac:dyDescent="0.45">
      <c r="A446" s="618"/>
      <c r="B446" s="631"/>
      <c r="C446" s="220"/>
      <c r="D446" s="221" t="s">
        <v>205</v>
      </c>
      <c r="E446" s="233"/>
      <c r="F446" s="618"/>
      <c r="G446" s="618"/>
      <c r="H446" s="618"/>
      <c r="I446" s="618"/>
      <c r="J446" s="618"/>
      <c r="K446" s="618"/>
      <c r="L446" s="618"/>
      <c r="M446" s="618"/>
      <c r="N446" s="618"/>
      <c r="O446" s="618"/>
      <c r="P446" s="618"/>
      <c r="Q446" s="618"/>
      <c r="R446" s="618"/>
      <c r="S446" s="618"/>
      <c r="T446" s="618"/>
      <c r="U446" s="618"/>
      <c r="V446" s="618"/>
      <c r="W446" s="618"/>
      <c r="X446" s="618"/>
      <c r="Y446" s="618"/>
      <c r="Z446" s="618"/>
      <c r="AA446" s="618"/>
      <c r="AB446" s="618"/>
      <c r="AC446" s="618"/>
      <c r="AD446" s="618"/>
      <c r="AE446" s="618"/>
      <c r="AF446" s="618"/>
      <c r="AG446" s="618"/>
      <c r="AH446" s="618"/>
      <c r="AI446" s="618"/>
      <c r="AJ446" s="618"/>
      <c r="AK446" s="618"/>
      <c r="AL446" s="618"/>
      <c r="AM446" s="3"/>
      <c r="AN446" s="3"/>
      <c r="AO446" s="3"/>
      <c r="AP446" s="3"/>
      <c r="AQ446" s="3"/>
      <c r="AR446" s="3"/>
      <c r="AS446" s="3"/>
      <c r="AT446" s="3"/>
      <c r="AU446" s="3"/>
      <c r="AV446" s="3"/>
      <c r="AW446" s="3"/>
      <c r="AX446" s="3"/>
      <c r="AY446" s="3"/>
      <c r="AZ446" s="3"/>
      <c r="BA446" s="3"/>
      <c r="BB446" s="3"/>
      <c r="BC446" s="3"/>
      <c r="BD446" s="3"/>
      <c r="BE446" s="3"/>
      <c r="BF446" s="3"/>
    </row>
    <row r="447" spans="1:58" ht="14.25" customHeight="1" x14ac:dyDescent="0.45">
      <c r="A447" s="618"/>
      <c r="B447" s="631"/>
      <c r="C447" s="220"/>
      <c r="D447" s="221" t="s">
        <v>207</v>
      </c>
      <c r="E447" s="233">
        <v>0.71130000000000004</v>
      </c>
      <c r="F447" s="618"/>
      <c r="G447" s="618"/>
      <c r="H447" s="618"/>
      <c r="I447" s="618"/>
      <c r="J447" s="618"/>
      <c r="K447" s="618"/>
      <c r="L447" s="618"/>
      <c r="M447" s="618"/>
      <c r="N447" s="618"/>
      <c r="O447" s="618"/>
      <c r="P447" s="618"/>
      <c r="Q447" s="618"/>
      <c r="R447" s="618"/>
      <c r="S447" s="618"/>
      <c r="T447" s="618"/>
      <c r="U447" s="618"/>
      <c r="V447" s="618"/>
      <c r="W447" s="618"/>
      <c r="X447" s="618"/>
      <c r="Y447" s="618"/>
      <c r="Z447" s="618"/>
      <c r="AA447" s="618"/>
      <c r="AB447" s="618"/>
      <c r="AC447" s="618"/>
      <c r="AD447" s="618"/>
      <c r="AE447" s="618"/>
      <c r="AF447" s="618"/>
      <c r="AG447" s="618"/>
      <c r="AH447" s="618"/>
      <c r="AI447" s="618"/>
      <c r="AJ447" s="618"/>
      <c r="AK447" s="618"/>
      <c r="AL447" s="618"/>
      <c r="AM447" s="3"/>
      <c r="AN447" s="3"/>
      <c r="AO447" s="3"/>
      <c r="AP447" s="3"/>
      <c r="AQ447" s="3"/>
      <c r="AR447" s="3"/>
      <c r="AS447" s="3"/>
      <c r="AT447" s="3"/>
      <c r="AU447" s="3"/>
      <c r="AV447" s="3"/>
      <c r="AW447" s="3"/>
      <c r="AX447" s="3"/>
      <c r="AY447" s="3"/>
      <c r="AZ447" s="3"/>
      <c r="BA447" s="3"/>
      <c r="BB447" s="3"/>
      <c r="BC447" s="3"/>
      <c r="BD447" s="3"/>
      <c r="BE447" s="3"/>
      <c r="BF447" s="3"/>
    </row>
    <row r="448" spans="1:58" ht="14.25" customHeight="1" x14ac:dyDescent="0.45">
      <c r="A448" s="618"/>
      <c r="B448" s="631"/>
      <c r="C448" s="220"/>
      <c r="D448" s="221" t="s">
        <v>209</v>
      </c>
      <c r="E448" s="233">
        <v>0.78979999999999995</v>
      </c>
      <c r="F448" s="618"/>
      <c r="G448" s="618"/>
      <c r="H448" s="618"/>
      <c r="I448" s="618"/>
      <c r="J448" s="618"/>
      <c r="K448" s="618"/>
      <c r="L448" s="618"/>
      <c r="M448" s="618"/>
      <c r="N448" s="618"/>
      <c r="O448" s="618"/>
      <c r="P448" s="618"/>
      <c r="Q448" s="618"/>
      <c r="R448" s="618"/>
      <c r="S448" s="618"/>
      <c r="T448" s="618"/>
      <c r="U448" s="618"/>
      <c r="V448" s="618"/>
      <c r="W448" s="618"/>
      <c r="X448" s="618"/>
      <c r="Y448" s="618"/>
      <c r="Z448" s="618"/>
      <c r="AA448" s="618"/>
      <c r="AB448" s="618"/>
      <c r="AC448" s="618"/>
      <c r="AD448" s="618"/>
      <c r="AE448" s="618"/>
      <c r="AF448" s="618"/>
      <c r="AG448" s="618"/>
      <c r="AH448" s="618"/>
      <c r="AI448" s="618"/>
      <c r="AJ448" s="618"/>
      <c r="AK448" s="618"/>
      <c r="AL448" s="618"/>
      <c r="AM448" s="3"/>
      <c r="AN448" s="3"/>
      <c r="AO448" s="3"/>
      <c r="AP448" s="3"/>
      <c r="AQ448" s="3"/>
      <c r="AR448" s="3"/>
      <c r="AS448" s="3"/>
      <c r="AT448" s="3"/>
      <c r="AU448" s="3"/>
      <c r="AV448" s="3"/>
      <c r="AW448" s="3"/>
      <c r="AX448" s="3"/>
      <c r="AY448" s="3"/>
      <c r="AZ448" s="3"/>
      <c r="BA448" s="3"/>
      <c r="BB448" s="3"/>
      <c r="BC448" s="3"/>
      <c r="BD448" s="3"/>
      <c r="BE448" s="3"/>
      <c r="BF448" s="3"/>
    </row>
    <row r="449" spans="1:58" ht="14.25" customHeight="1" x14ac:dyDescent="0.45">
      <c r="A449" s="618"/>
      <c r="B449" s="631"/>
      <c r="C449" s="220"/>
      <c r="D449" s="221" t="s">
        <v>211</v>
      </c>
      <c r="E449" s="233">
        <v>0.66469999999999996</v>
      </c>
      <c r="F449" s="618"/>
      <c r="G449" s="618"/>
      <c r="H449" s="618"/>
      <c r="I449" s="618"/>
      <c r="J449" s="618"/>
      <c r="K449" s="618"/>
      <c r="L449" s="618"/>
      <c r="M449" s="618"/>
      <c r="N449" s="618"/>
      <c r="O449" s="618"/>
      <c r="P449" s="618"/>
      <c r="Q449" s="618"/>
      <c r="R449" s="618"/>
      <c r="S449" s="618"/>
      <c r="T449" s="618"/>
      <c r="U449" s="618"/>
      <c r="V449" s="618"/>
      <c r="W449" s="618"/>
      <c r="X449" s="618"/>
      <c r="Y449" s="618"/>
      <c r="Z449" s="618"/>
      <c r="AA449" s="618"/>
      <c r="AB449" s="618"/>
      <c r="AC449" s="618"/>
      <c r="AD449" s="618"/>
      <c r="AE449" s="618"/>
      <c r="AF449" s="618"/>
      <c r="AG449" s="618"/>
      <c r="AH449" s="618"/>
      <c r="AI449" s="618"/>
      <c r="AJ449" s="618"/>
      <c r="AK449" s="618"/>
      <c r="AL449" s="618"/>
      <c r="AM449" s="3"/>
      <c r="AN449" s="3"/>
      <c r="AO449" s="3"/>
      <c r="AP449" s="3"/>
      <c r="AQ449" s="3"/>
      <c r="AR449" s="3"/>
      <c r="AS449" s="3"/>
      <c r="AT449" s="3"/>
      <c r="AU449" s="3"/>
      <c r="AV449" s="3"/>
      <c r="AW449" s="3"/>
      <c r="AX449" s="3"/>
      <c r="AY449" s="3"/>
      <c r="AZ449" s="3"/>
      <c r="BA449" s="3"/>
      <c r="BB449" s="3"/>
      <c r="BC449" s="3"/>
      <c r="BD449" s="3"/>
      <c r="BE449" s="3"/>
      <c r="BF449" s="3"/>
    </row>
    <row r="450" spans="1:58" ht="14.25" customHeight="1" x14ac:dyDescent="0.45">
      <c r="A450" s="618"/>
      <c r="B450" s="631"/>
      <c r="C450" s="220"/>
      <c r="D450" s="221" t="s">
        <v>286</v>
      </c>
      <c r="E450" s="233">
        <v>0.9</v>
      </c>
      <c r="F450" s="618"/>
      <c r="G450" s="618"/>
      <c r="H450" s="618"/>
      <c r="I450" s="618"/>
      <c r="J450" s="618"/>
      <c r="K450" s="618"/>
      <c r="L450" s="618"/>
      <c r="M450" s="618"/>
      <c r="N450" s="618"/>
      <c r="O450" s="618"/>
      <c r="P450" s="618"/>
      <c r="Q450" s="618"/>
      <c r="R450" s="618"/>
      <c r="S450" s="618"/>
      <c r="T450" s="618"/>
      <c r="U450" s="618"/>
      <c r="V450" s="618"/>
      <c r="W450" s="618"/>
      <c r="X450" s="618"/>
      <c r="Y450" s="618"/>
      <c r="Z450" s="618"/>
      <c r="AA450" s="618"/>
      <c r="AB450" s="618"/>
      <c r="AC450" s="618"/>
      <c r="AD450" s="618"/>
      <c r="AE450" s="618"/>
      <c r="AF450" s="618"/>
      <c r="AG450" s="618"/>
      <c r="AH450" s="618"/>
      <c r="AI450" s="618"/>
      <c r="AJ450" s="618"/>
      <c r="AK450" s="618"/>
      <c r="AL450" s="618"/>
      <c r="AM450" s="3"/>
      <c r="AN450" s="3"/>
      <c r="AO450" s="3"/>
      <c r="AP450" s="3"/>
      <c r="AQ450" s="3"/>
      <c r="AR450" s="3"/>
      <c r="AS450" s="3"/>
      <c r="AT450" s="3"/>
      <c r="AU450" s="3"/>
      <c r="AV450" s="3"/>
      <c r="AW450" s="3"/>
      <c r="AX450" s="3"/>
      <c r="AY450" s="3"/>
      <c r="AZ450" s="3"/>
      <c r="BA450" s="3"/>
      <c r="BB450" s="3"/>
      <c r="BC450" s="3"/>
      <c r="BD450" s="3"/>
      <c r="BE450" s="3"/>
      <c r="BF450" s="3"/>
    </row>
    <row r="451" spans="1:58" ht="14.25" customHeight="1" x14ac:dyDescent="0.45">
      <c r="A451" s="618"/>
      <c r="B451" s="631"/>
      <c r="C451" s="220"/>
      <c r="D451" s="321" t="s">
        <v>358</v>
      </c>
      <c r="E451" s="322">
        <v>0.27</v>
      </c>
      <c r="F451" s="618"/>
      <c r="G451" s="618"/>
      <c r="H451" s="618"/>
      <c r="I451" s="618"/>
      <c r="J451" s="618"/>
      <c r="K451" s="618"/>
      <c r="L451" s="618"/>
      <c r="M451" s="618"/>
      <c r="N451" s="618"/>
      <c r="O451" s="618"/>
      <c r="P451" s="618"/>
      <c r="Q451" s="618"/>
      <c r="R451" s="618"/>
      <c r="S451" s="618"/>
      <c r="T451" s="618"/>
      <c r="U451" s="618"/>
      <c r="V451" s="618"/>
      <c r="W451" s="618"/>
      <c r="X451" s="618"/>
      <c r="Y451" s="618"/>
      <c r="Z451" s="618"/>
      <c r="AA451" s="618"/>
      <c r="AB451" s="618"/>
      <c r="AC451" s="618"/>
      <c r="AD451" s="618"/>
      <c r="AE451" s="618"/>
      <c r="AF451" s="618"/>
      <c r="AG451" s="618"/>
      <c r="AH451" s="618"/>
      <c r="AI451" s="618"/>
      <c r="AJ451" s="618"/>
      <c r="AK451" s="618"/>
      <c r="AL451" s="618"/>
      <c r="AM451" s="3"/>
      <c r="AN451" s="3"/>
      <c r="AO451" s="3"/>
      <c r="AP451" s="3"/>
      <c r="AQ451" s="3"/>
      <c r="AR451" s="3"/>
      <c r="AS451" s="3"/>
      <c r="AT451" s="3"/>
      <c r="AU451" s="3"/>
      <c r="AV451" s="3"/>
      <c r="AW451" s="3"/>
      <c r="AX451" s="3"/>
      <c r="AY451" s="3"/>
      <c r="AZ451" s="3"/>
      <c r="BA451" s="3"/>
      <c r="BB451" s="3"/>
      <c r="BC451" s="3"/>
      <c r="BD451" s="3"/>
      <c r="BE451" s="3"/>
      <c r="BF451" s="3"/>
    </row>
    <row r="452" spans="1:58" ht="15" customHeight="1" x14ac:dyDescent="0.45">
      <c r="A452" s="618"/>
      <c r="B452" s="631"/>
      <c r="C452" s="220"/>
      <c r="D452" s="221" t="s">
        <v>359</v>
      </c>
      <c r="E452" s="233">
        <v>0.495</v>
      </c>
      <c r="F452" s="618"/>
      <c r="G452" s="618"/>
      <c r="H452" s="618"/>
      <c r="I452" s="618"/>
      <c r="J452" s="618"/>
      <c r="K452" s="618"/>
      <c r="L452" s="618"/>
      <c r="M452" s="618"/>
      <c r="N452" s="618"/>
      <c r="O452" s="618"/>
      <c r="P452" s="618"/>
      <c r="Q452" s="618"/>
      <c r="R452" s="618"/>
      <c r="S452" s="618"/>
      <c r="T452" s="618"/>
      <c r="U452" s="618"/>
      <c r="V452" s="618"/>
      <c r="W452" s="618"/>
      <c r="X452" s="618"/>
      <c r="Y452" s="618"/>
      <c r="Z452" s="618"/>
      <c r="AA452" s="618"/>
      <c r="AB452" s="618"/>
      <c r="AC452" s="618"/>
      <c r="AD452" s="618"/>
      <c r="AE452" s="618"/>
      <c r="AF452" s="618"/>
      <c r="AG452" s="618"/>
      <c r="AH452" s="618"/>
      <c r="AI452" s="618"/>
      <c r="AJ452" s="618"/>
      <c r="AK452" s="618"/>
      <c r="AL452" s="618"/>
      <c r="AM452" s="3"/>
      <c r="AN452" s="3"/>
      <c r="AO452" s="3"/>
      <c r="AP452" s="3"/>
      <c r="AQ452" s="3"/>
      <c r="AR452" s="3"/>
      <c r="AS452" s="3"/>
      <c r="AT452" s="3"/>
      <c r="AU452" s="3"/>
      <c r="AV452" s="3"/>
      <c r="AW452" s="3"/>
      <c r="AX452" s="3"/>
      <c r="AY452" s="3"/>
      <c r="AZ452" s="3"/>
      <c r="BA452" s="3"/>
      <c r="BB452" s="3"/>
      <c r="BC452" s="3"/>
      <c r="BD452" s="3"/>
      <c r="BE452" s="3"/>
      <c r="BF452" s="3"/>
    </row>
    <row r="453" spans="1:58" ht="14.25" customHeight="1" x14ac:dyDescent="0.45">
      <c r="A453" s="618"/>
      <c r="B453" s="631"/>
      <c r="C453" s="220"/>
      <c r="D453" s="221" t="s">
        <v>289</v>
      </c>
      <c r="E453" s="233">
        <v>0.8</v>
      </c>
      <c r="F453" s="618"/>
      <c r="G453" s="618"/>
      <c r="H453" s="618"/>
      <c r="I453" s="618"/>
      <c r="J453" s="618"/>
      <c r="K453" s="618"/>
      <c r="L453" s="618"/>
      <c r="M453" s="618"/>
      <c r="N453" s="618"/>
      <c r="O453" s="618"/>
      <c r="P453" s="618"/>
      <c r="Q453" s="618"/>
      <c r="R453" s="618"/>
      <c r="S453" s="618"/>
      <c r="T453" s="618"/>
      <c r="U453" s="618"/>
      <c r="V453" s="618"/>
      <c r="W453" s="618"/>
      <c r="X453" s="618"/>
      <c r="Y453" s="618"/>
      <c r="Z453" s="618"/>
      <c r="AA453" s="618"/>
      <c r="AB453" s="618"/>
      <c r="AC453" s="618"/>
      <c r="AD453" s="618"/>
      <c r="AE453" s="618"/>
      <c r="AF453" s="618"/>
      <c r="AG453" s="618"/>
      <c r="AH453" s="618"/>
      <c r="AI453" s="618"/>
      <c r="AJ453" s="618"/>
      <c r="AK453" s="618"/>
      <c r="AL453" s="618"/>
      <c r="AM453" s="3"/>
      <c r="AN453" s="3"/>
      <c r="AO453" s="3"/>
      <c r="AP453" s="3"/>
      <c r="AQ453" s="3"/>
      <c r="AR453" s="3"/>
      <c r="AS453" s="3"/>
      <c r="AT453" s="3"/>
      <c r="AU453" s="3"/>
      <c r="AV453" s="3"/>
      <c r="AW453" s="3"/>
      <c r="AX453" s="3"/>
      <c r="AY453" s="3"/>
      <c r="AZ453" s="3"/>
      <c r="BA453" s="3"/>
      <c r="BB453" s="3"/>
      <c r="BC453" s="3"/>
      <c r="BD453" s="3"/>
      <c r="BE453" s="3"/>
      <c r="BF453" s="3"/>
    </row>
    <row r="454" spans="1:58" ht="14.25" customHeight="1" x14ac:dyDescent="0.45">
      <c r="A454" s="618"/>
      <c r="B454" s="631"/>
      <c r="C454" s="220"/>
      <c r="D454" s="221" t="s">
        <v>290</v>
      </c>
      <c r="E454" s="233">
        <v>0.23</v>
      </c>
      <c r="F454" s="618"/>
      <c r="G454" s="618"/>
      <c r="H454" s="618"/>
      <c r="I454" s="618"/>
      <c r="J454" s="618"/>
      <c r="K454" s="618"/>
      <c r="L454" s="618"/>
      <c r="M454" s="618"/>
      <c r="N454" s="618"/>
      <c r="O454" s="618"/>
      <c r="P454" s="618"/>
      <c r="Q454" s="618"/>
      <c r="R454" s="618"/>
      <c r="S454" s="618"/>
      <c r="T454" s="618"/>
      <c r="U454" s="618"/>
      <c r="V454" s="618"/>
      <c r="W454" s="618"/>
      <c r="X454" s="618"/>
      <c r="Y454" s="618"/>
      <c r="Z454" s="618"/>
      <c r="AA454" s="618"/>
      <c r="AB454" s="618"/>
      <c r="AC454" s="618"/>
      <c r="AD454" s="618"/>
      <c r="AE454" s="618"/>
      <c r="AF454" s="618"/>
      <c r="AG454" s="618"/>
      <c r="AH454" s="618"/>
      <c r="AI454" s="618"/>
      <c r="AJ454" s="618"/>
      <c r="AK454" s="618"/>
      <c r="AL454" s="618"/>
      <c r="AM454" s="3"/>
      <c r="AN454" s="3"/>
      <c r="AO454" s="3"/>
      <c r="AP454" s="3"/>
      <c r="AQ454" s="3"/>
      <c r="AR454" s="3"/>
      <c r="AS454" s="3"/>
      <c r="AT454" s="3"/>
      <c r="AU454" s="3"/>
      <c r="AV454" s="3"/>
      <c r="AW454" s="3"/>
      <c r="AX454" s="3"/>
      <c r="AY454" s="3"/>
      <c r="AZ454" s="3"/>
      <c r="BA454" s="3"/>
      <c r="BB454" s="3"/>
      <c r="BC454" s="3"/>
      <c r="BD454" s="3"/>
      <c r="BE454" s="3"/>
      <c r="BF454" s="3"/>
    </row>
    <row r="455" spans="1:58" ht="14.25" customHeight="1" x14ac:dyDescent="0.45">
      <c r="A455" s="618"/>
      <c r="B455" s="631"/>
      <c r="C455" s="220"/>
      <c r="D455" s="221" t="s">
        <v>291</v>
      </c>
      <c r="E455" s="233">
        <v>0.45</v>
      </c>
      <c r="F455" s="618"/>
      <c r="G455" s="618"/>
      <c r="H455" s="618"/>
      <c r="I455" s="618"/>
      <c r="J455" s="618"/>
      <c r="K455" s="618"/>
      <c r="L455" s="618"/>
      <c r="M455" s="618"/>
      <c r="N455" s="618"/>
      <c r="O455" s="618"/>
      <c r="P455" s="618"/>
      <c r="Q455" s="618"/>
      <c r="R455" s="618"/>
      <c r="S455" s="618"/>
      <c r="T455" s="618"/>
      <c r="U455" s="618"/>
      <c r="V455" s="618"/>
      <c r="W455" s="618"/>
      <c r="X455" s="618"/>
      <c r="Y455" s="618"/>
      <c r="Z455" s="618"/>
      <c r="AA455" s="618"/>
      <c r="AB455" s="618"/>
      <c r="AC455" s="618"/>
      <c r="AD455" s="618"/>
      <c r="AE455" s="618"/>
      <c r="AF455" s="618"/>
      <c r="AG455" s="618"/>
      <c r="AH455" s="618"/>
      <c r="AI455" s="618"/>
      <c r="AJ455" s="618"/>
      <c r="AK455" s="618"/>
      <c r="AL455" s="618"/>
      <c r="AM455" s="3"/>
      <c r="AN455" s="3"/>
      <c r="AO455" s="3"/>
      <c r="AP455" s="3"/>
      <c r="AQ455" s="3"/>
      <c r="AR455" s="3"/>
      <c r="AS455" s="3"/>
      <c r="AT455" s="3"/>
      <c r="AU455" s="3"/>
      <c r="AV455" s="3"/>
      <c r="AW455" s="3"/>
      <c r="AX455" s="3"/>
      <c r="AY455" s="3"/>
      <c r="AZ455" s="3"/>
      <c r="BA455" s="3"/>
      <c r="BB455" s="3"/>
      <c r="BC455" s="3"/>
      <c r="BD455" s="3"/>
      <c r="BE455" s="3"/>
      <c r="BF455" s="3"/>
    </row>
    <row r="456" spans="1:58" ht="14.25" customHeight="1" x14ac:dyDescent="0.45">
      <c r="A456" s="618"/>
      <c r="B456" s="631"/>
      <c r="C456" s="220"/>
      <c r="D456" s="221" t="s">
        <v>292</v>
      </c>
      <c r="E456" s="233">
        <v>0.62</v>
      </c>
      <c r="F456" s="618"/>
      <c r="G456" s="618"/>
      <c r="H456" s="618"/>
      <c r="I456" s="618"/>
      <c r="J456" s="618"/>
      <c r="K456" s="618"/>
      <c r="L456" s="618"/>
      <c r="M456" s="618"/>
      <c r="N456" s="618"/>
      <c r="O456" s="618"/>
      <c r="P456" s="618"/>
      <c r="Q456" s="618"/>
      <c r="R456" s="618"/>
      <c r="S456" s="618"/>
      <c r="T456" s="618"/>
      <c r="U456" s="618"/>
      <c r="V456" s="618"/>
      <c r="W456" s="618"/>
      <c r="X456" s="618"/>
      <c r="Y456" s="618"/>
      <c r="Z456" s="618"/>
      <c r="AA456" s="618"/>
      <c r="AB456" s="618"/>
      <c r="AC456" s="618"/>
      <c r="AD456" s="618"/>
      <c r="AE456" s="618"/>
      <c r="AF456" s="618"/>
      <c r="AG456" s="618"/>
      <c r="AH456" s="618"/>
      <c r="AI456" s="618"/>
      <c r="AJ456" s="618"/>
      <c r="AK456" s="618"/>
      <c r="AL456" s="618"/>
      <c r="AM456" s="3"/>
      <c r="AN456" s="3"/>
      <c r="AO456" s="3"/>
      <c r="AP456" s="3"/>
      <c r="AQ456" s="3"/>
      <c r="AR456" s="3"/>
      <c r="AS456" s="3"/>
      <c r="AT456" s="3"/>
      <c r="AU456" s="3"/>
      <c r="AV456" s="3"/>
      <c r="AW456" s="3"/>
      <c r="AX456" s="3"/>
      <c r="AY456" s="3"/>
      <c r="AZ456" s="3"/>
      <c r="BA456" s="3"/>
      <c r="BB456" s="3"/>
      <c r="BC456" s="3"/>
      <c r="BD456" s="3"/>
      <c r="BE456" s="3"/>
      <c r="BF456" s="3"/>
    </row>
    <row r="457" spans="1:58" ht="14.25" customHeight="1" x14ac:dyDescent="0.45">
      <c r="A457" s="618"/>
      <c r="B457" s="631"/>
      <c r="C457" s="220"/>
      <c r="D457" s="221" t="s">
        <v>293</v>
      </c>
      <c r="E457" s="233">
        <v>0.9</v>
      </c>
      <c r="F457" s="618"/>
      <c r="G457" s="618"/>
      <c r="H457" s="618"/>
      <c r="I457" s="618"/>
      <c r="J457" s="618"/>
      <c r="K457" s="618"/>
      <c r="L457" s="618"/>
      <c r="M457" s="618"/>
      <c r="N457" s="618"/>
      <c r="O457" s="618"/>
      <c r="P457" s="618"/>
      <c r="Q457" s="618"/>
      <c r="R457" s="618"/>
      <c r="S457" s="618"/>
      <c r="T457" s="618"/>
      <c r="U457" s="618"/>
      <c r="V457" s="618"/>
      <c r="W457" s="618"/>
      <c r="X457" s="618"/>
      <c r="Y457" s="618"/>
      <c r="Z457" s="618"/>
      <c r="AA457" s="618"/>
      <c r="AB457" s="618"/>
      <c r="AC457" s="618"/>
      <c r="AD457" s="618"/>
      <c r="AE457" s="618"/>
      <c r="AF457" s="618"/>
      <c r="AG457" s="618"/>
      <c r="AH457" s="618"/>
      <c r="AI457" s="618"/>
      <c r="AJ457" s="618"/>
      <c r="AK457" s="618"/>
      <c r="AL457" s="618"/>
      <c r="AM457" s="3"/>
      <c r="AN457" s="3"/>
      <c r="AO457" s="3"/>
      <c r="AP457" s="3"/>
      <c r="AQ457" s="3"/>
      <c r="AR457" s="3"/>
      <c r="AS457" s="3"/>
      <c r="AT457" s="3"/>
      <c r="AU457" s="3"/>
      <c r="AV457" s="3"/>
      <c r="AW457" s="3"/>
      <c r="AX457" s="3"/>
      <c r="AY457" s="3"/>
      <c r="AZ457" s="3"/>
      <c r="BA457" s="3"/>
      <c r="BB457" s="3"/>
      <c r="BC457" s="3"/>
      <c r="BD457" s="3"/>
      <c r="BE457" s="3"/>
      <c r="BF457" s="3"/>
    </row>
    <row r="458" spans="1:58" ht="14.25" customHeight="1" x14ac:dyDescent="0.45">
      <c r="A458" s="618"/>
      <c r="B458" s="631"/>
      <c r="C458" s="220"/>
      <c r="D458" s="221" t="s">
        <v>294</v>
      </c>
      <c r="E458" s="233">
        <v>0.9</v>
      </c>
      <c r="F458" s="618"/>
      <c r="G458" s="618"/>
      <c r="H458" s="618"/>
      <c r="I458" s="618"/>
      <c r="J458" s="618"/>
      <c r="K458" s="618"/>
      <c r="L458" s="618"/>
      <c r="M458" s="618"/>
      <c r="N458" s="618"/>
      <c r="O458" s="618"/>
      <c r="P458" s="618"/>
      <c r="Q458" s="618"/>
      <c r="R458" s="618"/>
      <c r="S458" s="618"/>
      <c r="T458" s="618"/>
      <c r="U458" s="618"/>
      <c r="V458" s="618"/>
      <c r="W458" s="618"/>
      <c r="X458" s="618"/>
      <c r="Y458" s="618"/>
      <c r="Z458" s="618"/>
      <c r="AA458" s="618"/>
      <c r="AB458" s="618"/>
      <c r="AC458" s="618"/>
      <c r="AD458" s="618"/>
      <c r="AE458" s="618"/>
      <c r="AF458" s="618"/>
      <c r="AG458" s="618"/>
      <c r="AH458" s="618"/>
      <c r="AI458" s="618"/>
      <c r="AJ458" s="618"/>
      <c r="AK458" s="618"/>
      <c r="AL458" s="618"/>
      <c r="AM458" s="3"/>
      <c r="AN458" s="3"/>
      <c r="AO458" s="3"/>
      <c r="AP458" s="3"/>
      <c r="AQ458" s="3"/>
      <c r="AR458" s="3"/>
      <c r="AS458" s="3"/>
      <c r="AT458" s="3"/>
      <c r="AU458" s="3"/>
      <c r="AV458" s="3"/>
      <c r="AW458" s="3"/>
      <c r="AX458" s="3"/>
      <c r="AY458" s="3"/>
      <c r="AZ458" s="3"/>
      <c r="BA458" s="3"/>
      <c r="BB458" s="3"/>
      <c r="BC458" s="3"/>
      <c r="BD458" s="3"/>
      <c r="BE458" s="3"/>
      <c r="BF458" s="3"/>
    </row>
    <row r="459" spans="1:58" ht="14.25" customHeight="1" x14ac:dyDescent="0.45">
      <c r="A459" s="618"/>
      <c r="B459" s="631"/>
      <c r="C459" s="220"/>
      <c r="D459" s="221" t="s">
        <v>295</v>
      </c>
      <c r="E459" s="233">
        <v>0.57999999999999996</v>
      </c>
      <c r="F459" s="618"/>
      <c r="G459" s="618"/>
      <c r="H459" s="618"/>
      <c r="I459" s="618"/>
      <c r="J459" s="618"/>
      <c r="K459" s="618"/>
      <c r="L459" s="618"/>
      <c r="M459" s="618"/>
      <c r="N459" s="618"/>
      <c r="O459" s="618"/>
      <c r="P459" s="618"/>
      <c r="Q459" s="618"/>
      <c r="R459" s="618"/>
      <c r="S459" s="618"/>
      <c r="T459" s="618"/>
      <c r="U459" s="618"/>
      <c r="V459" s="618"/>
      <c r="W459" s="618"/>
      <c r="X459" s="618"/>
      <c r="Y459" s="618"/>
      <c r="Z459" s="618"/>
      <c r="AA459" s="618"/>
      <c r="AB459" s="618"/>
      <c r="AC459" s="618"/>
      <c r="AD459" s="618"/>
      <c r="AE459" s="618"/>
      <c r="AF459" s="618"/>
      <c r="AG459" s="618"/>
      <c r="AH459" s="618"/>
      <c r="AI459" s="618"/>
      <c r="AJ459" s="618"/>
      <c r="AK459" s="618"/>
      <c r="AL459" s="618"/>
      <c r="AM459" s="3"/>
      <c r="AN459" s="3"/>
      <c r="AO459" s="3"/>
      <c r="AP459" s="3"/>
      <c r="AQ459" s="3"/>
      <c r="AR459" s="3"/>
      <c r="AS459" s="3"/>
      <c r="AT459" s="3"/>
      <c r="AU459" s="3"/>
      <c r="AV459" s="3"/>
      <c r="AW459" s="3"/>
      <c r="AX459" s="3"/>
      <c r="AY459" s="3"/>
      <c r="AZ459" s="3"/>
      <c r="BA459" s="3"/>
      <c r="BB459" s="3"/>
      <c r="BC459" s="3"/>
      <c r="BD459" s="3"/>
      <c r="BE459" s="3"/>
      <c r="BF459" s="3"/>
    </row>
    <row r="460" spans="1:58" ht="14.25" customHeight="1" x14ac:dyDescent="0.45">
      <c r="A460" s="618"/>
      <c r="B460" s="632"/>
      <c r="C460" s="259"/>
      <c r="D460" s="267" t="s">
        <v>296</v>
      </c>
      <c r="E460" s="290">
        <v>0.5</v>
      </c>
      <c r="F460" s="618"/>
      <c r="G460" s="618"/>
      <c r="H460" s="618"/>
      <c r="I460" s="618"/>
      <c r="J460" s="618"/>
      <c r="K460" s="618"/>
      <c r="L460" s="618"/>
      <c r="M460" s="618"/>
      <c r="N460" s="618"/>
      <c r="O460" s="618"/>
      <c r="P460" s="618"/>
      <c r="Q460" s="618"/>
      <c r="R460" s="618"/>
      <c r="S460" s="618"/>
      <c r="T460" s="618"/>
      <c r="U460" s="618"/>
      <c r="V460" s="618"/>
      <c r="W460" s="618"/>
      <c r="X460" s="618"/>
      <c r="Y460" s="618"/>
      <c r="Z460" s="618"/>
      <c r="AA460" s="618"/>
      <c r="AB460" s="618"/>
      <c r="AC460" s="618"/>
      <c r="AD460" s="618"/>
      <c r="AE460" s="618"/>
      <c r="AF460" s="618"/>
      <c r="AG460" s="618"/>
      <c r="AH460" s="618"/>
      <c r="AI460" s="618"/>
      <c r="AJ460" s="618"/>
      <c r="AK460" s="618"/>
      <c r="AL460" s="618"/>
      <c r="AM460" s="3"/>
      <c r="AN460" s="3"/>
      <c r="AO460" s="3"/>
      <c r="AP460" s="3"/>
      <c r="AQ460" s="3"/>
      <c r="AR460" s="3"/>
      <c r="AS460" s="3"/>
      <c r="AT460" s="3"/>
      <c r="AU460" s="3"/>
      <c r="AV460" s="3"/>
      <c r="AW460" s="3"/>
      <c r="AX460" s="3"/>
      <c r="AY460" s="3"/>
      <c r="AZ460" s="3"/>
      <c r="BA460" s="3"/>
      <c r="BB460" s="3"/>
      <c r="BC460" s="3"/>
      <c r="BD460" s="3"/>
      <c r="BE460" s="3"/>
      <c r="BF460" s="3"/>
    </row>
    <row r="461" spans="1:58" ht="14.25" customHeight="1" x14ac:dyDescent="0.45">
      <c r="A461" s="618"/>
      <c r="B461" s="618"/>
      <c r="C461" s="618"/>
      <c r="D461" s="618"/>
      <c r="E461" s="618"/>
      <c r="F461" s="618"/>
      <c r="G461" s="618"/>
      <c r="H461" s="618"/>
      <c r="I461" s="618"/>
      <c r="J461" s="618"/>
      <c r="K461" s="618"/>
      <c r="L461" s="618"/>
      <c r="M461" s="618"/>
      <c r="N461" s="618"/>
      <c r="O461" s="618"/>
      <c r="P461" s="618"/>
      <c r="Q461" s="618"/>
      <c r="R461" s="618"/>
      <c r="S461" s="618"/>
      <c r="T461" s="618"/>
      <c r="U461" s="618"/>
      <c r="V461" s="618"/>
      <c r="W461" s="618"/>
      <c r="X461" s="618"/>
      <c r="Y461" s="618"/>
      <c r="Z461" s="618"/>
      <c r="AA461" s="618"/>
      <c r="AB461" s="618"/>
      <c r="AC461" s="618"/>
      <c r="AD461" s="618"/>
      <c r="AE461" s="618"/>
      <c r="AF461" s="618"/>
      <c r="AG461" s="618"/>
      <c r="AH461" s="618"/>
      <c r="AI461" s="618"/>
      <c r="AJ461" s="618"/>
      <c r="AK461" s="618"/>
      <c r="AL461" s="618"/>
      <c r="AM461" s="3"/>
      <c r="AN461" s="3"/>
      <c r="AO461" s="3"/>
      <c r="AP461" s="3"/>
      <c r="AQ461" s="3"/>
      <c r="AR461" s="3"/>
      <c r="AS461" s="3"/>
      <c r="AT461" s="3"/>
      <c r="AU461" s="3"/>
      <c r="AV461" s="3"/>
      <c r="AW461" s="3"/>
      <c r="AX461" s="3"/>
      <c r="AY461" s="3"/>
      <c r="AZ461" s="3"/>
      <c r="BA461" s="3"/>
      <c r="BB461" s="3"/>
      <c r="BC461" s="3"/>
      <c r="BD461" s="3"/>
      <c r="BE461" s="3"/>
      <c r="BF461" s="3"/>
    </row>
    <row r="462" spans="1:58" ht="14.25" customHeight="1" x14ac:dyDescent="0.45">
      <c r="A462" s="618"/>
      <c r="B462" s="215"/>
      <c r="C462" s="220"/>
      <c r="D462" s="243" t="s">
        <v>360</v>
      </c>
      <c r="E462" s="218"/>
      <c r="F462" s="218"/>
      <c r="G462" s="218"/>
      <c r="H462" s="266"/>
      <c r="I462" s="618"/>
      <c r="J462" s="618"/>
      <c r="K462" s="618"/>
      <c r="L462" s="618"/>
      <c r="M462" s="618"/>
      <c r="N462" s="618"/>
      <c r="O462" s="618"/>
      <c r="P462" s="618"/>
      <c r="Q462" s="618"/>
      <c r="R462" s="618"/>
      <c r="S462" s="618"/>
      <c r="T462" s="618"/>
      <c r="U462" s="618"/>
      <c r="V462" s="618"/>
      <c r="W462" s="618"/>
      <c r="X462" s="618"/>
      <c r="Y462" s="618"/>
      <c r="Z462" s="618"/>
      <c r="AA462" s="618"/>
      <c r="AB462" s="618"/>
      <c r="AC462" s="618"/>
      <c r="AD462" s="618"/>
      <c r="AE462" s="618"/>
      <c r="AF462" s="618"/>
      <c r="AG462" s="618"/>
      <c r="AH462" s="618"/>
      <c r="AI462" s="618"/>
      <c r="AJ462" s="618"/>
      <c r="AK462" s="618"/>
      <c r="AL462" s="618"/>
      <c r="AM462" s="3"/>
      <c r="AN462" s="3"/>
      <c r="AO462" s="3"/>
      <c r="AP462" s="3"/>
      <c r="AQ462" s="3"/>
      <c r="AR462" s="3"/>
      <c r="AS462" s="3"/>
      <c r="AT462" s="3"/>
      <c r="AU462" s="3"/>
      <c r="AV462" s="3"/>
      <c r="AW462" s="3"/>
      <c r="AX462" s="3"/>
      <c r="AY462" s="3"/>
      <c r="AZ462" s="3"/>
      <c r="BA462" s="3"/>
      <c r="BB462" s="3"/>
      <c r="BC462" s="3"/>
      <c r="BD462" s="3"/>
      <c r="BE462" s="3"/>
      <c r="BF462" s="3"/>
    </row>
    <row r="463" spans="1:58" ht="14.25" customHeight="1" x14ac:dyDescent="0.45">
      <c r="A463" s="618">
        <v>1</v>
      </c>
      <c r="B463" s="215"/>
      <c r="C463" s="220"/>
      <c r="D463" s="221" t="s">
        <v>361</v>
      </c>
      <c r="E463" s="232">
        <f>'Copia de Electricidad'!D339*$E$616*$E$619</f>
        <v>90.22744070523558</v>
      </c>
      <c r="F463" s="232">
        <f>'Copia de Electricidad'!E339*$E$616*$E$619</f>
        <v>100.73953831629601</v>
      </c>
      <c r="G463" s="232">
        <f>'Copia de Electricidad'!F339*$E$616*$E$619</f>
        <v>98.28051783065203</v>
      </c>
      <c r="H463" s="232">
        <f>'Copia de Electricidad'!G339*$E$616*$E$619</f>
        <v>101.33629573477143</v>
      </c>
      <c r="I463" s="618"/>
      <c r="J463" s="618"/>
      <c r="K463" s="618"/>
      <c r="L463" s="618"/>
      <c r="M463" s="618"/>
      <c r="N463" s="618"/>
      <c r="O463" s="618"/>
      <c r="P463" s="618"/>
      <c r="Q463" s="618"/>
      <c r="R463" s="618"/>
      <c r="S463" s="618"/>
      <c r="T463" s="618"/>
      <c r="U463" s="618"/>
      <c r="V463" s="618"/>
      <c r="W463" s="618"/>
      <c r="X463" s="618"/>
      <c r="Y463" s="618"/>
      <c r="Z463" s="618"/>
      <c r="AA463" s="618"/>
      <c r="AB463" s="618"/>
      <c r="AC463" s="618"/>
      <c r="AD463" s="618"/>
      <c r="AE463" s="618"/>
      <c r="AF463" s="618"/>
      <c r="AG463" s="618"/>
      <c r="AH463" s="618"/>
      <c r="AI463" s="618"/>
      <c r="AJ463" s="618"/>
      <c r="AK463" s="618"/>
      <c r="AL463" s="618"/>
      <c r="AM463" s="3"/>
      <c r="AN463" s="3"/>
      <c r="AO463" s="3"/>
      <c r="AP463" s="3"/>
      <c r="AQ463" s="3"/>
      <c r="AR463" s="3"/>
      <c r="AS463" s="3"/>
      <c r="AT463" s="3"/>
      <c r="AU463" s="3"/>
      <c r="AV463" s="3"/>
      <c r="AW463" s="3"/>
      <c r="AX463" s="3"/>
      <c r="AY463" s="3"/>
      <c r="AZ463" s="3"/>
      <c r="BA463" s="3"/>
      <c r="BB463" s="3"/>
      <c r="BC463" s="3"/>
      <c r="BD463" s="3"/>
      <c r="BE463" s="3"/>
      <c r="BF463" s="3"/>
    </row>
    <row r="464" spans="1:58" ht="14.25" customHeight="1" x14ac:dyDescent="0.45">
      <c r="A464" s="618">
        <v>1</v>
      </c>
      <c r="B464" s="215"/>
      <c r="C464" s="220"/>
      <c r="D464" s="323" t="s">
        <v>362</v>
      </c>
      <c r="E464" s="232">
        <f>'Copia de Electricidad'!D340*$E$616*$E$619</f>
        <v>3.8766026766832526</v>
      </c>
      <c r="F464" s="232">
        <f>'Copia de Electricidad'!E340*$E$616*$E$619</f>
        <v>4.6523477455424214</v>
      </c>
      <c r="G464" s="232">
        <f>'Copia de Electricidad'!F340*$E$616*$E$619</f>
        <v>4.5341619301634042</v>
      </c>
      <c r="H464" s="232">
        <f>'Copia de Electricidad'!G340*$E$616*$E$619</f>
        <v>4.287572712931202</v>
      </c>
      <c r="I464" s="618"/>
      <c r="J464" s="618"/>
      <c r="K464" s="618"/>
      <c r="L464" s="618"/>
      <c r="M464" s="618"/>
      <c r="N464" s="618"/>
      <c r="O464" s="618"/>
      <c r="P464" s="618"/>
      <c r="Q464" s="618"/>
      <c r="R464" s="618"/>
      <c r="S464" s="618"/>
      <c r="T464" s="618"/>
      <c r="U464" s="618"/>
      <c r="V464" s="618"/>
      <c r="W464" s="618"/>
      <c r="X464" s="618"/>
      <c r="Y464" s="618"/>
      <c r="Z464" s="618"/>
      <c r="AA464" s="618"/>
      <c r="AB464" s="618"/>
      <c r="AC464" s="618"/>
      <c r="AD464" s="618"/>
      <c r="AE464" s="618"/>
      <c r="AF464" s="618"/>
      <c r="AG464" s="618"/>
      <c r="AH464" s="618"/>
      <c r="AI464" s="618"/>
      <c r="AJ464" s="618"/>
      <c r="AK464" s="618"/>
      <c r="AL464" s="618"/>
      <c r="AM464" s="3"/>
      <c r="AN464" s="3"/>
      <c r="AO464" s="3"/>
      <c r="AP464" s="3"/>
      <c r="AQ464" s="3"/>
      <c r="AR464" s="3"/>
      <c r="AS464" s="3"/>
      <c r="AT464" s="3"/>
      <c r="AU464" s="3"/>
      <c r="AV464" s="3"/>
      <c r="AW464" s="3"/>
      <c r="AX464" s="3"/>
      <c r="AY464" s="3"/>
      <c r="AZ464" s="3"/>
      <c r="BA464" s="3"/>
      <c r="BB464" s="3"/>
      <c r="BC464" s="3"/>
      <c r="BD464" s="3"/>
      <c r="BE464" s="3"/>
      <c r="BF464" s="3"/>
    </row>
    <row r="465" spans="1:58" ht="14.25" customHeight="1" x14ac:dyDescent="0.45">
      <c r="A465" s="618"/>
      <c r="B465" s="215"/>
      <c r="C465" s="220"/>
      <c r="D465" s="221" t="s">
        <v>363</v>
      </c>
      <c r="E465" s="232">
        <f>E463/E467</f>
        <v>1.0448936312048462</v>
      </c>
      <c r="F465" s="232">
        <f>F463/F467</f>
        <v>1.0484179807725429</v>
      </c>
      <c r="G465" s="232">
        <f>G463/G467</f>
        <v>1.0483662739379054</v>
      </c>
      <c r="H465" s="324">
        <f>H463/H467</f>
        <v>1.0441795891736392</v>
      </c>
      <c r="I465" s="618"/>
      <c r="J465" s="618"/>
      <c r="K465" s="618"/>
      <c r="L465" s="618"/>
      <c r="M465" s="618"/>
      <c r="N465" s="618"/>
      <c r="O465" s="618"/>
      <c r="P465" s="618"/>
      <c r="Q465" s="618"/>
      <c r="R465" s="618"/>
      <c r="S465" s="618"/>
      <c r="T465" s="618"/>
      <c r="U465" s="618"/>
      <c r="V465" s="618"/>
      <c r="W465" s="618"/>
      <c r="X465" s="618"/>
      <c r="Y465" s="618"/>
      <c r="Z465" s="618"/>
      <c r="AA465" s="618"/>
      <c r="AB465" s="618"/>
      <c r="AC465" s="618"/>
      <c r="AD465" s="618"/>
      <c r="AE465" s="618"/>
      <c r="AF465" s="618"/>
      <c r="AG465" s="618"/>
      <c r="AH465" s="618"/>
      <c r="AI465" s="618"/>
      <c r="AJ465" s="618"/>
      <c r="AK465" s="618"/>
      <c r="AL465" s="618"/>
      <c r="AM465" s="3"/>
      <c r="AN465" s="3"/>
      <c r="AO465" s="3"/>
      <c r="AP465" s="3"/>
      <c r="AQ465" s="3"/>
      <c r="AR465" s="3"/>
      <c r="AS465" s="3"/>
      <c r="AT465" s="3"/>
      <c r="AU465" s="3"/>
      <c r="AV465" s="3"/>
      <c r="AW465" s="3"/>
      <c r="AX465" s="3"/>
      <c r="AY465" s="3"/>
      <c r="AZ465" s="3"/>
      <c r="BA465" s="3"/>
      <c r="BB465" s="3"/>
      <c r="BC465" s="3"/>
      <c r="BD465" s="3"/>
      <c r="BE465" s="3"/>
      <c r="BF465" s="3"/>
    </row>
    <row r="466" spans="1:58" ht="14.25" customHeight="1" x14ac:dyDescent="0.45">
      <c r="A466" s="618"/>
      <c r="B466" s="215"/>
      <c r="C466" s="220"/>
      <c r="D466" s="221"/>
      <c r="E466" s="232"/>
      <c r="F466" s="232"/>
      <c r="G466" s="232"/>
      <c r="H466" s="324"/>
      <c r="I466" s="618"/>
      <c r="J466" s="618"/>
      <c r="K466" s="618"/>
      <c r="L466" s="618"/>
      <c r="M466" s="618"/>
      <c r="N466" s="618"/>
      <c r="O466" s="618"/>
      <c r="P466" s="618"/>
      <c r="Q466" s="618"/>
      <c r="R466" s="618"/>
      <c r="S466" s="618"/>
      <c r="T466" s="618"/>
      <c r="U466" s="618"/>
      <c r="V466" s="618"/>
      <c r="W466" s="618"/>
      <c r="X466" s="618"/>
      <c r="Y466" s="618"/>
      <c r="Z466" s="618"/>
      <c r="AA466" s="618"/>
      <c r="AB466" s="618"/>
      <c r="AC466" s="618"/>
      <c r="AD466" s="618"/>
      <c r="AE466" s="618"/>
      <c r="AF466" s="618"/>
      <c r="AG466" s="618"/>
      <c r="AH466" s="618"/>
      <c r="AI466" s="618"/>
      <c r="AJ466" s="618"/>
      <c r="AK466" s="618"/>
      <c r="AL466" s="618"/>
      <c r="AM466" s="3"/>
      <c r="AN466" s="3"/>
      <c r="AO466" s="3"/>
      <c r="AP466" s="3"/>
      <c r="AQ466" s="3"/>
      <c r="AR466" s="3"/>
      <c r="AS466" s="3"/>
      <c r="AT466" s="3"/>
      <c r="AU466" s="3"/>
      <c r="AV466" s="3"/>
      <c r="AW466" s="3"/>
      <c r="AX466" s="3"/>
      <c r="AY466" s="3"/>
      <c r="AZ466" s="3"/>
      <c r="BA466" s="3"/>
      <c r="BB466" s="3"/>
      <c r="BC466" s="3"/>
      <c r="BD466" s="3"/>
      <c r="BE466" s="3"/>
      <c r="BF466" s="3"/>
    </row>
    <row r="467" spans="1:58" ht="14.25" customHeight="1" x14ac:dyDescent="0.45">
      <c r="A467" s="618"/>
      <c r="B467" s="215"/>
      <c r="C467" s="220"/>
      <c r="D467" s="221" t="s">
        <v>364</v>
      </c>
      <c r="E467" s="232">
        <f>E463-E464</f>
        <v>86.350838028552332</v>
      </c>
      <c r="F467" s="232">
        <f>F463-F464</f>
        <v>96.087190570753592</v>
      </c>
      <c r="G467" s="232">
        <f>G463-G464</f>
        <v>93.746355900488624</v>
      </c>
      <c r="H467" s="324">
        <f>H463-H464</f>
        <v>97.048723021840217</v>
      </c>
      <c r="I467" s="618"/>
      <c r="J467" s="618"/>
      <c r="K467" s="618"/>
      <c r="L467" s="618"/>
      <c r="M467" s="618"/>
      <c r="N467" s="618"/>
      <c r="O467" s="618"/>
      <c r="P467" s="618"/>
      <c r="Q467" s="618"/>
      <c r="R467" s="618"/>
      <c r="S467" s="618"/>
      <c r="T467" s="618"/>
      <c r="U467" s="618"/>
      <c r="V467" s="618"/>
      <c r="W467" s="618"/>
      <c r="X467" s="618"/>
      <c r="Y467" s="618"/>
      <c r="Z467" s="618"/>
      <c r="AA467" s="618"/>
      <c r="AB467" s="618"/>
      <c r="AC467" s="618"/>
      <c r="AD467" s="618"/>
      <c r="AE467" s="618"/>
      <c r="AF467" s="618"/>
      <c r="AG467" s="618"/>
      <c r="AH467" s="618"/>
      <c r="AI467" s="618"/>
      <c r="AJ467" s="618"/>
      <c r="AK467" s="618"/>
      <c r="AL467" s="618"/>
      <c r="AM467" s="3"/>
      <c r="AN467" s="3"/>
      <c r="AO467" s="3"/>
      <c r="AP467" s="3"/>
      <c r="AQ467" s="3"/>
      <c r="AR467" s="3"/>
      <c r="AS467" s="3"/>
      <c r="AT467" s="3"/>
      <c r="AU467" s="3"/>
      <c r="AV467" s="3"/>
      <c r="AW467" s="3"/>
      <c r="AX467" s="3"/>
      <c r="AY467" s="3"/>
      <c r="AZ467" s="3"/>
      <c r="BA467" s="3"/>
      <c r="BB467" s="3"/>
      <c r="BC467" s="3"/>
      <c r="BD467" s="3"/>
      <c r="BE467" s="3"/>
      <c r="BF467" s="3"/>
    </row>
    <row r="468" spans="1:58" ht="14.25" customHeight="1" x14ac:dyDescent="0.45">
      <c r="A468" s="618">
        <v>1</v>
      </c>
      <c r="B468" s="215"/>
      <c r="C468" s="220"/>
      <c r="D468" s="323" t="s">
        <v>365</v>
      </c>
      <c r="E468" s="232">
        <f>'Copia de Electricidad'!D344*$E$616*$E$619</f>
        <v>0.91979864717806825</v>
      </c>
      <c r="F468" s="232">
        <f>'Copia de Electricidad'!E344*$E$616*$E$619</f>
        <v>6.5717789285822841</v>
      </c>
      <c r="G468" s="232">
        <f>'Copia de Electricidad'!F344*$E$616*$E$619</f>
        <v>4.8232404770645925</v>
      </c>
      <c r="H468" s="232">
        <f>'Copia de Electricidad'!G344*$E$616*$E$619</f>
        <v>1.8856843657413787</v>
      </c>
      <c r="I468" s="618"/>
      <c r="J468" s="618"/>
      <c r="K468" s="618"/>
      <c r="L468" s="618"/>
      <c r="M468" s="618"/>
      <c r="N468" s="618"/>
      <c r="O468" s="618"/>
      <c r="P468" s="618"/>
      <c r="Q468" s="618"/>
      <c r="R468" s="618"/>
      <c r="S468" s="618"/>
      <c r="T468" s="618"/>
      <c r="U468" s="618"/>
      <c r="V468" s="618"/>
      <c r="W468" s="618"/>
      <c r="X468" s="618"/>
      <c r="Y468" s="618"/>
      <c r="Z468" s="618"/>
      <c r="AA468" s="618"/>
      <c r="AB468" s="618"/>
      <c r="AC468" s="618"/>
      <c r="AD468" s="618"/>
      <c r="AE468" s="618"/>
      <c r="AF468" s="618"/>
      <c r="AG468" s="618"/>
      <c r="AH468" s="618"/>
      <c r="AI468" s="618"/>
      <c r="AJ468" s="618"/>
      <c r="AK468" s="618"/>
      <c r="AL468" s="618"/>
      <c r="AM468" s="3"/>
      <c r="AN468" s="3"/>
      <c r="AO468" s="3"/>
      <c r="AP468" s="3"/>
      <c r="AQ468" s="3"/>
      <c r="AR468" s="3"/>
      <c r="AS468" s="3"/>
      <c r="AT468" s="3"/>
      <c r="AU468" s="3"/>
      <c r="AV468" s="3"/>
      <c r="AW468" s="3"/>
      <c r="AX468" s="3"/>
      <c r="AY468" s="3"/>
      <c r="AZ468" s="3"/>
      <c r="BA468" s="3"/>
      <c r="BB468" s="3"/>
      <c r="BC468" s="3"/>
      <c r="BD468" s="3"/>
      <c r="BE468" s="3"/>
      <c r="BF468" s="3"/>
    </row>
    <row r="469" spans="1:58" ht="14.25" customHeight="1" x14ac:dyDescent="0.45">
      <c r="A469" s="618"/>
      <c r="B469" s="215"/>
      <c r="C469" s="220"/>
      <c r="D469" s="221"/>
      <c r="E469" s="232"/>
      <c r="F469" s="232"/>
      <c r="G469" s="232"/>
      <c r="H469" s="324"/>
      <c r="I469" s="618"/>
      <c r="J469" s="618"/>
      <c r="K469" s="618"/>
      <c r="L469" s="618"/>
      <c r="M469" s="618"/>
      <c r="N469" s="618"/>
      <c r="O469" s="618"/>
      <c r="P469" s="618"/>
      <c r="Q469" s="618"/>
      <c r="R469" s="618"/>
      <c r="S469" s="618"/>
      <c r="T469" s="618"/>
      <c r="U469" s="618"/>
      <c r="V469" s="618"/>
      <c r="W469" s="618"/>
      <c r="X469" s="618"/>
      <c r="Y469" s="618"/>
      <c r="Z469" s="618"/>
      <c r="AA469" s="618"/>
      <c r="AB469" s="618"/>
      <c r="AC469" s="618"/>
      <c r="AD469" s="618"/>
      <c r="AE469" s="618"/>
      <c r="AF469" s="618"/>
      <c r="AG469" s="618"/>
      <c r="AH469" s="618"/>
      <c r="AI469" s="618"/>
      <c r="AJ469" s="618"/>
      <c r="AK469" s="618"/>
      <c r="AL469" s="618"/>
      <c r="AM469" s="3"/>
      <c r="AN469" s="3"/>
      <c r="AO469" s="3"/>
      <c r="AP469" s="3"/>
      <c r="AQ469" s="3"/>
      <c r="AR469" s="3"/>
      <c r="AS469" s="3"/>
      <c r="AT469" s="3"/>
      <c r="AU469" s="3"/>
      <c r="AV469" s="3"/>
      <c r="AW469" s="3"/>
      <c r="AX469" s="3"/>
      <c r="AY469" s="3"/>
      <c r="AZ469" s="3"/>
      <c r="BA469" s="3"/>
      <c r="BB469" s="3"/>
      <c r="BC469" s="3"/>
      <c r="BD469" s="3"/>
      <c r="BE469" s="3"/>
      <c r="BF469" s="3"/>
    </row>
    <row r="470" spans="1:58" ht="14.25" customHeight="1" x14ac:dyDescent="0.45">
      <c r="A470" s="618"/>
      <c r="B470" s="215"/>
      <c r="C470" s="220"/>
      <c r="D470" s="221" t="s">
        <v>366</v>
      </c>
      <c r="E470" s="232">
        <f>E467-E468</f>
        <v>85.431039381374262</v>
      </c>
      <c r="F470" s="232">
        <f>F467-F468</f>
        <v>89.515411642171301</v>
      </c>
      <c r="G470" s="232">
        <f>G467-G468</f>
        <v>88.923115423424036</v>
      </c>
      <c r="H470" s="324">
        <f>H467-H468</f>
        <v>95.163038656098834</v>
      </c>
      <c r="I470" s="618"/>
      <c r="J470" s="618"/>
      <c r="K470" s="618"/>
      <c r="L470" s="618"/>
      <c r="M470" s="618"/>
      <c r="N470" s="618"/>
      <c r="O470" s="618"/>
      <c r="P470" s="618"/>
      <c r="Q470" s="618"/>
      <c r="R470" s="618"/>
      <c r="S470" s="618"/>
      <c r="T470" s="618"/>
      <c r="U470" s="618"/>
      <c r="V470" s="618"/>
      <c r="W470" s="618"/>
      <c r="X470" s="618"/>
      <c r="Y470" s="618"/>
      <c r="Z470" s="618"/>
      <c r="AA470" s="618"/>
      <c r="AB470" s="618"/>
      <c r="AC470" s="618"/>
      <c r="AD470" s="618"/>
      <c r="AE470" s="618"/>
      <c r="AF470" s="618"/>
      <c r="AG470" s="618"/>
      <c r="AH470" s="618"/>
      <c r="AI470" s="618"/>
      <c r="AJ470" s="618"/>
      <c r="AK470" s="618"/>
      <c r="AL470" s="618"/>
      <c r="AM470" s="3"/>
      <c r="AN470" s="3"/>
      <c r="AO470" s="3"/>
      <c r="AP470" s="3"/>
      <c r="AQ470" s="3"/>
      <c r="AR470" s="3"/>
      <c r="AS470" s="3"/>
      <c r="AT470" s="3"/>
      <c r="AU470" s="3"/>
      <c r="AV470" s="3"/>
      <c r="AW470" s="3"/>
      <c r="AX470" s="3"/>
      <c r="AY470" s="3"/>
      <c r="AZ470" s="3"/>
      <c r="BA470" s="3"/>
      <c r="BB470" s="3"/>
      <c r="BC470" s="3"/>
      <c r="BD470" s="3"/>
      <c r="BE470" s="3"/>
      <c r="BF470" s="3"/>
    </row>
    <row r="471" spans="1:58" ht="14.25" customHeight="1" x14ac:dyDescent="0.45">
      <c r="A471" s="618">
        <v>1</v>
      </c>
      <c r="B471" s="215"/>
      <c r="C471" s="220"/>
      <c r="D471" s="221" t="s">
        <v>367</v>
      </c>
      <c r="E471" s="232">
        <f>'Copia de Electricidad'!D347*$E$616*$E$619</f>
        <v>9.7329346875708218</v>
      </c>
      <c r="F471" s="232">
        <f>'Copia de Electricidad'!E347*$E$616*$E$619</f>
        <v>10.740374322956892</v>
      </c>
      <c r="G471" s="232">
        <f>'Copia de Electricidad'!F347*$E$616*$E$619</f>
        <v>11.369979123301732</v>
      </c>
      <c r="H471" s="232">
        <f>'Copia de Electricidad'!G347*$E$616*$E$619</f>
        <v>12.428830487813103</v>
      </c>
      <c r="I471" s="618"/>
      <c r="J471" s="618"/>
      <c r="K471" s="618"/>
      <c r="L471" s="618"/>
      <c r="M471" s="618"/>
      <c r="N471" s="618"/>
      <c r="O471" s="618"/>
      <c r="P471" s="618"/>
      <c r="Q471" s="618"/>
      <c r="R471" s="618"/>
      <c r="S471" s="618"/>
      <c r="T471" s="618"/>
      <c r="U471" s="618"/>
      <c r="V471" s="618"/>
      <c r="W471" s="618"/>
      <c r="X471" s="618"/>
      <c r="Y471" s="618"/>
      <c r="Z471" s="618"/>
      <c r="AA471" s="618"/>
      <c r="AB471" s="618"/>
      <c r="AC471" s="618"/>
      <c r="AD471" s="618"/>
      <c r="AE471" s="618"/>
      <c r="AF471" s="618"/>
      <c r="AG471" s="618"/>
      <c r="AH471" s="618"/>
      <c r="AI471" s="618"/>
      <c r="AJ471" s="618"/>
      <c r="AK471" s="618"/>
      <c r="AL471" s="618"/>
      <c r="AM471" s="3"/>
      <c r="AN471" s="3"/>
      <c r="AO471" s="3"/>
      <c r="AP471" s="3"/>
      <c r="AQ471" s="3"/>
      <c r="AR471" s="3"/>
      <c r="AS471" s="3"/>
      <c r="AT471" s="3"/>
      <c r="AU471" s="3"/>
      <c r="AV471" s="3"/>
      <c r="AW471" s="3"/>
      <c r="AX471" s="3"/>
      <c r="AY471" s="3"/>
      <c r="AZ471" s="3"/>
      <c r="BA471" s="3"/>
      <c r="BB471" s="3"/>
      <c r="BC471" s="3"/>
      <c r="BD471" s="3"/>
      <c r="BE471" s="3"/>
      <c r="BF471" s="3"/>
    </row>
    <row r="472" spans="1:58" ht="14.25" customHeight="1" x14ac:dyDescent="0.45">
      <c r="A472" s="618"/>
      <c r="B472" s="215"/>
      <c r="C472" s="220"/>
      <c r="D472" s="221" t="s">
        <v>363</v>
      </c>
      <c r="E472" s="232">
        <f>E470/E474</f>
        <v>1.1285756720982678</v>
      </c>
      <c r="F472" s="232">
        <f>F470/F474</f>
        <v>1.1363423577882223</v>
      </c>
      <c r="G472" s="232">
        <f>G470/G474</f>
        <v>1.1466088886373484</v>
      </c>
      <c r="H472" s="324">
        <f>H470/H474</f>
        <v>1.1502260160939983</v>
      </c>
      <c r="I472" s="618"/>
      <c r="J472" s="618"/>
      <c r="K472" s="618"/>
      <c r="L472" s="618"/>
      <c r="M472" s="618"/>
      <c r="N472" s="618"/>
      <c r="O472" s="618"/>
      <c r="P472" s="618"/>
      <c r="Q472" s="618"/>
      <c r="R472" s="618"/>
      <c r="S472" s="618"/>
      <c r="T472" s="618"/>
      <c r="U472" s="618"/>
      <c r="V472" s="618"/>
      <c r="W472" s="618"/>
      <c r="X472" s="618"/>
      <c r="Y472" s="618"/>
      <c r="Z472" s="618"/>
      <c r="AA472" s="618"/>
      <c r="AB472" s="618"/>
      <c r="AC472" s="618"/>
      <c r="AD472" s="618"/>
      <c r="AE472" s="618"/>
      <c r="AF472" s="618"/>
      <c r="AG472" s="618"/>
      <c r="AH472" s="618"/>
      <c r="AI472" s="618"/>
      <c r="AJ472" s="618"/>
      <c r="AK472" s="618"/>
      <c r="AL472" s="618"/>
      <c r="AM472" s="3"/>
      <c r="AN472" s="3"/>
      <c r="AO472" s="3"/>
      <c r="AP472" s="3"/>
      <c r="AQ472" s="3"/>
      <c r="AR472" s="3"/>
      <c r="AS472" s="3"/>
      <c r="AT472" s="3"/>
      <c r="AU472" s="3"/>
      <c r="AV472" s="3"/>
      <c r="AW472" s="3"/>
      <c r="AX472" s="3"/>
      <c r="AY472" s="3"/>
      <c r="AZ472" s="3"/>
      <c r="BA472" s="3"/>
      <c r="BB472" s="3"/>
      <c r="BC472" s="3"/>
      <c r="BD472" s="3"/>
      <c r="BE472" s="3"/>
      <c r="BF472" s="3"/>
    </row>
    <row r="473" spans="1:58" ht="14.25" customHeight="1" x14ac:dyDescent="0.45">
      <c r="A473" s="618"/>
      <c r="B473" s="215"/>
      <c r="C473" s="220"/>
      <c r="D473" s="221"/>
      <c r="E473" s="218"/>
      <c r="F473" s="218"/>
      <c r="G473" s="218"/>
      <c r="H473" s="305"/>
      <c r="I473" s="618"/>
      <c r="J473" s="618"/>
      <c r="K473" s="618"/>
      <c r="L473" s="618"/>
      <c r="M473" s="618"/>
      <c r="N473" s="618"/>
      <c r="O473" s="618"/>
      <c r="P473" s="618"/>
      <c r="Q473" s="618"/>
      <c r="R473" s="618"/>
      <c r="S473" s="618"/>
      <c r="T473" s="618"/>
      <c r="U473" s="618"/>
      <c r="V473" s="618"/>
      <c r="W473" s="618"/>
      <c r="X473" s="618"/>
      <c r="Y473" s="618"/>
      <c r="Z473" s="618"/>
      <c r="AA473" s="618"/>
      <c r="AB473" s="618"/>
      <c r="AC473" s="618"/>
      <c r="AD473" s="618"/>
      <c r="AE473" s="618"/>
      <c r="AF473" s="618"/>
      <c r="AG473" s="618"/>
      <c r="AH473" s="618"/>
      <c r="AI473" s="618"/>
      <c r="AJ473" s="618"/>
      <c r="AK473" s="618"/>
      <c r="AL473" s="618"/>
      <c r="AM473" s="3"/>
      <c r="AN473" s="3"/>
      <c r="AO473" s="3"/>
      <c r="AP473" s="3"/>
      <c r="AQ473" s="3"/>
      <c r="AR473" s="3"/>
      <c r="AS473" s="3"/>
      <c r="AT473" s="3"/>
      <c r="AU473" s="3"/>
      <c r="AV473" s="3"/>
      <c r="AW473" s="3"/>
      <c r="AX473" s="3"/>
      <c r="AY473" s="3"/>
      <c r="AZ473" s="3"/>
      <c r="BA473" s="3"/>
      <c r="BB473" s="3"/>
      <c r="BC473" s="3"/>
      <c r="BD473" s="3"/>
      <c r="BE473" s="3"/>
      <c r="BF473" s="3"/>
    </row>
    <row r="474" spans="1:58" ht="14.25" customHeight="1" x14ac:dyDescent="0.45">
      <c r="A474" s="618"/>
      <c r="B474" s="215"/>
      <c r="C474" s="220"/>
      <c r="D474" s="221" t="s">
        <v>368</v>
      </c>
      <c r="E474" s="218">
        <f>E470-E471</f>
        <v>75.698104693803444</v>
      </c>
      <c r="F474" s="218">
        <f>F470-F471</f>
        <v>78.775037319214405</v>
      </c>
      <c r="G474" s="218">
        <f>G470-G471</f>
        <v>77.553136300122304</v>
      </c>
      <c r="H474" s="325">
        <f>H470-H471</f>
        <v>82.734208168285733</v>
      </c>
      <c r="I474" s="618"/>
      <c r="J474" s="618"/>
      <c r="K474" s="618"/>
      <c r="L474" s="618"/>
      <c r="M474" s="618"/>
      <c r="N474" s="618"/>
      <c r="O474" s="618"/>
      <c r="P474" s="618"/>
      <c r="Q474" s="618"/>
      <c r="R474" s="618"/>
      <c r="S474" s="618"/>
      <c r="T474" s="618"/>
      <c r="U474" s="618"/>
      <c r="V474" s="618"/>
      <c r="W474" s="618"/>
      <c r="X474" s="618"/>
      <c r="Y474" s="618"/>
      <c r="Z474" s="618"/>
      <c r="AA474" s="618"/>
      <c r="AB474" s="618"/>
      <c r="AC474" s="618"/>
      <c r="AD474" s="618"/>
      <c r="AE474" s="618"/>
      <c r="AF474" s="618"/>
      <c r="AG474" s="618"/>
      <c r="AH474" s="618"/>
      <c r="AI474" s="618"/>
      <c r="AJ474" s="618"/>
      <c r="AK474" s="618"/>
      <c r="AL474" s="618"/>
      <c r="AM474" s="618"/>
      <c r="AN474" s="3"/>
      <c r="AO474" s="3"/>
      <c r="AP474" s="3"/>
      <c r="AQ474" s="3"/>
      <c r="AR474" s="3"/>
      <c r="AS474" s="3"/>
      <c r="AT474" s="3"/>
      <c r="AU474" s="3"/>
      <c r="AV474" s="3"/>
      <c r="AW474" s="3"/>
      <c r="AX474" s="3"/>
      <c r="AY474" s="3"/>
      <c r="AZ474" s="3"/>
      <c r="BA474" s="3"/>
      <c r="BB474" s="3"/>
      <c r="BC474" s="3"/>
      <c r="BD474" s="3"/>
      <c r="BE474" s="3"/>
      <c r="BF474" s="3"/>
    </row>
    <row r="475" spans="1:58" ht="14.25" customHeight="1" x14ac:dyDescent="0.45">
      <c r="A475" s="618"/>
      <c r="B475" s="215"/>
      <c r="C475" s="220"/>
      <c r="D475" s="243" t="s">
        <v>369</v>
      </c>
      <c r="E475" s="218">
        <f>E474+E332</f>
        <v>89.600610771121666</v>
      </c>
      <c r="F475" s="218">
        <f>F474+F332</f>
        <v>93.580926332315272</v>
      </c>
      <c r="G475" s="218">
        <f>G474+G332</f>
        <v>91.740927686208337</v>
      </c>
      <c r="H475" s="325">
        <f>H474+H332</f>
        <v>97.232918411866905</v>
      </c>
      <c r="I475" s="618"/>
      <c r="J475" s="618"/>
      <c r="K475" s="618"/>
      <c r="L475" s="618"/>
      <c r="M475" s="618"/>
      <c r="N475" s="618"/>
      <c r="O475" s="618"/>
      <c r="P475" s="618"/>
      <c r="Q475" s="618"/>
      <c r="R475" s="618"/>
      <c r="S475" s="618"/>
      <c r="T475" s="618"/>
      <c r="U475" s="618"/>
      <c r="V475" s="618"/>
      <c r="W475" s="618"/>
      <c r="X475" s="618"/>
      <c r="Y475" s="618"/>
      <c r="Z475" s="618"/>
      <c r="AA475" s="618"/>
      <c r="AB475" s="618"/>
      <c r="AC475" s="618"/>
      <c r="AD475" s="618"/>
      <c r="AE475" s="618"/>
      <c r="AF475" s="618"/>
      <c r="AG475" s="618"/>
      <c r="AH475" s="618"/>
      <c r="AI475" s="618"/>
      <c r="AJ475" s="618"/>
      <c r="AK475" s="618"/>
      <c r="AL475" s="618"/>
      <c r="AM475" s="618"/>
      <c r="AN475" s="3"/>
      <c r="AO475" s="3"/>
      <c r="AP475" s="3"/>
      <c r="AQ475" s="3"/>
      <c r="AR475" s="3"/>
      <c r="AS475" s="3"/>
      <c r="AT475" s="3"/>
      <c r="AU475" s="3"/>
      <c r="AV475" s="3"/>
      <c r="AW475" s="3"/>
      <c r="AX475" s="3"/>
      <c r="AY475" s="3"/>
      <c r="AZ475" s="3"/>
      <c r="BA475" s="3"/>
      <c r="BB475" s="3"/>
      <c r="BC475" s="3"/>
      <c r="BD475" s="3"/>
      <c r="BE475" s="3"/>
      <c r="BF475" s="3"/>
    </row>
    <row r="476" spans="1:58" ht="14.25" customHeight="1" x14ac:dyDescent="0.45">
      <c r="A476" s="618"/>
      <c r="B476" s="215"/>
      <c r="C476" s="220"/>
      <c r="D476" s="243"/>
      <c r="E476" s="218"/>
      <c r="F476" s="218"/>
      <c r="G476" s="218"/>
      <c r="H476" s="325"/>
      <c r="I476" s="618"/>
      <c r="J476" s="618"/>
      <c r="K476" s="618"/>
      <c r="L476" s="618"/>
      <c r="M476" s="618"/>
      <c r="N476" s="618"/>
      <c r="O476" s="618"/>
      <c r="P476" s="618"/>
      <c r="Q476" s="618"/>
      <c r="R476" s="618"/>
      <c r="S476" s="618"/>
      <c r="T476" s="618"/>
      <c r="U476" s="618"/>
      <c r="V476" s="618"/>
      <c r="W476" s="618"/>
      <c r="X476" s="618"/>
      <c r="Y476" s="618"/>
      <c r="Z476" s="618"/>
      <c r="AA476" s="618"/>
      <c r="AB476" s="618"/>
      <c r="AC476" s="618"/>
      <c r="AD476" s="618"/>
      <c r="AE476" s="618"/>
      <c r="AF476" s="618"/>
      <c r="AG476" s="618"/>
      <c r="AH476" s="618"/>
      <c r="AI476" s="618"/>
      <c r="AJ476" s="618"/>
      <c r="AK476" s="618"/>
      <c r="AL476" s="618"/>
      <c r="AM476" s="618"/>
      <c r="AN476" s="3"/>
      <c r="AO476" s="3"/>
      <c r="AP476" s="3"/>
      <c r="AQ476" s="3"/>
      <c r="AR476" s="3"/>
      <c r="AS476" s="3"/>
      <c r="AT476" s="3"/>
      <c r="AU476" s="3"/>
      <c r="AV476" s="3"/>
      <c r="AW476" s="3"/>
      <c r="AX476" s="3"/>
      <c r="AY476" s="3"/>
      <c r="AZ476" s="3"/>
      <c r="BA476" s="3"/>
      <c r="BB476" s="3"/>
      <c r="BC476" s="3"/>
      <c r="BD476" s="3"/>
      <c r="BE476" s="3"/>
      <c r="BF476" s="3"/>
    </row>
    <row r="477" spans="1:58" ht="14.25" customHeight="1" x14ac:dyDescent="0.45">
      <c r="A477" s="618"/>
      <c r="B477" s="215"/>
      <c r="C477" s="220"/>
      <c r="D477" s="243" t="s">
        <v>370</v>
      </c>
      <c r="E477" s="218"/>
      <c r="F477" s="218"/>
      <c r="G477" s="218"/>
      <c r="H477" s="325"/>
      <c r="I477" s="15"/>
      <c r="J477" s="618"/>
      <c r="K477" s="618"/>
      <c r="L477" s="618"/>
      <c r="M477" s="618"/>
      <c r="N477" s="618"/>
      <c r="O477" s="618"/>
      <c r="P477" s="618"/>
      <c r="Q477" s="618"/>
      <c r="R477" s="618"/>
      <c r="S477" s="618"/>
      <c r="T477" s="618"/>
      <c r="U477" s="618"/>
      <c r="V477" s="618"/>
      <c r="W477" s="618"/>
      <c r="X477" s="618"/>
      <c r="Y477" s="618"/>
      <c r="Z477" s="618"/>
      <c r="AA477" s="618"/>
      <c r="AB477" s="618"/>
      <c r="AC477" s="618"/>
      <c r="AD477" s="618"/>
      <c r="AE477" s="618"/>
      <c r="AF477" s="618"/>
      <c r="AG477" s="618"/>
      <c r="AH477" s="618"/>
      <c r="AI477" s="618"/>
      <c r="AJ477" s="618"/>
      <c r="AK477" s="618"/>
      <c r="AL477" s="618"/>
      <c r="AM477" s="3"/>
      <c r="AN477" s="3"/>
      <c r="AO477" s="3"/>
      <c r="AP477" s="3"/>
      <c r="AQ477" s="3"/>
      <c r="AR477" s="3"/>
      <c r="AS477" s="3"/>
      <c r="AT477" s="3"/>
      <c r="AU477" s="3"/>
      <c r="AV477" s="3"/>
      <c r="AW477" s="3"/>
      <c r="AX477" s="3"/>
      <c r="AY477" s="3"/>
      <c r="AZ477" s="3"/>
      <c r="BA477" s="3"/>
      <c r="BB477" s="3"/>
      <c r="BC477" s="3"/>
      <c r="BD477" s="3"/>
      <c r="BE477" s="3"/>
      <c r="BF477" s="3"/>
    </row>
    <row r="478" spans="1:58" ht="14.25" customHeight="1" x14ac:dyDescent="0.45">
      <c r="A478" s="618"/>
      <c r="B478" s="215"/>
      <c r="C478" s="220"/>
      <c r="D478" s="243" t="s">
        <v>371</v>
      </c>
      <c r="E478" s="218">
        <f>E346+(E488-E489)</f>
        <v>104.67240898985058</v>
      </c>
      <c r="F478" s="218">
        <f>F346+(F488-F489)</f>
        <v>109.59854190906414</v>
      </c>
      <c r="G478" s="218">
        <f>G346+(G488-G489)</f>
        <v>108.50123676657739</v>
      </c>
      <c r="H478" s="218">
        <f>H346+(H488-H489)</f>
        <v>115.29516743396309</v>
      </c>
      <c r="I478" s="15"/>
      <c r="J478" s="618"/>
      <c r="K478" s="618"/>
      <c r="L478" s="618"/>
      <c r="M478" s="618"/>
      <c r="N478" s="618"/>
      <c r="O478" s="618"/>
      <c r="P478" s="618"/>
      <c r="Q478" s="618"/>
      <c r="R478" s="618"/>
      <c r="S478" s="618"/>
      <c r="T478" s="618"/>
      <c r="U478" s="618"/>
      <c r="V478" s="618"/>
      <c r="W478" s="618"/>
      <c r="X478" s="618"/>
      <c r="Y478" s="618"/>
      <c r="Z478" s="618"/>
      <c r="AA478" s="618"/>
      <c r="AB478" s="618"/>
      <c r="AC478" s="618"/>
      <c r="AD478" s="618"/>
      <c r="AE478" s="618"/>
      <c r="AF478" s="618"/>
      <c r="AG478" s="618"/>
      <c r="AH478" s="618"/>
      <c r="AI478" s="618"/>
      <c r="AJ478" s="618"/>
      <c r="AK478" s="618"/>
      <c r="AL478" s="618"/>
      <c r="AM478" s="3"/>
      <c r="AN478" s="3"/>
      <c r="AO478" s="3"/>
      <c r="AP478" s="3"/>
      <c r="AQ478" s="3"/>
      <c r="AR478" s="3"/>
      <c r="AS478" s="3"/>
      <c r="AT478" s="3"/>
      <c r="AU478" s="3"/>
      <c r="AV478" s="3"/>
      <c r="AW478" s="3"/>
      <c r="AX478" s="3"/>
      <c r="AY478" s="3"/>
      <c r="AZ478" s="3"/>
      <c r="BA478" s="3"/>
      <c r="BB478" s="3"/>
      <c r="BC478" s="3"/>
      <c r="BD478" s="3"/>
      <c r="BE478" s="3"/>
      <c r="BF478" s="3"/>
    </row>
    <row r="479" spans="1:58" ht="14.25" customHeight="1" x14ac:dyDescent="0.45">
      <c r="A479" s="618"/>
      <c r="B479" s="215"/>
      <c r="C479" s="220"/>
      <c r="D479" s="243" t="s">
        <v>372</v>
      </c>
      <c r="E479" s="218">
        <f>E478-E503</f>
        <v>15.061581706978572</v>
      </c>
      <c r="F479" s="218">
        <f>F478-F503</f>
        <v>16.720946566854266</v>
      </c>
      <c r="G479" s="218">
        <f>G478-G503</f>
        <v>17.054957326654673</v>
      </c>
      <c r="H479" s="218">
        <f>H478-H503</f>
        <v>18.266465647351069</v>
      </c>
      <c r="I479" s="629" t="s">
        <v>373</v>
      </c>
      <c r="J479" s="621"/>
      <c r="K479" s="621"/>
      <c r="L479" s="621"/>
      <c r="M479" s="621"/>
      <c r="N479" s="618"/>
      <c r="O479" s="618"/>
      <c r="P479" s="618"/>
      <c r="Q479" s="618"/>
      <c r="R479" s="618"/>
      <c r="S479" s="618"/>
      <c r="T479" s="618"/>
      <c r="U479" s="618"/>
      <c r="V479" s="618"/>
      <c r="W479" s="618"/>
      <c r="X479" s="618"/>
      <c r="Y479" s="618"/>
      <c r="Z479" s="618"/>
      <c r="AA479" s="618"/>
      <c r="AB479" s="618"/>
      <c r="AC479" s="618"/>
      <c r="AD479" s="618"/>
      <c r="AE479" s="618"/>
      <c r="AF479" s="618"/>
      <c r="AG479" s="618"/>
      <c r="AH479" s="618"/>
      <c r="AI479" s="618"/>
      <c r="AJ479" s="618"/>
      <c r="AK479" s="618"/>
      <c r="AL479" s="618"/>
      <c r="AM479" s="3"/>
      <c r="AN479" s="3"/>
      <c r="AO479" s="3"/>
      <c r="AP479" s="3"/>
      <c r="AQ479" s="3"/>
      <c r="AR479" s="3"/>
      <c r="AS479" s="3"/>
      <c r="AT479" s="3"/>
      <c r="AU479" s="3"/>
      <c r="AV479" s="3"/>
      <c r="AW479" s="3"/>
      <c r="AX479" s="3"/>
      <c r="AY479" s="3"/>
      <c r="AZ479" s="3"/>
      <c r="BA479" s="3"/>
      <c r="BB479" s="3"/>
      <c r="BC479" s="3"/>
      <c r="BD479" s="3"/>
      <c r="BE479" s="3"/>
      <c r="BF479" s="3"/>
    </row>
    <row r="480" spans="1:58" ht="14.25" customHeight="1" x14ac:dyDescent="0.45">
      <c r="A480" s="618"/>
      <c r="B480" s="215"/>
      <c r="C480" s="220"/>
      <c r="D480" s="243"/>
      <c r="E480" s="123">
        <v>2018</v>
      </c>
      <c r="F480" s="123">
        <v>2019</v>
      </c>
      <c r="G480" s="123">
        <v>2020</v>
      </c>
      <c r="H480" s="123">
        <v>2021</v>
      </c>
      <c r="I480" s="141">
        <v>2022</v>
      </c>
      <c r="J480" s="141">
        <v>2023</v>
      </c>
      <c r="K480" s="141">
        <v>2024</v>
      </c>
      <c r="L480" s="141">
        <v>2025</v>
      </c>
      <c r="M480" s="141">
        <v>2026</v>
      </c>
      <c r="N480" s="141">
        <v>2027</v>
      </c>
      <c r="O480" s="141">
        <v>2028</v>
      </c>
      <c r="P480" s="141">
        <v>2029</v>
      </c>
      <c r="Q480" s="141">
        <v>2030</v>
      </c>
      <c r="R480" s="141">
        <v>2031</v>
      </c>
      <c r="S480" s="141">
        <v>2032</v>
      </c>
      <c r="T480" s="141">
        <v>2033</v>
      </c>
      <c r="U480" s="141">
        <v>2034</v>
      </c>
      <c r="V480" s="141">
        <v>2035</v>
      </c>
      <c r="W480" s="141">
        <v>2036</v>
      </c>
      <c r="X480" s="141">
        <v>2037</v>
      </c>
      <c r="Y480" s="141">
        <v>2038</v>
      </c>
      <c r="Z480" s="141">
        <v>2039</v>
      </c>
      <c r="AA480" s="141">
        <v>2040</v>
      </c>
      <c r="AB480" s="141">
        <v>2041</v>
      </c>
      <c r="AC480" s="141">
        <v>2042</v>
      </c>
      <c r="AD480" s="141">
        <v>2043</v>
      </c>
      <c r="AE480" s="141">
        <v>2044</v>
      </c>
      <c r="AF480" s="141">
        <v>2045</v>
      </c>
      <c r="AG480" s="141">
        <v>2046</v>
      </c>
      <c r="AH480" s="141">
        <v>2047</v>
      </c>
      <c r="AI480" s="141">
        <v>2048</v>
      </c>
      <c r="AJ480" s="141">
        <v>2049</v>
      </c>
      <c r="AK480" s="141">
        <v>2050</v>
      </c>
      <c r="AL480" s="141">
        <v>2051</v>
      </c>
      <c r="AM480" s="141">
        <v>2052</v>
      </c>
      <c r="AN480" s="141">
        <v>2053</v>
      </c>
      <c r="AO480" s="141">
        <v>2054</v>
      </c>
      <c r="AP480" s="141">
        <v>2055</v>
      </c>
      <c r="AQ480" s="141">
        <v>2056</v>
      </c>
      <c r="AR480" s="141">
        <v>2057</v>
      </c>
      <c r="AS480" s="141">
        <v>2058</v>
      </c>
      <c r="AT480" s="141">
        <v>2059</v>
      </c>
      <c r="AU480" s="141">
        <v>2060</v>
      </c>
      <c r="AV480" s="141">
        <v>2061</v>
      </c>
      <c r="AW480" s="141">
        <v>2062</v>
      </c>
      <c r="AX480" s="141">
        <v>2063</v>
      </c>
      <c r="AY480" s="141">
        <v>2064</v>
      </c>
      <c r="AZ480" s="141">
        <v>2065</v>
      </c>
      <c r="BA480" s="141">
        <v>2066</v>
      </c>
      <c r="BB480" s="141">
        <v>2067</v>
      </c>
      <c r="BC480" s="141">
        <v>2068</v>
      </c>
      <c r="BD480" s="141">
        <v>2069</v>
      </c>
      <c r="BE480" s="142">
        <v>2070</v>
      </c>
      <c r="BF480" s="3"/>
    </row>
    <row r="481" spans="1:58" ht="14.25" customHeight="1" x14ac:dyDescent="0.45">
      <c r="A481" s="618"/>
      <c r="B481" s="130"/>
      <c r="C481" s="220"/>
      <c r="D481" s="243" t="s">
        <v>374</v>
      </c>
      <c r="E481" s="218">
        <v>1.04489363120485</v>
      </c>
      <c r="F481" s="218">
        <v>1.0484179807725431</v>
      </c>
      <c r="G481" s="218">
        <v>1.0483662739379054</v>
      </c>
      <c r="H481" s="325">
        <v>1.0441795891736392</v>
      </c>
      <c r="I481" s="218">
        <f>1/(1-I482%)</f>
        <v>1.0398253093480296</v>
      </c>
      <c r="J481" s="218">
        <f t="shared" ref="J481:BE481" si="13">I481</f>
        <v>1.0398253093480296</v>
      </c>
      <c r="K481" s="218">
        <f t="shared" si="13"/>
        <v>1.0398253093480296</v>
      </c>
      <c r="L481" s="218">
        <f t="shared" si="13"/>
        <v>1.0398253093480296</v>
      </c>
      <c r="M481" s="218">
        <f t="shared" si="13"/>
        <v>1.0398253093480296</v>
      </c>
      <c r="N481" s="218">
        <f t="shared" si="13"/>
        <v>1.0398253093480296</v>
      </c>
      <c r="O481" s="218">
        <f t="shared" si="13"/>
        <v>1.0398253093480296</v>
      </c>
      <c r="P481" s="218">
        <f t="shared" si="13"/>
        <v>1.0398253093480296</v>
      </c>
      <c r="Q481" s="218">
        <f t="shared" si="13"/>
        <v>1.0398253093480296</v>
      </c>
      <c r="R481" s="218">
        <f t="shared" si="13"/>
        <v>1.0398253093480296</v>
      </c>
      <c r="S481" s="218">
        <f t="shared" si="13"/>
        <v>1.0398253093480296</v>
      </c>
      <c r="T481" s="218">
        <f t="shared" si="13"/>
        <v>1.0398253093480296</v>
      </c>
      <c r="U481" s="218">
        <f t="shared" si="13"/>
        <v>1.0398253093480296</v>
      </c>
      <c r="V481" s="218">
        <f t="shared" si="13"/>
        <v>1.0398253093480296</v>
      </c>
      <c r="W481" s="218">
        <f t="shared" si="13"/>
        <v>1.0398253093480296</v>
      </c>
      <c r="X481" s="218">
        <f t="shared" si="13"/>
        <v>1.0398253093480296</v>
      </c>
      <c r="Y481" s="218">
        <f t="shared" si="13"/>
        <v>1.0398253093480296</v>
      </c>
      <c r="Z481" s="218">
        <f t="shared" si="13"/>
        <v>1.0398253093480296</v>
      </c>
      <c r="AA481" s="218">
        <f t="shared" si="13"/>
        <v>1.0398253093480296</v>
      </c>
      <c r="AB481" s="218">
        <f t="shared" si="13"/>
        <v>1.0398253093480296</v>
      </c>
      <c r="AC481" s="218">
        <f t="shared" si="13"/>
        <v>1.0398253093480296</v>
      </c>
      <c r="AD481" s="218">
        <f t="shared" si="13"/>
        <v>1.0398253093480296</v>
      </c>
      <c r="AE481" s="218">
        <f t="shared" si="13"/>
        <v>1.0398253093480296</v>
      </c>
      <c r="AF481" s="218">
        <f t="shared" si="13"/>
        <v>1.0398253093480296</v>
      </c>
      <c r="AG481" s="218">
        <f t="shared" si="13"/>
        <v>1.0398253093480296</v>
      </c>
      <c r="AH481" s="218">
        <f t="shared" si="13"/>
        <v>1.0398253093480296</v>
      </c>
      <c r="AI481" s="218">
        <f t="shared" si="13"/>
        <v>1.0398253093480296</v>
      </c>
      <c r="AJ481" s="218">
        <f t="shared" si="13"/>
        <v>1.0398253093480296</v>
      </c>
      <c r="AK481" s="218">
        <f t="shared" si="13"/>
        <v>1.0398253093480296</v>
      </c>
      <c r="AL481" s="326">
        <f t="shared" si="13"/>
        <v>1.0398253093480296</v>
      </c>
      <c r="AM481" s="326">
        <f t="shared" si="13"/>
        <v>1.0398253093480296</v>
      </c>
      <c r="AN481" s="326">
        <f t="shared" si="13"/>
        <v>1.0398253093480296</v>
      </c>
      <c r="AO481" s="326">
        <f t="shared" si="13"/>
        <v>1.0398253093480296</v>
      </c>
      <c r="AP481" s="326">
        <f t="shared" si="13"/>
        <v>1.0398253093480296</v>
      </c>
      <c r="AQ481" s="326">
        <f t="shared" si="13"/>
        <v>1.0398253093480296</v>
      </c>
      <c r="AR481" s="326">
        <f t="shared" si="13"/>
        <v>1.0398253093480296</v>
      </c>
      <c r="AS481" s="326">
        <f t="shared" si="13"/>
        <v>1.0398253093480296</v>
      </c>
      <c r="AT481" s="326">
        <f t="shared" si="13"/>
        <v>1.0398253093480296</v>
      </c>
      <c r="AU481" s="326">
        <f t="shared" si="13"/>
        <v>1.0398253093480296</v>
      </c>
      <c r="AV481" s="326">
        <f t="shared" si="13"/>
        <v>1.0398253093480296</v>
      </c>
      <c r="AW481" s="326">
        <f t="shared" si="13"/>
        <v>1.0398253093480296</v>
      </c>
      <c r="AX481" s="326">
        <f t="shared" si="13"/>
        <v>1.0398253093480296</v>
      </c>
      <c r="AY481" s="326">
        <f t="shared" si="13"/>
        <v>1.0398253093480296</v>
      </c>
      <c r="AZ481" s="326">
        <f t="shared" si="13"/>
        <v>1.0398253093480296</v>
      </c>
      <c r="BA481" s="326">
        <f t="shared" si="13"/>
        <v>1.0398253093480296</v>
      </c>
      <c r="BB481" s="326">
        <f t="shared" si="13"/>
        <v>1.0398253093480296</v>
      </c>
      <c r="BC481" s="326">
        <f t="shared" si="13"/>
        <v>1.0398253093480296</v>
      </c>
      <c r="BD481" s="326">
        <f t="shared" si="13"/>
        <v>1.0398253093480296</v>
      </c>
      <c r="BE481" s="327">
        <f t="shared" si="13"/>
        <v>1.0398253093480296</v>
      </c>
      <c r="BF481" s="3"/>
    </row>
    <row r="482" spans="1:58" ht="14.25" customHeight="1" x14ac:dyDescent="0.45">
      <c r="A482" s="618"/>
      <c r="B482" s="130"/>
      <c r="C482" s="220"/>
      <c r="D482" s="243" t="s">
        <v>375</v>
      </c>
      <c r="E482" s="218">
        <f>E478-(E478/E481)</f>
        <v>4.4972276470812602</v>
      </c>
      <c r="F482" s="218">
        <f>F478-(F478/F481)</f>
        <v>5.061473755859879</v>
      </c>
      <c r="G482" s="218">
        <f>G478-(G478/G481)</f>
        <v>5.005693783282311</v>
      </c>
      <c r="H482" s="218">
        <f>H478-(H478/H481)</f>
        <v>4.8781772635199303</v>
      </c>
      <c r="I482" s="218">
        <v>3.83</v>
      </c>
      <c r="J482" s="218">
        <f t="shared" ref="J482:BE482" si="14">I482</f>
        <v>3.83</v>
      </c>
      <c r="K482" s="218">
        <f t="shared" si="14"/>
        <v>3.83</v>
      </c>
      <c r="L482" s="218">
        <f t="shared" si="14"/>
        <v>3.83</v>
      </c>
      <c r="M482" s="218">
        <f t="shared" si="14"/>
        <v>3.83</v>
      </c>
      <c r="N482" s="218">
        <f t="shared" si="14"/>
        <v>3.83</v>
      </c>
      <c r="O482" s="218">
        <f t="shared" si="14"/>
        <v>3.83</v>
      </c>
      <c r="P482" s="218">
        <f t="shared" si="14"/>
        <v>3.83</v>
      </c>
      <c r="Q482" s="218">
        <f t="shared" si="14"/>
        <v>3.83</v>
      </c>
      <c r="R482" s="218">
        <f t="shared" si="14"/>
        <v>3.83</v>
      </c>
      <c r="S482" s="218">
        <f t="shared" si="14"/>
        <v>3.83</v>
      </c>
      <c r="T482" s="218">
        <f t="shared" si="14"/>
        <v>3.83</v>
      </c>
      <c r="U482" s="218">
        <f t="shared" si="14"/>
        <v>3.83</v>
      </c>
      <c r="V482" s="218">
        <f t="shared" si="14"/>
        <v>3.83</v>
      </c>
      <c r="W482" s="218">
        <f t="shared" si="14"/>
        <v>3.83</v>
      </c>
      <c r="X482" s="218">
        <f t="shared" si="14"/>
        <v>3.83</v>
      </c>
      <c r="Y482" s="218">
        <f t="shared" si="14"/>
        <v>3.83</v>
      </c>
      <c r="Z482" s="218">
        <f t="shared" si="14"/>
        <v>3.83</v>
      </c>
      <c r="AA482" s="218">
        <f t="shared" si="14"/>
        <v>3.83</v>
      </c>
      <c r="AB482" s="218">
        <f t="shared" si="14"/>
        <v>3.83</v>
      </c>
      <c r="AC482" s="218">
        <f t="shared" si="14"/>
        <v>3.83</v>
      </c>
      <c r="AD482" s="218">
        <f t="shared" si="14"/>
        <v>3.83</v>
      </c>
      <c r="AE482" s="218">
        <f t="shared" si="14"/>
        <v>3.83</v>
      </c>
      <c r="AF482" s="218">
        <f t="shared" si="14"/>
        <v>3.83</v>
      </c>
      <c r="AG482" s="218">
        <f t="shared" si="14"/>
        <v>3.83</v>
      </c>
      <c r="AH482" s="218">
        <f t="shared" si="14"/>
        <v>3.83</v>
      </c>
      <c r="AI482" s="218">
        <f t="shared" si="14"/>
        <v>3.83</v>
      </c>
      <c r="AJ482" s="218">
        <f t="shared" si="14"/>
        <v>3.83</v>
      </c>
      <c r="AK482" s="261">
        <f t="shared" si="14"/>
        <v>3.83</v>
      </c>
      <c r="AL482" s="326">
        <f t="shared" si="14"/>
        <v>3.83</v>
      </c>
      <c r="AM482" s="326">
        <f t="shared" si="14"/>
        <v>3.83</v>
      </c>
      <c r="AN482" s="326">
        <f t="shared" si="14"/>
        <v>3.83</v>
      </c>
      <c r="AO482" s="326">
        <f t="shared" si="14"/>
        <v>3.83</v>
      </c>
      <c r="AP482" s="326">
        <f t="shared" si="14"/>
        <v>3.83</v>
      </c>
      <c r="AQ482" s="326">
        <f t="shared" si="14"/>
        <v>3.83</v>
      </c>
      <c r="AR482" s="326">
        <f t="shared" si="14"/>
        <v>3.83</v>
      </c>
      <c r="AS482" s="326">
        <f t="shared" si="14"/>
        <v>3.83</v>
      </c>
      <c r="AT482" s="326">
        <f t="shared" si="14"/>
        <v>3.83</v>
      </c>
      <c r="AU482" s="326">
        <f t="shared" si="14"/>
        <v>3.83</v>
      </c>
      <c r="AV482" s="326">
        <f t="shared" si="14"/>
        <v>3.83</v>
      </c>
      <c r="AW482" s="326">
        <f t="shared" si="14"/>
        <v>3.83</v>
      </c>
      <c r="AX482" s="326">
        <f t="shared" si="14"/>
        <v>3.83</v>
      </c>
      <c r="AY482" s="326">
        <f t="shared" si="14"/>
        <v>3.83</v>
      </c>
      <c r="AZ482" s="326">
        <f t="shared" si="14"/>
        <v>3.83</v>
      </c>
      <c r="BA482" s="326">
        <f t="shared" si="14"/>
        <v>3.83</v>
      </c>
      <c r="BB482" s="326">
        <f t="shared" si="14"/>
        <v>3.83</v>
      </c>
      <c r="BC482" s="326">
        <f t="shared" si="14"/>
        <v>3.83</v>
      </c>
      <c r="BD482" s="326">
        <f t="shared" si="14"/>
        <v>3.83</v>
      </c>
      <c r="BE482" s="327">
        <f t="shared" si="14"/>
        <v>3.83</v>
      </c>
      <c r="BF482" s="3"/>
    </row>
    <row r="483" spans="1:58" ht="14.25" customHeight="1" x14ac:dyDescent="0.45">
      <c r="A483" s="618"/>
      <c r="B483" s="130"/>
      <c r="C483" s="220"/>
      <c r="D483" s="243"/>
      <c r="E483" s="123">
        <v>2018</v>
      </c>
      <c r="F483" s="123">
        <v>2019</v>
      </c>
      <c r="G483" s="123">
        <v>2020</v>
      </c>
      <c r="H483" s="123">
        <v>2021</v>
      </c>
      <c r="I483" s="141">
        <v>2022</v>
      </c>
      <c r="J483" s="141">
        <v>2023</v>
      </c>
      <c r="K483" s="141">
        <v>2024</v>
      </c>
      <c r="L483" s="141">
        <v>2025</v>
      </c>
      <c r="M483" s="141">
        <v>2026</v>
      </c>
      <c r="N483" s="141">
        <v>2027</v>
      </c>
      <c r="O483" s="141">
        <v>2028</v>
      </c>
      <c r="P483" s="141">
        <v>2029</v>
      </c>
      <c r="Q483" s="141">
        <v>2030</v>
      </c>
      <c r="R483" s="141">
        <v>2031</v>
      </c>
      <c r="S483" s="141">
        <v>2032</v>
      </c>
      <c r="T483" s="141">
        <v>2033</v>
      </c>
      <c r="U483" s="141">
        <v>2034</v>
      </c>
      <c r="V483" s="141">
        <v>2035</v>
      </c>
      <c r="W483" s="141">
        <v>2036</v>
      </c>
      <c r="X483" s="141">
        <v>2037</v>
      </c>
      <c r="Y483" s="141">
        <v>2038</v>
      </c>
      <c r="Z483" s="141">
        <v>2039</v>
      </c>
      <c r="AA483" s="141">
        <v>2040</v>
      </c>
      <c r="AB483" s="141">
        <v>2041</v>
      </c>
      <c r="AC483" s="141">
        <v>2042</v>
      </c>
      <c r="AD483" s="141">
        <v>2043</v>
      </c>
      <c r="AE483" s="141">
        <v>2044</v>
      </c>
      <c r="AF483" s="141">
        <v>2045</v>
      </c>
      <c r="AG483" s="141">
        <v>2046</v>
      </c>
      <c r="AH483" s="141">
        <v>2047</v>
      </c>
      <c r="AI483" s="141">
        <v>2048</v>
      </c>
      <c r="AJ483" s="141">
        <v>2049</v>
      </c>
      <c r="AK483" s="328">
        <v>2050</v>
      </c>
      <c r="AL483" s="141">
        <v>2051</v>
      </c>
      <c r="AM483" s="141">
        <v>2052</v>
      </c>
      <c r="AN483" s="141">
        <v>2053</v>
      </c>
      <c r="AO483" s="141">
        <v>2054</v>
      </c>
      <c r="AP483" s="141">
        <v>2055</v>
      </c>
      <c r="AQ483" s="141">
        <v>2056</v>
      </c>
      <c r="AR483" s="141">
        <v>2057</v>
      </c>
      <c r="AS483" s="141">
        <v>2058</v>
      </c>
      <c r="AT483" s="141">
        <v>2059</v>
      </c>
      <c r="AU483" s="141">
        <v>2060</v>
      </c>
      <c r="AV483" s="141">
        <v>2061</v>
      </c>
      <c r="AW483" s="141">
        <v>2062</v>
      </c>
      <c r="AX483" s="141">
        <v>2063</v>
      </c>
      <c r="AY483" s="141">
        <v>2064</v>
      </c>
      <c r="AZ483" s="141">
        <v>2065</v>
      </c>
      <c r="BA483" s="141">
        <v>2066</v>
      </c>
      <c r="BB483" s="141">
        <v>2067</v>
      </c>
      <c r="BC483" s="141">
        <v>2068</v>
      </c>
      <c r="BD483" s="141">
        <v>2069</v>
      </c>
      <c r="BE483" s="141">
        <v>2070</v>
      </c>
      <c r="BF483" s="3"/>
    </row>
    <row r="484" spans="1:58" ht="14.25" customHeight="1" x14ac:dyDescent="0.45">
      <c r="A484" s="618"/>
      <c r="B484" s="130"/>
      <c r="C484" s="220"/>
      <c r="D484" s="243" t="s">
        <v>376</v>
      </c>
      <c r="E484" s="218">
        <f>E479-E482</f>
        <v>10.564354059897312</v>
      </c>
      <c r="F484" s="218">
        <f>F479-F482</f>
        <v>11.659472810994387</v>
      </c>
      <c r="G484" s="218">
        <f>G479-G482</f>
        <v>12.049263543372362</v>
      </c>
      <c r="H484" s="218">
        <f>H479-H482</f>
        <v>13.388288383831139</v>
      </c>
      <c r="I484" s="218">
        <v>12.23</v>
      </c>
      <c r="J484" s="218">
        <v>13.23</v>
      </c>
      <c r="K484" s="218">
        <v>14.23</v>
      </c>
      <c r="L484" s="218">
        <v>15.23</v>
      </c>
      <c r="M484" s="218">
        <v>16.23</v>
      </c>
      <c r="N484" s="218">
        <v>17.23</v>
      </c>
      <c r="O484" s="218">
        <v>18.23</v>
      </c>
      <c r="P484" s="218">
        <v>19.23</v>
      </c>
      <c r="Q484" s="218">
        <v>20.23</v>
      </c>
      <c r="R484" s="218">
        <v>21.23</v>
      </c>
      <c r="S484" s="218">
        <v>22.23</v>
      </c>
      <c r="T484" s="218">
        <v>23.23</v>
      </c>
      <c r="U484" s="218">
        <v>24.23</v>
      </c>
      <c r="V484" s="218">
        <v>25.23</v>
      </c>
      <c r="W484" s="218">
        <v>26.23</v>
      </c>
      <c r="X484" s="218">
        <v>27.23</v>
      </c>
      <c r="Y484" s="218">
        <v>28.23</v>
      </c>
      <c r="Z484" s="218">
        <v>29.23</v>
      </c>
      <c r="AA484" s="218">
        <v>30.23</v>
      </c>
      <c r="AB484" s="218">
        <v>31.23</v>
      </c>
      <c r="AC484" s="218">
        <v>32.229999999999997</v>
      </c>
      <c r="AD484" s="218">
        <v>33.229999999999997</v>
      </c>
      <c r="AE484" s="218">
        <v>34.229999999999997</v>
      </c>
      <c r="AF484" s="218">
        <v>35.229999999999997</v>
      </c>
      <c r="AG484" s="218">
        <v>36.229999999999997</v>
      </c>
      <c r="AH484" s="218">
        <v>37.229999999999997</v>
      </c>
      <c r="AI484" s="218">
        <v>38.229999999999997</v>
      </c>
      <c r="AJ484" s="218">
        <v>39.229999999999997</v>
      </c>
      <c r="AK484" s="218">
        <v>40.229999999999997</v>
      </c>
      <c r="AL484" s="326">
        <f t="shared" ref="AL484:BE484" si="15">AK484+1</f>
        <v>41.23</v>
      </c>
      <c r="AM484" s="326">
        <f t="shared" si="15"/>
        <v>42.23</v>
      </c>
      <c r="AN484" s="326">
        <f t="shared" si="15"/>
        <v>43.23</v>
      </c>
      <c r="AO484" s="326">
        <f t="shared" si="15"/>
        <v>44.23</v>
      </c>
      <c r="AP484" s="326">
        <f t="shared" si="15"/>
        <v>45.23</v>
      </c>
      <c r="AQ484" s="326">
        <f t="shared" si="15"/>
        <v>46.23</v>
      </c>
      <c r="AR484" s="326">
        <f t="shared" si="15"/>
        <v>47.23</v>
      </c>
      <c r="AS484" s="326">
        <f t="shared" si="15"/>
        <v>48.23</v>
      </c>
      <c r="AT484" s="326">
        <f t="shared" si="15"/>
        <v>49.23</v>
      </c>
      <c r="AU484" s="326">
        <f t="shared" si="15"/>
        <v>50.23</v>
      </c>
      <c r="AV484" s="326">
        <f t="shared" si="15"/>
        <v>51.23</v>
      </c>
      <c r="AW484" s="326">
        <f t="shared" si="15"/>
        <v>52.23</v>
      </c>
      <c r="AX484" s="326">
        <f t="shared" si="15"/>
        <v>53.23</v>
      </c>
      <c r="AY484" s="326">
        <f t="shared" si="15"/>
        <v>54.23</v>
      </c>
      <c r="AZ484" s="326">
        <f t="shared" si="15"/>
        <v>55.23</v>
      </c>
      <c r="BA484" s="326">
        <f t="shared" si="15"/>
        <v>56.23</v>
      </c>
      <c r="BB484" s="326">
        <f t="shared" si="15"/>
        <v>57.23</v>
      </c>
      <c r="BC484" s="326">
        <f t="shared" si="15"/>
        <v>58.23</v>
      </c>
      <c r="BD484" s="326">
        <f t="shared" si="15"/>
        <v>59.23</v>
      </c>
      <c r="BE484" s="326">
        <f t="shared" si="15"/>
        <v>60.23</v>
      </c>
      <c r="BF484" s="3"/>
    </row>
    <row r="485" spans="1:58" ht="14.25" customHeight="1" x14ac:dyDescent="0.45">
      <c r="A485" s="618"/>
      <c r="B485" s="130"/>
      <c r="C485" s="220"/>
      <c r="D485" s="243" t="s">
        <v>377</v>
      </c>
      <c r="E485" s="218">
        <f>(E478-E482)/(E478-E482-E484)</f>
        <v>1.1178914912430069</v>
      </c>
      <c r="F485" s="218">
        <f>(F478-F482)/(F478-F482-F484)</f>
        <v>1.1255359031210355</v>
      </c>
      <c r="G485" s="218">
        <f>(G478-G482)/(G478-G482-G484)</f>
        <v>1.1317632999086458</v>
      </c>
      <c r="H485" s="218">
        <f>(H478-H482)/(H478-H482-H484)</f>
        <v>1.137982763216548</v>
      </c>
      <c r="I485" s="218">
        <f>1/(1-I484%)</f>
        <v>1.1393414606357526</v>
      </c>
      <c r="J485" s="218">
        <f t="shared" ref="J485:BE485" si="16">I485</f>
        <v>1.1393414606357526</v>
      </c>
      <c r="K485" s="218">
        <f t="shared" si="16"/>
        <v>1.1393414606357526</v>
      </c>
      <c r="L485" s="218">
        <f t="shared" si="16"/>
        <v>1.1393414606357526</v>
      </c>
      <c r="M485" s="218">
        <f t="shared" si="16"/>
        <v>1.1393414606357526</v>
      </c>
      <c r="N485" s="218">
        <f t="shared" si="16"/>
        <v>1.1393414606357526</v>
      </c>
      <c r="O485" s="218">
        <f t="shared" si="16"/>
        <v>1.1393414606357526</v>
      </c>
      <c r="P485" s="218">
        <f t="shared" si="16"/>
        <v>1.1393414606357526</v>
      </c>
      <c r="Q485" s="218">
        <f t="shared" si="16"/>
        <v>1.1393414606357526</v>
      </c>
      <c r="R485" s="218">
        <f t="shared" si="16"/>
        <v>1.1393414606357526</v>
      </c>
      <c r="S485" s="218">
        <f t="shared" si="16"/>
        <v>1.1393414606357526</v>
      </c>
      <c r="T485" s="218">
        <f t="shared" si="16"/>
        <v>1.1393414606357526</v>
      </c>
      <c r="U485" s="218">
        <f t="shared" si="16"/>
        <v>1.1393414606357526</v>
      </c>
      <c r="V485" s="218">
        <f t="shared" si="16"/>
        <v>1.1393414606357526</v>
      </c>
      <c r="W485" s="218">
        <f t="shared" si="16"/>
        <v>1.1393414606357526</v>
      </c>
      <c r="X485" s="218">
        <f t="shared" si="16"/>
        <v>1.1393414606357526</v>
      </c>
      <c r="Y485" s="218">
        <f t="shared" si="16"/>
        <v>1.1393414606357526</v>
      </c>
      <c r="Z485" s="218">
        <f t="shared" si="16"/>
        <v>1.1393414606357526</v>
      </c>
      <c r="AA485" s="218">
        <f t="shared" si="16"/>
        <v>1.1393414606357526</v>
      </c>
      <c r="AB485" s="218">
        <f t="shared" si="16"/>
        <v>1.1393414606357526</v>
      </c>
      <c r="AC485" s="218">
        <f t="shared" si="16"/>
        <v>1.1393414606357526</v>
      </c>
      <c r="AD485" s="218">
        <f t="shared" si="16"/>
        <v>1.1393414606357526</v>
      </c>
      <c r="AE485" s="218">
        <f t="shared" si="16"/>
        <v>1.1393414606357526</v>
      </c>
      <c r="AF485" s="218">
        <f t="shared" si="16"/>
        <v>1.1393414606357526</v>
      </c>
      <c r="AG485" s="218">
        <f t="shared" si="16"/>
        <v>1.1393414606357526</v>
      </c>
      <c r="AH485" s="218">
        <f t="shared" si="16"/>
        <v>1.1393414606357526</v>
      </c>
      <c r="AI485" s="218">
        <f t="shared" si="16"/>
        <v>1.1393414606357526</v>
      </c>
      <c r="AJ485" s="218">
        <f t="shared" si="16"/>
        <v>1.1393414606357526</v>
      </c>
      <c r="AK485" s="218">
        <f t="shared" si="16"/>
        <v>1.1393414606357526</v>
      </c>
      <c r="AL485" s="326">
        <f t="shared" si="16"/>
        <v>1.1393414606357526</v>
      </c>
      <c r="AM485" s="326">
        <f t="shared" si="16"/>
        <v>1.1393414606357526</v>
      </c>
      <c r="AN485" s="326">
        <f t="shared" si="16"/>
        <v>1.1393414606357526</v>
      </c>
      <c r="AO485" s="326">
        <f t="shared" si="16"/>
        <v>1.1393414606357526</v>
      </c>
      <c r="AP485" s="326">
        <f t="shared" si="16"/>
        <v>1.1393414606357526</v>
      </c>
      <c r="AQ485" s="326">
        <f t="shared" si="16"/>
        <v>1.1393414606357526</v>
      </c>
      <c r="AR485" s="326">
        <f t="shared" si="16"/>
        <v>1.1393414606357526</v>
      </c>
      <c r="AS485" s="326">
        <f t="shared" si="16"/>
        <v>1.1393414606357526</v>
      </c>
      <c r="AT485" s="326">
        <f t="shared" si="16"/>
        <v>1.1393414606357526</v>
      </c>
      <c r="AU485" s="326">
        <f t="shared" si="16"/>
        <v>1.1393414606357526</v>
      </c>
      <c r="AV485" s="326">
        <f t="shared" si="16"/>
        <v>1.1393414606357526</v>
      </c>
      <c r="AW485" s="326">
        <f t="shared" si="16"/>
        <v>1.1393414606357526</v>
      </c>
      <c r="AX485" s="326">
        <f t="shared" si="16"/>
        <v>1.1393414606357526</v>
      </c>
      <c r="AY485" s="326">
        <f t="shared" si="16"/>
        <v>1.1393414606357526</v>
      </c>
      <c r="AZ485" s="326">
        <f t="shared" si="16"/>
        <v>1.1393414606357526</v>
      </c>
      <c r="BA485" s="326">
        <f t="shared" si="16"/>
        <v>1.1393414606357526</v>
      </c>
      <c r="BB485" s="326">
        <f t="shared" si="16"/>
        <v>1.1393414606357526</v>
      </c>
      <c r="BC485" s="326">
        <f t="shared" si="16"/>
        <v>1.1393414606357526</v>
      </c>
      <c r="BD485" s="326">
        <f t="shared" si="16"/>
        <v>1.1393414606357526</v>
      </c>
      <c r="BE485" s="326">
        <f t="shared" si="16"/>
        <v>1.1393414606357526</v>
      </c>
      <c r="BF485" s="3"/>
    </row>
    <row r="486" spans="1:58" ht="14.25" customHeight="1" x14ac:dyDescent="0.45">
      <c r="A486" s="618"/>
      <c r="B486" s="618"/>
      <c r="C486" s="618"/>
      <c r="D486" s="618"/>
      <c r="E486" s="618"/>
      <c r="F486" s="618"/>
      <c r="G486" s="618"/>
      <c r="H486" s="618"/>
      <c r="I486" s="618"/>
      <c r="J486" s="618"/>
      <c r="K486" s="618"/>
      <c r="L486" s="618"/>
      <c r="M486" s="618"/>
      <c r="N486" s="618"/>
      <c r="O486" s="618"/>
      <c r="P486" s="618"/>
      <c r="Q486" s="618"/>
      <c r="R486" s="618"/>
      <c r="S486" s="618"/>
      <c r="T486" s="618"/>
      <c r="U486" s="618"/>
      <c r="V486" s="618"/>
      <c r="W486" s="618"/>
      <c r="X486" s="618"/>
      <c r="Y486" s="618"/>
      <c r="Z486" s="618"/>
      <c r="AA486" s="618"/>
      <c r="AB486" s="618"/>
      <c r="AC486" s="618"/>
      <c r="AD486" s="618"/>
      <c r="AE486" s="618"/>
      <c r="AF486" s="618"/>
      <c r="AG486" s="618"/>
      <c r="AH486" s="618"/>
      <c r="AI486" s="618"/>
      <c r="AJ486" s="618"/>
      <c r="AK486" s="618"/>
      <c r="AL486" s="618"/>
      <c r="AM486" s="3"/>
      <c r="AN486" s="3"/>
      <c r="AO486" s="3"/>
      <c r="AP486" s="3"/>
      <c r="AQ486" s="3"/>
      <c r="AR486" s="3"/>
      <c r="AS486" s="3"/>
      <c r="AT486" s="3"/>
      <c r="AU486" s="3"/>
      <c r="AV486" s="3"/>
      <c r="AW486" s="3"/>
      <c r="AX486" s="3"/>
      <c r="AY486" s="3"/>
      <c r="AZ486" s="3"/>
      <c r="BA486" s="3"/>
      <c r="BB486" s="3"/>
      <c r="BC486" s="3"/>
      <c r="BD486" s="3"/>
      <c r="BE486" s="3"/>
      <c r="BF486" s="3"/>
    </row>
    <row r="487" spans="1:58" ht="14.25" customHeight="1" x14ac:dyDescent="0.45">
      <c r="A487" s="618"/>
      <c r="B487" s="26"/>
      <c r="C487" s="211"/>
      <c r="D487" s="270" t="s">
        <v>378</v>
      </c>
      <c r="E487" s="123">
        <v>2018</v>
      </c>
      <c r="F487" s="123">
        <v>2019</v>
      </c>
      <c r="G487" s="123">
        <v>2020</v>
      </c>
      <c r="H487" s="123">
        <v>2021</v>
      </c>
      <c r="I487" s="141">
        <v>2022</v>
      </c>
      <c r="J487" s="141">
        <v>2023</v>
      </c>
      <c r="K487" s="141">
        <v>2024</v>
      </c>
      <c r="L487" s="141">
        <v>2025</v>
      </c>
      <c r="M487" s="141">
        <v>2026</v>
      </c>
      <c r="N487" s="141">
        <v>2027</v>
      </c>
      <c r="O487" s="141">
        <v>2028</v>
      </c>
      <c r="P487" s="141">
        <v>2029</v>
      </c>
      <c r="Q487" s="141">
        <v>2030</v>
      </c>
      <c r="R487" s="141">
        <v>2031</v>
      </c>
      <c r="S487" s="141">
        <v>2032</v>
      </c>
      <c r="T487" s="141">
        <v>2033</v>
      </c>
      <c r="U487" s="141">
        <v>2034</v>
      </c>
      <c r="V487" s="141">
        <v>2035</v>
      </c>
      <c r="W487" s="141">
        <v>2036</v>
      </c>
      <c r="X487" s="141">
        <v>2037</v>
      </c>
      <c r="Y487" s="141">
        <v>2038</v>
      </c>
      <c r="Z487" s="141">
        <v>2039</v>
      </c>
      <c r="AA487" s="141">
        <v>2040</v>
      </c>
      <c r="AB487" s="141">
        <v>2041</v>
      </c>
      <c r="AC487" s="141">
        <v>2042</v>
      </c>
      <c r="AD487" s="141">
        <v>2043</v>
      </c>
      <c r="AE487" s="141">
        <v>2044</v>
      </c>
      <c r="AF487" s="141">
        <v>2045</v>
      </c>
      <c r="AG487" s="141">
        <v>2046</v>
      </c>
      <c r="AH487" s="141">
        <v>2047</v>
      </c>
      <c r="AI487" s="141">
        <v>2048</v>
      </c>
      <c r="AJ487" s="141">
        <v>2049</v>
      </c>
      <c r="AK487" s="141">
        <v>2050</v>
      </c>
      <c r="AL487" s="141">
        <v>2051</v>
      </c>
      <c r="AM487" s="141">
        <v>2052</v>
      </c>
      <c r="AN487" s="141">
        <v>2053</v>
      </c>
      <c r="AO487" s="141">
        <v>2054</v>
      </c>
      <c r="AP487" s="141">
        <v>2055</v>
      </c>
      <c r="AQ487" s="141">
        <v>2056</v>
      </c>
      <c r="AR487" s="141">
        <v>2057</v>
      </c>
      <c r="AS487" s="141">
        <v>2058</v>
      </c>
      <c r="AT487" s="141">
        <v>2059</v>
      </c>
      <c r="AU487" s="141">
        <v>2060</v>
      </c>
      <c r="AV487" s="141">
        <v>2061</v>
      </c>
      <c r="AW487" s="141">
        <v>2062</v>
      </c>
      <c r="AX487" s="141">
        <v>2063</v>
      </c>
      <c r="AY487" s="141">
        <v>2064</v>
      </c>
      <c r="AZ487" s="141">
        <v>2065</v>
      </c>
      <c r="BA487" s="141">
        <v>2066</v>
      </c>
      <c r="BB487" s="141">
        <v>2067</v>
      </c>
      <c r="BC487" s="141">
        <v>2068</v>
      </c>
      <c r="BD487" s="141">
        <v>2069</v>
      </c>
      <c r="BE487" s="141">
        <v>2070</v>
      </c>
      <c r="BF487" s="3"/>
    </row>
    <row r="488" spans="1:58" ht="14.25" customHeight="1" x14ac:dyDescent="0.45">
      <c r="A488" s="618"/>
      <c r="B488" s="215"/>
      <c r="C488" s="220"/>
      <c r="D488" s="221" t="s">
        <v>379</v>
      </c>
      <c r="E488" s="218">
        <f>'Copia de Electricidad'!D353*$E$616*$E$619</f>
        <v>0.3816124638432985</v>
      </c>
      <c r="F488" s="218">
        <f>'Copia de Electricidad'!E353*$E$616*$E$619</f>
        <v>2.0974834205773833E-2</v>
      </c>
      <c r="G488" s="218">
        <f>'Copia de Electricidad'!F353*$E$616*$E$619</f>
        <v>0.90227764501990038</v>
      </c>
      <c r="H488" s="218">
        <f>'Copia de Electricidad'!G353*$E$616*$E$619</f>
        <v>1.3088584363740172</v>
      </c>
      <c r="I488" s="218">
        <v>0.38161</v>
      </c>
      <c r="J488" s="218">
        <v>0.38161</v>
      </c>
      <c r="K488" s="218">
        <v>0.38161</v>
      </c>
      <c r="L488" s="218">
        <v>0.38161</v>
      </c>
      <c r="M488" s="218">
        <v>0.38161</v>
      </c>
      <c r="N488" s="218">
        <v>0.38161</v>
      </c>
      <c r="O488" s="218">
        <v>0.38161</v>
      </c>
      <c r="P488" s="218">
        <v>0.38161</v>
      </c>
      <c r="Q488" s="218">
        <v>0.38161</v>
      </c>
      <c r="R488" s="218">
        <v>0.38161</v>
      </c>
      <c r="S488" s="218">
        <v>0.38161</v>
      </c>
      <c r="T488" s="218">
        <v>0.38161</v>
      </c>
      <c r="U488" s="218">
        <v>0.38161</v>
      </c>
      <c r="V488" s="218">
        <v>0.38161</v>
      </c>
      <c r="W488" s="218">
        <v>0.38161</v>
      </c>
      <c r="X488" s="218">
        <v>0.38161</v>
      </c>
      <c r="Y488" s="218">
        <v>0.38161</v>
      </c>
      <c r="Z488" s="218">
        <v>0.38161</v>
      </c>
      <c r="AA488" s="218">
        <v>0.38161</v>
      </c>
      <c r="AB488" s="218">
        <v>0.38161</v>
      </c>
      <c r="AC488" s="218">
        <v>0.38161</v>
      </c>
      <c r="AD488" s="218">
        <v>0.38161</v>
      </c>
      <c r="AE488" s="218">
        <v>0.38161</v>
      </c>
      <c r="AF488" s="218">
        <v>0.38161</v>
      </c>
      <c r="AG488" s="218">
        <v>0.38161</v>
      </c>
      <c r="AH488" s="218">
        <v>0.38161</v>
      </c>
      <c r="AI488" s="218">
        <v>0.38161</v>
      </c>
      <c r="AJ488" s="218">
        <v>0.38161</v>
      </c>
      <c r="AK488" s="218">
        <v>0.38161</v>
      </c>
      <c r="AL488" s="326">
        <v>0.38161</v>
      </c>
      <c r="AM488" s="326">
        <v>0.38161</v>
      </c>
      <c r="AN488" s="326">
        <v>0.38161</v>
      </c>
      <c r="AO488" s="326">
        <v>0.38161</v>
      </c>
      <c r="AP488" s="326">
        <v>0.38161</v>
      </c>
      <c r="AQ488" s="326">
        <v>0.38161</v>
      </c>
      <c r="AR488" s="326">
        <v>0.38161</v>
      </c>
      <c r="AS488" s="326">
        <v>0.38161</v>
      </c>
      <c r="AT488" s="326">
        <v>0.38161</v>
      </c>
      <c r="AU488" s="326">
        <v>0.38161</v>
      </c>
      <c r="AV488" s="326">
        <v>0.38161</v>
      </c>
      <c r="AW488" s="326">
        <v>0.38161</v>
      </c>
      <c r="AX488" s="326">
        <v>0.38161</v>
      </c>
      <c r="AY488" s="326">
        <v>0.38161</v>
      </c>
      <c r="AZ488" s="326">
        <v>0.38161</v>
      </c>
      <c r="BA488" s="326">
        <v>0.38161</v>
      </c>
      <c r="BB488" s="326">
        <v>0.38161</v>
      </c>
      <c r="BC488" s="326">
        <v>0.38161</v>
      </c>
      <c r="BD488" s="326">
        <v>0.38161</v>
      </c>
      <c r="BE488" s="326">
        <v>0.38161</v>
      </c>
      <c r="BF488" s="3"/>
    </row>
    <row r="489" spans="1:58" ht="13.5" customHeight="1" x14ac:dyDescent="0.45">
      <c r="A489" s="618"/>
      <c r="B489" s="215"/>
      <c r="C489" s="220" t="s">
        <v>380</v>
      </c>
      <c r="D489" s="221" t="s">
        <v>381</v>
      </c>
      <c r="E489" s="218">
        <f>'Copia de Electricidad'!D354*$E$616*$E$619</f>
        <v>0.91979864717806825</v>
      </c>
      <c r="F489" s="218">
        <f>'Copia de Electricidad'!E354*$E$616*$E$619</f>
        <v>6.5717789285822841</v>
      </c>
      <c r="G489" s="218">
        <f>'Copia de Electricidad'!F354*$E$616*$E$619</f>
        <v>4.8232404770645925</v>
      </c>
      <c r="H489" s="218">
        <f>'Copia de Electricidad'!G354*$E$616*$E$619</f>
        <v>1.8856843657413787</v>
      </c>
      <c r="I489" s="648">
        <v>3.55</v>
      </c>
      <c r="J489" s="648">
        <v>3.55</v>
      </c>
      <c r="K489" s="648">
        <v>3.55</v>
      </c>
      <c r="L489" s="648">
        <v>3.55</v>
      </c>
      <c r="M489" s="648">
        <v>3.55</v>
      </c>
      <c r="N489" s="648">
        <v>3.55</v>
      </c>
      <c r="O489" s="648">
        <v>3.55</v>
      </c>
      <c r="P489" s="648">
        <v>3.55</v>
      </c>
      <c r="Q489" s="648">
        <v>3.55</v>
      </c>
      <c r="R489" s="648">
        <v>3.55</v>
      </c>
      <c r="S489" s="648">
        <v>3.55</v>
      </c>
      <c r="T489" s="648">
        <v>3.55</v>
      </c>
      <c r="U489" s="648">
        <v>3.55</v>
      </c>
      <c r="V489" s="648">
        <v>3.55</v>
      </c>
      <c r="W489" s="648">
        <v>3.55</v>
      </c>
      <c r="X489" s="648">
        <v>3.55</v>
      </c>
      <c r="Y489" s="648">
        <v>3.55</v>
      </c>
      <c r="Z489" s="648">
        <v>3.55</v>
      </c>
      <c r="AA489" s="648">
        <v>3.55</v>
      </c>
      <c r="AB489" s="648">
        <v>3.55</v>
      </c>
      <c r="AC489" s="648">
        <v>3.55</v>
      </c>
      <c r="AD489" s="648">
        <v>3.55</v>
      </c>
      <c r="AE489" s="648">
        <v>3.55</v>
      </c>
      <c r="AF489" s="648">
        <v>3.55</v>
      </c>
      <c r="AG489" s="648">
        <v>3.55</v>
      </c>
      <c r="AH489" s="648">
        <v>3.55</v>
      </c>
      <c r="AI489" s="648">
        <v>3.55</v>
      </c>
      <c r="AJ489" s="648">
        <v>3.55</v>
      </c>
      <c r="AK489" s="648">
        <v>3.55</v>
      </c>
      <c r="AL489" s="648">
        <v>3.55</v>
      </c>
      <c r="AM489" s="648">
        <v>3.55</v>
      </c>
      <c r="AN489" s="648">
        <v>3.55</v>
      </c>
      <c r="AO489" s="648">
        <v>3.55</v>
      </c>
      <c r="AP489" s="648">
        <v>3.55</v>
      </c>
      <c r="AQ489" s="648">
        <v>3.55</v>
      </c>
      <c r="AR489" s="648">
        <v>3.55</v>
      </c>
      <c r="AS489" s="648">
        <v>3.55</v>
      </c>
      <c r="AT489" s="648">
        <v>3.55</v>
      </c>
      <c r="AU489" s="648">
        <v>3.55</v>
      </c>
      <c r="AV489" s="648">
        <v>3.55</v>
      </c>
      <c r="AW489" s="648">
        <v>3.55</v>
      </c>
      <c r="AX489" s="648">
        <v>3.55</v>
      </c>
      <c r="AY489" s="648">
        <v>3.55</v>
      </c>
      <c r="AZ489" s="648">
        <v>3.55</v>
      </c>
      <c r="BA489" s="648">
        <v>3.55</v>
      </c>
      <c r="BB489" s="648">
        <v>3.55</v>
      </c>
      <c r="BC489" s="648">
        <v>3.55</v>
      </c>
      <c r="BD489" s="648">
        <v>3.55</v>
      </c>
      <c r="BE489" s="648">
        <v>3.55</v>
      </c>
      <c r="BF489" s="3"/>
    </row>
    <row r="490" spans="1:58" ht="14.25" customHeight="1" x14ac:dyDescent="0.45">
      <c r="A490" s="618"/>
      <c r="B490" s="258"/>
      <c r="C490" s="259"/>
      <c r="D490" s="329" t="s">
        <v>382</v>
      </c>
      <c r="E490" s="330">
        <f>E346-E503</f>
        <v>15.599767890313345</v>
      </c>
      <c r="F490" s="330">
        <f>F346-F503</f>
        <v>23.271750661230783</v>
      </c>
      <c r="G490" s="330">
        <f>G346-G503</f>
        <v>20.975920158699367</v>
      </c>
      <c r="H490" s="330">
        <f>H346-H503</f>
        <v>18.843291576718428</v>
      </c>
      <c r="I490" s="331"/>
      <c r="J490" s="331"/>
      <c r="K490" s="331"/>
      <c r="L490" s="331"/>
      <c r="M490" s="331"/>
      <c r="N490" s="331"/>
      <c r="O490" s="331"/>
      <c r="P490" s="331"/>
      <c r="Q490" s="331"/>
      <c r="R490" s="331"/>
      <c r="S490" s="331"/>
      <c r="T490" s="331"/>
      <c r="U490" s="331"/>
      <c r="V490" s="331"/>
      <c r="W490" s="331"/>
      <c r="X490" s="331"/>
      <c r="Y490" s="331"/>
      <c r="Z490" s="331"/>
      <c r="AA490" s="331"/>
      <c r="AB490" s="331"/>
      <c r="AC490" s="331"/>
      <c r="AD490" s="331"/>
      <c r="AE490" s="331"/>
      <c r="AF490" s="331"/>
      <c r="AG490" s="331"/>
      <c r="AH490" s="331"/>
      <c r="AI490" s="331"/>
      <c r="AJ490" s="331"/>
      <c r="AK490" s="331"/>
      <c r="AL490" s="331"/>
      <c r="AM490" s="331"/>
      <c r="AN490" s="331"/>
      <c r="AO490" s="331"/>
      <c r="AP490" s="331"/>
      <c r="AQ490" s="331"/>
      <c r="AR490" s="331"/>
      <c r="AS490" s="331"/>
      <c r="AT490" s="331"/>
      <c r="AU490" s="331"/>
      <c r="AV490" s="331"/>
      <c r="AW490" s="331"/>
      <c r="AX490" s="331"/>
      <c r="AY490" s="331"/>
      <c r="AZ490" s="331"/>
      <c r="BA490" s="331"/>
      <c r="BB490" s="331"/>
      <c r="BC490" s="331"/>
      <c r="BD490" s="331"/>
      <c r="BE490" s="331"/>
      <c r="BF490" s="3"/>
    </row>
    <row r="491" spans="1:58" ht="14.25" customHeight="1" x14ac:dyDescent="0.45">
      <c r="A491" s="618"/>
      <c r="B491" s="618"/>
      <c r="C491" s="618"/>
      <c r="D491" s="618"/>
      <c r="E491" s="618"/>
      <c r="F491" s="618"/>
      <c r="G491" s="618"/>
      <c r="H491" s="618"/>
      <c r="I491" s="618"/>
      <c r="J491" s="618"/>
      <c r="K491" s="618"/>
      <c r="L491" s="618"/>
      <c r="M491" s="618"/>
      <c r="N491" s="618"/>
      <c r="O491" s="618"/>
      <c r="P491" s="618"/>
      <c r="Q491" s="618"/>
      <c r="R491" s="618"/>
      <c r="S491" s="618"/>
      <c r="T491" s="618"/>
      <c r="U491" s="618"/>
      <c r="V491" s="618"/>
      <c r="W491" s="618"/>
      <c r="X491" s="618"/>
      <c r="Y491" s="618"/>
      <c r="Z491" s="618"/>
      <c r="AA491" s="618"/>
      <c r="AB491" s="618"/>
      <c r="AC491" s="618"/>
      <c r="AD491" s="618"/>
      <c r="AE491" s="618"/>
      <c r="AF491" s="618"/>
      <c r="AG491" s="618"/>
      <c r="AH491" s="618"/>
      <c r="AI491" s="618"/>
      <c r="AJ491" s="618"/>
      <c r="AK491" s="618"/>
      <c r="AL491" s="618"/>
      <c r="AM491" s="3"/>
      <c r="AN491" s="3"/>
      <c r="AO491" s="3"/>
      <c r="AP491" s="3"/>
      <c r="AQ491" s="3"/>
      <c r="AR491" s="3"/>
      <c r="AS491" s="3"/>
      <c r="AT491" s="3"/>
      <c r="AU491" s="3"/>
      <c r="AV491" s="3"/>
      <c r="AW491" s="3"/>
      <c r="AX491" s="3"/>
      <c r="AY491" s="3"/>
      <c r="AZ491" s="3"/>
      <c r="BA491" s="3"/>
      <c r="BB491" s="3"/>
      <c r="BC491" s="3"/>
      <c r="BD491" s="3"/>
      <c r="BE491" s="3"/>
      <c r="BF491" s="3"/>
    </row>
    <row r="492" spans="1:58" ht="14.25" customHeight="1" x14ac:dyDescent="0.45">
      <c r="A492" s="618"/>
      <c r="B492" s="26"/>
      <c r="C492" s="211"/>
      <c r="D492" s="270" t="s">
        <v>383</v>
      </c>
      <c r="E492" s="123">
        <v>2018</v>
      </c>
      <c r="F492" s="123">
        <v>2019</v>
      </c>
      <c r="G492" s="123">
        <v>2020</v>
      </c>
      <c r="H492" s="123">
        <v>2021</v>
      </c>
      <c r="I492" s="141">
        <v>2022</v>
      </c>
      <c r="J492" s="141">
        <v>2023</v>
      </c>
      <c r="K492" s="141">
        <v>2024</v>
      </c>
      <c r="L492" s="141">
        <v>2025</v>
      </c>
      <c r="M492" s="141">
        <v>2026</v>
      </c>
      <c r="N492" s="141">
        <v>2027</v>
      </c>
      <c r="O492" s="141">
        <v>2028</v>
      </c>
      <c r="P492" s="141">
        <v>2029</v>
      </c>
      <c r="Q492" s="141">
        <v>2030</v>
      </c>
      <c r="R492" s="141">
        <v>2031</v>
      </c>
      <c r="S492" s="141">
        <v>2032</v>
      </c>
      <c r="T492" s="141">
        <v>2033</v>
      </c>
      <c r="U492" s="141">
        <v>2034</v>
      </c>
      <c r="V492" s="141">
        <v>2035</v>
      </c>
      <c r="W492" s="141">
        <v>2036</v>
      </c>
      <c r="X492" s="141">
        <v>2037</v>
      </c>
      <c r="Y492" s="141">
        <v>2038</v>
      </c>
      <c r="Z492" s="141">
        <v>2039</v>
      </c>
      <c r="AA492" s="141">
        <v>2040</v>
      </c>
      <c r="AB492" s="141">
        <v>2041</v>
      </c>
      <c r="AC492" s="141">
        <v>2042</v>
      </c>
      <c r="AD492" s="141">
        <v>2043</v>
      </c>
      <c r="AE492" s="141">
        <v>2044</v>
      </c>
      <c r="AF492" s="141">
        <v>2045</v>
      </c>
      <c r="AG492" s="141">
        <v>2046</v>
      </c>
      <c r="AH492" s="141">
        <v>2047</v>
      </c>
      <c r="AI492" s="141">
        <v>2048</v>
      </c>
      <c r="AJ492" s="141">
        <v>2049</v>
      </c>
      <c r="AK492" s="141">
        <v>2050</v>
      </c>
      <c r="AL492" s="141">
        <v>2051</v>
      </c>
      <c r="AM492" s="141">
        <v>2052</v>
      </c>
      <c r="AN492" s="141">
        <v>2053</v>
      </c>
      <c r="AO492" s="141">
        <v>2054</v>
      </c>
      <c r="AP492" s="141">
        <v>2055</v>
      </c>
      <c r="AQ492" s="141">
        <v>2056</v>
      </c>
      <c r="AR492" s="141">
        <v>2057</v>
      </c>
      <c r="AS492" s="141">
        <v>2058</v>
      </c>
      <c r="AT492" s="141">
        <v>2059</v>
      </c>
      <c r="AU492" s="141">
        <v>2060</v>
      </c>
      <c r="AV492" s="141">
        <v>2061</v>
      </c>
      <c r="AW492" s="141">
        <v>2062</v>
      </c>
      <c r="AX492" s="141">
        <v>2063</v>
      </c>
      <c r="AY492" s="141">
        <v>2064</v>
      </c>
      <c r="AZ492" s="141">
        <v>2065</v>
      </c>
      <c r="BA492" s="141">
        <v>2066</v>
      </c>
      <c r="BB492" s="141">
        <v>2067</v>
      </c>
      <c r="BC492" s="141">
        <v>2068</v>
      </c>
      <c r="BD492" s="141">
        <v>2069</v>
      </c>
      <c r="BE492" s="141">
        <v>2070</v>
      </c>
      <c r="BF492" s="3"/>
    </row>
    <row r="493" spans="1:58" ht="15" customHeight="1" x14ac:dyDescent="0.45">
      <c r="A493" s="618" t="s">
        <v>384</v>
      </c>
      <c r="B493" s="630"/>
      <c r="C493" s="220" t="s">
        <v>385</v>
      </c>
      <c r="D493" s="221" t="s">
        <v>386</v>
      </c>
      <c r="E493" s="648">
        <v>26.624217749157602</v>
      </c>
      <c r="F493" s="648">
        <v>27.545137433144401</v>
      </c>
      <c r="G493" s="648">
        <v>29.009550701123501</v>
      </c>
      <c r="H493" s="648">
        <v>28.635027878821099</v>
      </c>
      <c r="I493" s="648">
        <v>28.19864428663654</v>
      </c>
      <c r="J493" s="648">
        <v>29.40164</v>
      </c>
      <c r="K493" s="648">
        <v>29.779800000000002</v>
      </c>
      <c r="L493" s="648">
        <v>30.15437</v>
      </c>
      <c r="M493" s="648">
        <v>30.524940000000001</v>
      </c>
      <c r="N493" s="648">
        <v>30.891380000000002</v>
      </c>
      <c r="O493" s="648">
        <v>31.262076560000001</v>
      </c>
      <c r="P493" s="648">
        <v>31.668483555279998</v>
      </c>
      <c r="Q493" s="648">
        <v>32.301853226385596</v>
      </c>
      <c r="R493" s="648">
        <v>32.793995570451997</v>
      </c>
      <c r="S493" s="648">
        <v>33.5033533450855</v>
      </c>
      <c r="T493" s="648">
        <v>34.087440532057698</v>
      </c>
      <c r="U493" s="648">
        <v>34.636314937378302</v>
      </c>
      <c r="V493" s="648">
        <v>35.182054568772998</v>
      </c>
      <c r="W493" s="648">
        <v>35.608905716902903</v>
      </c>
      <c r="X493" s="648">
        <v>36.267994774071965</v>
      </c>
      <c r="Y493" s="648">
        <v>36.993354669553405</v>
      </c>
      <c r="Z493" s="648">
        <v>37.918188536292234</v>
      </c>
      <c r="AA493" s="648">
        <v>39.055734192381003</v>
      </c>
      <c r="AB493" s="648">
        <v>40.071183281382908</v>
      </c>
      <c r="AC493" s="648">
        <v>41.07296286341748</v>
      </c>
      <c r="AD493" s="648">
        <v>42.099786935002911</v>
      </c>
      <c r="AE493" s="648">
        <v>43.110181821442978</v>
      </c>
      <c r="AF493" s="648">
        <v>44.101716003336165</v>
      </c>
      <c r="AG493" s="648">
        <v>45.116055471412892</v>
      </c>
      <c r="AH493" s="648">
        <v>45.892796303484097</v>
      </c>
      <c r="AI493" s="648">
        <v>46.688102655429397</v>
      </c>
      <c r="AJ493" s="648">
        <v>47.269476605882524</v>
      </c>
      <c r="AK493" s="648">
        <v>47.836710325153113</v>
      </c>
      <c r="AL493" s="649">
        <v>48.280571664537</v>
      </c>
      <c r="AM493" s="649">
        <v>48.616225509452498</v>
      </c>
      <c r="AN493" s="649">
        <v>48.854439088018601</v>
      </c>
      <c r="AO493" s="649">
        <v>49.04367460072276</v>
      </c>
      <c r="AP493" s="649">
        <v>49.19080562452492</v>
      </c>
      <c r="AQ493" s="649">
        <v>49.436759652647538</v>
      </c>
      <c r="AR493" s="649">
        <v>49.585069931605474</v>
      </c>
      <c r="AS493" s="649">
        <v>49.634655001537077</v>
      </c>
      <c r="AT493" s="649">
        <v>49.73392431154015</v>
      </c>
      <c r="AU493" s="649">
        <v>49.73392431154015</v>
      </c>
      <c r="AV493" s="649">
        <v>49.73392431154015</v>
      </c>
      <c r="AW493" s="649">
        <v>49.833392160163228</v>
      </c>
      <c r="AX493" s="649">
        <v>49.833392160163228</v>
      </c>
      <c r="AY493" s="649">
        <v>49.845399999999998</v>
      </c>
      <c r="AZ493" s="649">
        <v>49.939300000000003</v>
      </c>
      <c r="BA493" s="649">
        <v>50.016199999999998</v>
      </c>
      <c r="BB493" s="649">
        <v>50.085000000000001</v>
      </c>
      <c r="BC493" s="649">
        <v>50.240900000000003</v>
      </c>
      <c r="BD493" s="649">
        <v>50.388599999999997</v>
      </c>
      <c r="BE493" s="649">
        <v>50.5214</v>
      </c>
      <c r="BF493" s="3"/>
    </row>
    <row r="494" spans="1:58" ht="14.25" customHeight="1" x14ac:dyDescent="0.45">
      <c r="A494" s="618" t="s">
        <v>384</v>
      </c>
      <c r="B494" s="631"/>
      <c r="C494" s="220" t="s">
        <v>387</v>
      </c>
      <c r="D494" s="221" t="s">
        <v>388</v>
      </c>
      <c r="E494" s="648">
        <v>24.9629622536429</v>
      </c>
      <c r="F494" s="648">
        <v>26.060401221319498</v>
      </c>
      <c r="G494" s="648">
        <v>23.917782284427101</v>
      </c>
      <c r="H494" s="648">
        <v>25.150513992563301</v>
      </c>
      <c r="I494" s="648">
        <v>26.593867010974826</v>
      </c>
      <c r="J494" s="648">
        <v>26.244130000000002</v>
      </c>
      <c r="K494" s="648">
        <v>26.928867500000003</v>
      </c>
      <c r="L494" s="648">
        <v>27.569065000000002</v>
      </c>
      <c r="M494" s="648">
        <v>28.211665</v>
      </c>
      <c r="N494" s="648">
        <v>28.951492500000001</v>
      </c>
      <c r="O494" s="648">
        <v>29.685220000000001</v>
      </c>
      <c r="P494" s="648">
        <v>30.3404025</v>
      </c>
      <c r="Q494" s="648">
        <v>31.055710000000001</v>
      </c>
      <c r="R494" s="648">
        <v>31.62687</v>
      </c>
      <c r="S494" s="648">
        <v>31.596</v>
      </c>
      <c r="T494" s="648">
        <v>31.4238</v>
      </c>
      <c r="U494" s="648">
        <v>31.233599999999999</v>
      </c>
      <c r="V494" s="648">
        <v>31.160499999999999</v>
      </c>
      <c r="W494" s="648">
        <v>31.4664</v>
      </c>
      <c r="X494" s="648">
        <v>31.915900000000001</v>
      </c>
      <c r="Y494" s="648">
        <v>32.299300000000002</v>
      </c>
      <c r="Z494" s="648">
        <v>32.914999999999999</v>
      </c>
      <c r="AA494" s="648">
        <v>33.314900000000002</v>
      </c>
      <c r="AB494" s="648">
        <v>33.822200000000002</v>
      </c>
      <c r="AC494" s="648">
        <v>34.334299999999999</v>
      </c>
      <c r="AD494" s="648">
        <v>34.824800000000003</v>
      </c>
      <c r="AE494" s="648">
        <v>35.1404</v>
      </c>
      <c r="AF494" s="648">
        <v>35.639000000000003</v>
      </c>
      <c r="AG494" s="648">
        <v>36.004199999999997</v>
      </c>
      <c r="AH494" s="648">
        <v>36.500999999999998</v>
      </c>
      <c r="AI494" s="648">
        <v>36.912100000000002</v>
      </c>
      <c r="AJ494" s="648">
        <v>37.384999999999998</v>
      </c>
      <c r="AK494" s="648">
        <v>37.820500000000003</v>
      </c>
      <c r="AL494" s="649">
        <v>38.470999999999997</v>
      </c>
      <c r="AM494" s="649">
        <v>39.162300000000002</v>
      </c>
      <c r="AN494" s="649">
        <v>39.838299999999997</v>
      </c>
      <c r="AO494" s="649">
        <v>40.549100000000003</v>
      </c>
      <c r="AP494" s="649">
        <v>41.259900000000002</v>
      </c>
      <c r="AQ494" s="649">
        <v>41.986800000000002</v>
      </c>
      <c r="AR494" s="649">
        <v>42.677900000000001</v>
      </c>
      <c r="AS494" s="649">
        <v>43.375900000000001</v>
      </c>
      <c r="AT494" s="649">
        <v>44.066200000000002</v>
      </c>
      <c r="AU494" s="649">
        <v>44.771700000000003</v>
      </c>
      <c r="AV494" s="649">
        <v>45.449599999999997</v>
      </c>
      <c r="AW494" s="649">
        <v>46.142800000000001</v>
      </c>
      <c r="AX494" s="649">
        <v>46.823300000000003</v>
      </c>
      <c r="AY494" s="649">
        <v>47.5075</v>
      </c>
      <c r="AZ494" s="649">
        <v>48.191400000000002</v>
      </c>
      <c r="BA494" s="649">
        <v>48.869</v>
      </c>
      <c r="BB494" s="649">
        <v>49.5274</v>
      </c>
      <c r="BC494" s="649">
        <v>50.191400000000002</v>
      </c>
      <c r="BD494" s="649">
        <v>50.850499999999997</v>
      </c>
      <c r="BE494" s="649">
        <v>51.490200000000002</v>
      </c>
      <c r="BF494" s="3"/>
    </row>
    <row r="495" spans="1:58" ht="14.25" customHeight="1" x14ac:dyDescent="0.45">
      <c r="A495" s="618" t="s">
        <v>384</v>
      </c>
      <c r="B495" s="631"/>
      <c r="C495" s="220" t="s">
        <v>389</v>
      </c>
      <c r="D495" s="221" t="s">
        <v>390</v>
      </c>
      <c r="E495" s="648">
        <v>35.971610607177787</v>
      </c>
      <c r="F495" s="648">
        <v>37.38028094346533</v>
      </c>
      <c r="G495" s="648">
        <v>36.49129731409343</v>
      </c>
      <c r="H495" s="648">
        <v>40.945505949568179</v>
      </c>
      <c r="I495" s="648">
        <v>42.48766946417043</v>
      </c>
      <c r="J495" s="648">
        <v>43.412210000000002</v>
      </c>
      <c r="K495" s="648">
        <v>45.137619999999998</v>
      </c>
      <c r="L495" s="648">
        <v>45.901359999999997</v>
      </c>
      <c r="M495" s="648">
        <v>47.357300000000002</v>
      </c>
      <c r="N495" s="648">
        <v>48.397860000000001</v>
      </c>
      <c r="O495" s="648">
        <v>50.15531</v>
      </c>
      <c r="P495" s="648">
        <v>50.746839999999999</v>
      </c>
      <c r="Q495" s="648">
        <v>52.324120000000001</v>
      </c>
      <c r="R495" s="648">
        <v>53.510590000000001</v>
      </c>
      <c r="S495" s="648">
        <v>55.175409999999999</v>
      </c>
      <c r="T495" s="648">
        <v>56.337440000000001</v>
      </c>
      <c r="U495" s="648">
        <v>57.979320000000001</v>
      </c>
      <c r="V495" s="648">
        <v>58.95532</v>
      </c>
      <c r="W495" s="648">
        <v>60.729239999999997</v>
      </c>
      <c r="X495" s="648">
        <v>61.746220000000001</v>
      </c>
      <c r="Y495" s="648">
        <v>63.420589999999997</v>
      </c>
      <c r="Z495" s="648">
        <v>64.688789999999997</v>
      </c>
      <c r="AA495" s="648">
        <v>66.34666</v>
      </c>
      <c r="AB495" s="648">
        <v>67.560360000000003</v>
      </c>
      <c r="AC495" s="648">
        <v>69.217910000000003</v>
      </c>
      <c r="AD495" s="648">
        <v>70.157169999999994</v>
      </c>
      <c r="AE495" s="648">
        <v>71.813730000000007</v>
      </c>
      <c r="AF495" s="648">
        <v>72.902749999999997</v>
      </c>
      <c r="AG495" s="648">
        <v>74.658940000000001</v>
      </c>
      <c r="AH495" s="648">
        <v>75.810609999999997</v>
      </c>
      <c r="AI495" s="648">
        <v>77.232050000000001</v>
      </c>
      <c r="AJ495" s="648">
        <v>78.436809999999994</v>
      </c>
      <c r="AK495" s="648">
        <v>79.892700000000005</v>
      </c>
      <c r="AL495" s="649">
        <v>81.44</v>
      </c>
      <c r="AM495" s="649">
        <v>82.97</v>
      </c>
      <c r="AN495" s="649">
        <v>84.502899999999997</v>
      </c>
      <c r="AO495" s="649">
        <v>86.6126</v>
      </c>
      <c r="AP495" s="649">
        <v>88.811899999999994</v>
      </c>
      <c r="AQ495" s="649">
        <v>91.021199999999993</v>
      </c>
      <c r="AR495" s="649">
        <v>93.313800000000001</v>
      </c>
      <c r="AS495" s="649">
        <v>95.609200000000001</v>
      </c>
      <c r="AT495" s="649">
        <v>97.985299999999995</v>
      </c>
      <c r="AU495" s="649">
        <v>100.423</v>
      </c>
      <c r="AV495" s="649">
        <v>102.931</v>
      </c>
      <c r="AW495" s="649">
        <v>105.482</v>
      </c>
      <c r="AX495" s="649">
        <v>108.08199999999999</v>
      </c>
      <c r="AY495" s="649">
        <v>110.754</v>
      </c>
      <c r="AZ495" s="649">
        <v>113.486</v>
      </c>
      <c r="BA495" s="649">
        <v>116.313</v>
      </c>
      <c r="BB495" s="649">
        <v>119.20399999999999</v>
      </c>
      <c r="BC495" s="649">
        <v>122.172</v>
      </c>
      <c r="BD495" s="649">
        <v>125.208</v>
      </c>
      <c r="BE495" s="649">
        <v>128.33099999999999</v>
      </c>
      <c r="BF495" s="3"/>
    </row>
    <row r="496" spans="1:58" ht="14.25" customHeight="1" x14ac:dyDescent="0.45">
      <c r="A496" s="618" t="s">
        <v>384</v>
      </c>
      <c r="B496" s="631"/>
      <c r="C496" s="220" t="s">
        <v>391</v>
      </c>
      <c r="D496" s="221" t="s">
        <v>392</v>
      </c>
      <c r="E496" s="648">
        <v>2.0131327518173499</v>
      </c>
      <c r="F496" s="648">
        <v>1.85229116766581</v>
      </c>
      <c r="G496" s="648">
        <v>1.9887452192023201</v>
      </c>
      <c r="H496" s="648">
        <v>2.2581693890446202</v>
      </c>
      <c r="I496" s="648">
        <v>2.7493867010974822</v>
      </c>
      <c r="J496" s="648">
        <v>2.4674200000000002</v>
      </c>
      <c r="K496" s="648">
        <v>2.5505100000000001</v>
      </c>
      <c r="L496" s="648">
        <v>2.6270500000000001</v>
      </c>
      <c r="M496" s="648">
        <v>2.7078875</v>
      </c>
      <c r="N496" s="648">
        <v>2.7961825</v>
      </c>
      <c r="O496" s="648">
        <v>0</v>
      </c>
      <c r="P496" s="648">
        <v>0</v>
      </c>
      <c r="Q496" s="648">
        <v>0</v>
      </c>
      <c r="R496" s="648">
        <v>0</v>
      </c>
      <c r="S496" s="648">
        <v>0</v>
      </c>
      <c r="T496" s="648">
        <v>0</v>
      </c>
      <c r="U496" s="648">
        <v>0</v>
      </c>
      <c r="V496" s="648">
        <v>0</v>
      </c>
      <c r="W496" s="648">
        <v>0</v>
      </c>
      <c r="X496" s="648">
        <v>0</v>
      </c>
      <c r="Y496" s="648">
        <v>0</v>
      </c>
      <c r="Z496" s="648">
        <v>0</v>
      </c>
      <c r="AA496" s="648">
        <v>0</v>
      </c>
      <c r="AB496" s="648">
        <v>0</v>
      </c>
      <c r="AC496" s="648">
        <v>0</v>
      </c>
      <c r="AD496" s="648">
        <v>0</v>
      </c>
      <c r="AE496" s="648">
        <v>0</v>
      </c>
      <c r="AF496" s="648">
        <v>0</v>
      </c>
      <c r="AG496" s="648">
        <v>0</v>
      </c>
      <c r="AH496" s="648">
        <v>0</v>
      </c>
      <c r="AI496" s="648">
        <v>0</v>
      </c>
      <c r="AJ496" s="648">
        <v>0</v>
      </c>
      <c r="AK496" s="648">
        <v>0</v>
      </c>
      <c r="AL496" s="649">
        <v>0</v>
      </c>
      <c r="AM496" s="649">
        <v>0</v>
      </c>
      <c r="AN496" s="649">
        <v>0</v>
      </c>
      <c r="AO496" s="649">
        <v>0</v>
      </c>
      <c r="AP496" s="649">
        <v>0</v>
      </c>
      <c r="AQ496" s="649">
        <v>0</v>
      </c>
      <c r="AR496" s="649">
        <v>0</v>
      </c>
      <c r="AS496" s="649">
        <v>0</v>
      </c>
      <c r="AT496" s="649">
        <v>0</v>
      </c>
      <c r="AU496" s="649">
        <v>0</v>
      </c>
      <c r="AV496" s="649">
        <v>0</v>
      </c>
      <c r="AW496" s="649">
        <v>0</v>
      </c>
      <c r="AX496" s="649">
        <v>0</v>
      </c>
      <c r="AY496" s="649">
        <v>0</v>
      </c>
      <c r="AZ496" s="649">
        <v>0</v>
      </c>
      <c r="BA496" s="649">
        <v>0</v>
      </c>
      <c r="BB496" s="649">
        <v>0</v>
      </c>
      <c r="BC496" s="649">
        <v>0</v>
      </c>
      <c r="BD496" s="649">
        <v>0</v>
      </c>
      <c r="BE496" s="649">
        <v>0</v>
      </c>
      <c r="BF496" s="3"/>
    </row>
    <row r="497" spans="1:58" ht="14.25" customHeight="1" x14ac:dyDescent="0.45">
      <c r="A497" s="618" t="s">
        <v>384</v>
      </c>
      <c r="B497" s="631"/>
      <c r="C497" s="220" t="s">
        <v>393</v>
      </c>
      <c r="D497" s="221" t="s">
        <v>394</v>
      </c>
      <c r="E497" s="648">
        <v>0</v>
      </c>
      <c r="F497" s="648">
        <v>0</v>
      </c>
      <c r="G497" s="648">
        <v>0</v>
      </c>
      <c r="H497" s="648">
        <v>0</v>
      </c>
      <c r="I497" s="648">
        <v>0</v>
      </c>
      <c r="J497" s="648">
        <v>0</v>
      </c>
      <c r="K497" s="648">
        <v>0</v>
      </c>
      <c r="L497" s="648">
        <v>0</v>
      </c>
      <c r="M497" s="648">
        <v>0</v>
      </c>
      <c r="N497" s="648">
        <v>0</v>
      </c>
      <c r="O497" s="648">
        <v>0</v>
      </c>
      <c r="P497" s="648">
        <v>0</v>
      </c>
      <c r="Q497" s="648">
        <v>0</v>
      </c>
      <c r="R497" s="648">
        <v>3.2500000000000001E-2</v>
      </c>
      <c r="S497" s="648">
        <v>7.5600000000000001E-2</v>
      </c>
      <c r="T497" s="648">
        <v>0.15912000000000001</v>
      </c>
      <c r="U497" s="648">
        <v>0.25868000000000002</v>
      </c>
      <c r="V497" s="648">
        <v>0.34823999999999999</v>
      </c>
      <c r="W497" s="648">
        <v>0.41749999999999998</v>
      </c>
      <c r="X497" s="648">
        <v>0.50570000000000004</v>
      </c>
      <c r="Y497" s="648">
        <v>0.5776</v>
      </c>
      <c r="Z497" s="648">
        <v>0.67010000000000003</v>
      </c>
      <c r="AA497" s="648">
        <v>0.75329999999999997</v>
      </c>
      <c r="AB497" s="648">
        <v>0.81569999999999998</v>
      </c>
      <c r="AC497" s="648">
        <v>0.879</v>
      </c>
      <c r="AD497" s="648">
        <v>0.94699999999999995</v>
      </c>
      <c r="AE497" s="648">
        <v>1.0142</v>
      </c>
      <c r="AF497" s="648">
        <v>1.0683</v>
      </c>
      <c r="AG497" s="648">
        <v>1.1227</v>
      </c>
      <c r="AH497" s="648">
        <v>1.1760999999999999</v>
      </c>
      <c r="AI497" s="648">
        <v>1.2351000000000001</v>
      </c>
      <c r="AJ497" s="648">
        <v>1.2945</v>
      </c>
      <c r="AK497" s="648">
        <v>1.3664000000000001</v>
      </c>
      <c r="AL497" s="648">
        <v>1.4255</v>
      </c>
      <c r="AM497" s="648">
        <v>1.478</v>
      </c>
      <c r="AN497" s="648">
        <v>1.5578000000000001</v>
      </c>
      <c r="AO497" s="648">
        <v>1.6393</v>
      </c>
      <c r="AP497" s="648">
        <v>1.7316</v>
      </c>
      <c r="AQ497" s="648">
        <v>1.8569</v>
      </c>
      <c r="AR497" s="648">
        <v>1.9659</v>
      </c>
      <c r="AS497" s="648">
        <v>2.0792000000000002</v>
      </c>
      <c r="AT497" s="648">
        <v>2.1985999999999999</v>
      </c>
      <c r="AU497" s="648">
        <v>2.3214000000000001</v>
      </c>
      <c r="AV497" s="648">
        <v>2.4485000000000001</v>
      </c>
      <c r="AW497" s="648">
        <v>2.5773000000000001</v>
      </c>
      <c r="AX497" s="648">
        <v>2.7147000000000001</v>
      </c>
      <c r="AY497" s="648">
        <v>2.8532000000000002</v>
      </c>
      <c r="AZ497" s="648">
        <v>2.9992999999999999</v>
      </c>
      <c r="BA497" s="648">
        <v>3.1465999999999998</v>
      </c>
      <c r="BB497" s="648">
        <v>3.3016999999999999</v>
      </c>
      <c r="BC497" s="648">
        <v>3.4580000000000002</v>
      </c>
      <c r="BD497" s="648">
        <v>3.6200999999999999</v>
      </c>
      <c r="BE497" s="648">
        <v>3.7856000000000001</v>
      </c>
      <c r="BF497" s="3"/>
    </row>
    <row r="498" spans="1:58" ht="14.25" customHeight="1" x14ac:dyDescent="0.45">
      <c r="A498" s="618" t="s">
        <v>384</v>
      </c>
      <c r="B498" s="631"/>
      <c r="C498" s="220"/>
      <c r="D498" s="221" t="s">
        <v>395</v>
      </c>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c r="AA498" s="218"/>
      <c r="AB498" s="218"/>
      <c r="AC498" s="218"/>
      <c r="AD498" s="218"/>
      <c r="AE498" s="218"/>
      <c r="AF498" s="218"/>
      <c r="AG498" s="218"/>
      <c r="AH498" s="218"/>
      <c r="AI498" s="218"/>
      <c r="AJ498" s="218"/>
      <c r="AK498" s="218"/>
      <c r="AL498" s="332" t="s">
        <v>85</v>
      </c>
      <c r="AM498" s="332" t="s">
        <v>85</v>
      </c>
      <c r="AN498" s="332" t="s">
        <v>85</v>
      </c>
      <c r="AO498" s="332" t="s">
        <v>85</v>
      </c>
      <c r="AP498" s="332" t="s">
        <v>85</v>
      </c>
      <c r="AQ498" s="332" t="s">
        <v>85</v>
      </c>
      <c r="AR498" s="332" t="s">
        <v>85</v>
      </c>
      <c r="AS498" s="332" t="s">
        <v>85</v>
      </c>
      <c r="AT498" s="332" t="s">
        <v>85</v>
      </c>
      <c r="AU498" s="332" t="s">
        <v>85</v>
      </c>
      <c r="AV498" s="332" t="s">
        <v>85</v>
      </c>
      <c r="AW498" s="332" t="s">
        <v>85</v>
      </c>
      <c r="AX498" s="332" t="s">
        <v>85</v>
      </c>
      <c r="AY498" s="332" t="s">
        <v>85</v>
      </c>
      <c r="AZ498" s="332" t="s">
        <v>85</v>
      </c>
      <c r="BA498" s="332" t="s">
        <v>85</v>
      </c>
      <c r="BB498" s="332" t="s">
        <v>85</v>
      </c>
      <c r="BC498" s="332" t="s">
        <v>85</v>
      </c>
      <c r="BD498" s="332" t="s">
        <v>85</v>
      </c>
      <c r="BE498" s="332" t="s">
        <v>85</v>
      </c>
      <c r="BF498" s="3"/>
    </row>
    <row r="499" spans="1:58" ht="14.25" customHeight="1" x14ac:dyDescent="0.45">
      <c r="A499" s="618"/>
      <c r="B499" s="631"/>
      <c r="C499" s="220"/>
      <c r="D499" s="221" t="s">
        <v>396</v>
      </c>
      <c r="E499" s="218"/>
      <c r="F499" s="218"/>
      <c r="G499" s="218"/>
      <c r="H499" s="218"/>
      <c r="I499" s="218">
        <v>0</v>
      </c>
      <c r="J499" s="218">
        <v>0</v>
      </c>
      <c r="K499" s="218">
        <v>0</v>
      </c>
      <c r="L499" s="218">
        <v>0</v>
      </c>
      <c r="M499" s="218">
        <v>0</v>
      </c>
      <c r="N499" s="218">
        <v>0</v>
      </c>
      <c r="O499" s="218">
        <v>0</v>
      </c>
      <c r="P499" s="218">
        <v>0</v>
      </c>
      <c r="Q499" s="218">
        <v>0</v>
      </c>
      <c r="R499" s="218">
        <v>0</v>
      </c>
      <c r="S499" s="218">
        <v>0</v>
      </c>
      <c r="T499" s="218">
        <v>0</v>
      </c>
      <c r="U499" s="218">
        <v>0</v>
      </c>
      <c r="V499" s="218">
        <v>0</v>
      </c>
      <c r="W499" s="218">
        <v>0</v>
      </c>
      <c r="X499" s="218">
        <v>0</v>
      </c>
      <c r="Y499" s="218">
        <v>0</v>
      </c>
      <c r="Z499" s="218">
        <v>0</v>
      </c>
      <c r="AA499" s="218">
        <v>0</v>
      </c>
      <c r="AB499" s="218">
        <v>0</v>
      </c>
      <c r="AC499" s="218">
        <v>0</v>
      </c>
      <c r="AD499" s="218">
        <v>0</v>
      </c>
      <c r="AE499" s="218">
        <v>0</v>
      </c>
      <c r="AF499" s="218">
        <v>0</v>
      </c>
      <c r="AG499" s="218">
        <v>0</v>
      </c>
      <c r="AH499" s="218">
        <v>0</v>
      </c>
      <c r="AI499" s="218">
        <v>0</v>
      </c>
      <c r="AJ499" s="218">
        <v>0</v>
      </c>
      <c r="AK499" s="218">
        <v>0</v>
      </c>
      <c r="AL499" s="332" t="s">
        <v>85</v>
      </c>
      <c r="AM499" s="332" t="s">
        <v>85</v>
      </c>
      <c r="AN499" s="332" t="s">
        <v>85</v>
      </c>
      <c r="AO499" s="332" t="s">
        <v>85</v>
      </c>
      <c r="AP499" s="332" t="s">
        <v>85</v>
      </c>
      <c r="AQ499" s="332" t="s">
        <v>85</v>
      </c>
      <c r="AR499" s="332" t="s">
        <v>85</v>
      </c>
      <c r="AS499" s="332" t="s">
        <v>85</v>
      </c>
      <c r="AT499" s="332" t="s">
        <v>85</v>
      </c>
      <c r="AU499" s="332" t="s">
        <v>85</v>
      </c>
      <c r="AV499" s="332" t="s">
        <v>85</v>
      </c>
      <c r="AW499" s="332" t="s">
        <v>85</v>
      </c>
      <c r="AX499" s="332" t="s">
        <v>85</v>
      </c>
      <c r="AY499" s="332" t="s">
        <v>85</v>
      </c>
      <c r="AZ499" s="332" t="s">
        <v>85</v>
      </c>
      <c r="BA499" s="332" t="s">
        <v>85</v>
      </c>
      <c r="BB499" s="332" t="s">
        <v>85</v>
      </c>
      <c r="BC499" s="332" t="s">
        <v>85</v>
      </c>
      <c r="BD499" s="332" t="s">
        <v>85</v>
      </c>
      <c r="BE499" s="332" t="s">
        <v>85</v>
      </c>
      <c r="BF499" s="3"/>
    </row>
    <row r="500" spans="1:58" ht="14.25" customHeight="1" x14ac:dyDescent="0.45">
      <c r="A500" s="618"/>
      <c r="B500" s="631"/>
      <c r="C500" s="220"/>
      <c r="D500" s="221" t="s">
        <v>397</v>
      </c>
      <c r="E500" s="218">
        <f>'Copia de Electricidad'!D364*$E$619</f>
        <v>3.8903921076366615E-2</v>
      </c>
      <c r="F500" s="218">
        <f>'Copia de Electricidad'!E364*$E$619</f>
        <v>3.9484576614819841E-2</v>
      </c>
      <c r="G500" s="218">
        <f>'Copia de Electricidad'!F364*$E$619</f>
        <v>3.8903921076366615E-2</v>
      </c>
      <c r="H500" s="218">
        <f>'Copia de Electricidad'!G364*$E$619</f>
        <v>3.9484576614819841E-2</v>
      </c>
      <c r="I500" s="218">
        <v>4.1110000000000001E-2</v>
      </c>
      <c r="J500" s="218">
        <v>4.165E-2</v>
      </c>
      <c r="K500" s="218">
        <v>4.2189999999999998E-2</v>
      </c>
      <c r="L500" s="218">
        <v>4.2720000000000001E-2</v>
      </c>
      <c r="M500" s="218">
        <v>4.3240000000000001E-2</v>
      </c>
      <c r="N500" s="218">
        <v>4.376E-2</v>
      </c>
      <c r="O500" s="218">
        <v>4.428E-2</v>
      </c>
      <c r="P500" s="218">
        <v>4.478E-2</v>
      </c>
      <c r="Q500" s="218">
        <v>4.5280000000000001E-2</v>
      </c>
      <c r="R500" s="218">
        <v>4.5780000000000001E-2</v>
      </c>
      <c r="S500" s="218">
        <v>4.6260000000000003E-2</v>
      </c>
      <c r="T500" s="218">
        <v>4.6739999999999997E-2</v>
      </c>
      <c r="U500" s="218">
        <v>4.7210000000000002E-2</v>
      </c>
      <c r="V500" s="218">
        <v>4.7669999999999997E-2</v>
      </c>
      <c r="W500" s="218">
        <v>4.8120000000000003E-2</v>
      </c>
      <c r="X500" s="218">
        <v>4.8559999999999999E-2</v>
      </c>
      <c r="Y500" s="218">
        <v>4.9000000000000002E-2</v>
      </c>
      <c r="Z500" s="218">
        <v>4.9419999999999999E-2</v>
      </c>
      <c r="AA500" s="218">
        <v>4.9840000000000002E-2</v>
      </c>
      <c r="AB500" s="218">
        <v>5.024E-2</v>
      </c>
      <c r="AC500" s="218">
        <v>5.0639999999999998E-2</v>
      </c>
      <c r="AD500" s="218">
        <v>5.1020000000000003E-2</v>
      </c>
      <c r="AE500" s="218">
        <v>5.1400000000000001E-2</v>
      </c>
      <c r="AF500" s="218">
        <v>5.176E-2</v>
      </c>
      <c r="AG500" s="218">
        <v>5.2109999999999997E-2</v>
      </c>
      <c r="AH500" s="218">
        <v>5.246E-2</v>
      </c>
      <c r="AI500" s="218">
        <v>5.2789999999999997E-2</v>
      </c>
      <c r="AJ500" s="218">
        <v>5.3109999999999997E-2</v>
      </c>
      <c r="AK500" s="218">
        <v>5.3420000000000002E-2</v>
      </c>
      <c r="AL500" s="332">
        <v>0.05</v>
      </c>
      <c r="AM500" s="332">
        <v>0.05</v>
      </c>
      <c r="AN500" s="332">
        <v>0.05</v>
      </c>
      <c r="AO500" s="332">
        <v>0.05</v>
      </c>
      <c r="AP500" s="332">
        <v>0.05</v>
      </c>
      <c r="AQ500" s="332">
        <v>0.06</v>
      </c>
      <c r="AR500" s="332">
        <v>0.06</v>
      </c>
      <c r="AS500" s="332">
        <v>0.06</v>
      </c>
      <c r="AT500" s="332">
        <v>0.06</v>
      </c>
      <c r="AU500" s="332">
        <v>0.06</v>
      </c>
      <c r="AV500" s="332">
        <v>0.06</v>
      </c>
      <c r="AW500" s="332">
        <v>0.06</v>
      </c>
      <c r="AX500" s="332">
        <v>0.06</v>
      </c>
      <c r="AY500" s="332">
        <v>0.06</v>
      </c>
      <c r="AZ500" s="332">
        <v>0.06</v>
      </c>
      <c r="BA500" s="332">
        <v>0.06</v>
      </c>
      <c r="BB500" s="332">
        <v>0.06</v>
      </c>
      <c r="BC500" s="332">
        <v>0.06</v>
      </c>
      <c r="BD500" s="332">
        <v>0.06</v>
      </c>
      <c r="BE500" s="332">
        <v>0.06</v>
      </c>
      <c r="BF500" s="3"/>
    </row>
    <row r="501" spans="1:58" ht="14.25" customHeight="1" x14ac:dyDescent="0.45">
      <c r="A501" s="618"/>
      <c r="B501" s="631"/>
      <c r="C501" s="220"/>
      <c r="D501" s="221" t="s">
        <v>398</v>
      </c>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c r="AA501" s="218"/>
      <c r="AB501" s="218"/>
      <c r="AC501" s="218"/>
      <c r="AD501" s="218"/>
      <c r="AE501" s="218"/>
      <c r="AF501" s="218"/>
      <c r="AG501" s="218"/>
      <c r="AH501" s="218"/>
      <c r="AI501" s="218"/>
      <c r="AJ501" s="218"/>
      <c r="AK501" s="218"/>
      <c r="AL501" s="332" t="s">
        <v>85</v>
      </c>
      <c r="AM501" s="332" t="s">
        <v>85</v>
      </c>
      <c r="AN501" s="332" t="s">
        <v>85</v>
      </c>
      <c r="AO501" s="332" t="s">
        <v>85</v>
      </c>
      <c r="AP501" s="332" t="s">
        <v>85</v>
      </c>
      <c r="AQ501" s="332" t="s">
        <v>85</v>
      </c>
      <c r="AR501" s="332" t="s">
        <v>85</v>
      </c>
      <c r="AS501" s="332" t="s">
        <v>85</v>
      </c>
      <c r="AT501" s="332" t="s">
        <v>85</v>
      </c>
      <c r="AU501" s="332" t="s">
        <v>85</v>
      </c>
      <c r="AV501" s="332" t="s">
        <v>85</v>
      </c>
      <c r="AW501" s="332" t="s">
        <v>85</v>
      </c>
      <c r="AX501" s="332" t="s">
        <v>85</v>
      </c>
      <c r="AY501" s="332" t="s">
        <v>85</v>
      </c>
      <c r="AZ501" s="332" t="s">
        <v>85</v>
      </c>
      <c r="BA501" s="332" t="s">
        <v>85</v>
      </c>
      <c r="BB501" s="332" t="s">
        <v>85</v>
      </c>
      <c r="BC501" s="332" t="s">
        <v>85</v>
      </c>
      <c r="BD501" s="332" t="s">
        <v>85</v>
      </c>
      <c r="BE501" s="332" t="s">
        <v>85</v>
      </c>
      <c r="BF501" s="3"/>
    </row>
    <row r="502" spans="1:58" ht="14.25" customHeight="1" x14ac:dyDescent="0.45">
      <c r="A502" s="618"/>
      <c r="B502" s="631"/>
      <c r="C502" s="220"/>
      <c r="D502" s="221" t="s">
        <v>399</v>
      </c>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c r="AA502" s="218"/>
      <c r="AB502" s="218"/>
      <c r="AC502" s="218"/>
      <c r="AD502" s="218"/>
      <c r="AE502" s="218"/>
      <c r="AF502" s="218"/>
      <c r="AG502" s="218"/>
      <c r="AH502" s="218"/>
      <c r="AI502" s="218"/>
      <c r="AJ502" s="218"/>
      <c r="AK502" s="218"/>
      <c r="AL502" s="332" t="s">
        <v>85</v>
      </c>
      <c r="AM502" s="332" t="s">
        <v>85</v>
      </c>
      <c r="AN502" s="332" t="s">
        <v>85</v>
      </c>
      <c r="AO502" s="332" t="s">
        <v>85</v>
      </c>
      <c r="AP502" s="332" t="s">
        <v>85</v>
      </c>
      <c r="AQ502" s="332" t="s">
        <v>85</v>
      </c>
      <c r="AR502" s="332" t="s">
        <v>85</v>
      </c>
      <c r="AS502" s="332" t="s">
        <v>85</v>
      </c>
      <c r="AT502" s="332" t="s">
        <v>85</v>
      </c>
      <c r="AU502" s="332" t="s">
        <v>85</v>
      </c>
      <c r="AV502" s="332" t="s">
        <v>85</v>
      </c>
      <c r="AW502" s="332" t="s">
        <v>85</v>
      </c>
      <c r="AX502" s="332" t="s">
        <v>85</v>
      </c>
      <c r="AY502" s="332" t="s">
        <v>85</v>
      </c>
      <c r="AZ502" s="332" t="s">
        <v>85</v>
      </c>
      <c r="BA502" s="332" t="s">
        <v>85</v>
      </c>
      <c r="BB502" s="332" t="s">
        <v>85</v>
      </c>
      <c r="BC502" s="332" t="s">
        <v>85</v>
      </c>
      <c r="BD502" s="332" t="s">
        <v>85</v>
      </c>
      <c r="BE502" s="332" t="s">
        <v>85</v>
      </c>
      <c r="BF502" s="3"/>
    </row>
    <row r="503" spans="1:58" ht="14.25" customHeight="1" x14ac:dyDescent="0.45">
      <c r="A503" s="618"/>
      <c r="B503" s="632"/>
      <c r="C503" s="259"/>
      <c r="D503" s="267" t="s">
        <v>400</v>
      </c>
      <c r="E503" s="261">
        <f t="shared" ref="E503:BE503" si="17">SUM(E493:E502)</f>
        <v>89.610827282872009</v>
      </c>
      <c r="F503" s="261">
        <f t="shared" si="17"/>
        <v>92.877595342209872</v>
      </c>
      <c r="G503" s="261">
        <f t="shared" si="17"/>
        <v>91.446279439922719</v>
      </c>
      <c r="H503" s="261">
        <f t="shared" si="17"/>
        <v>97.028701786612018</v>
      </c>
      <c r="I503" s="261">
        <f t="shared" si="17"/>
        <v>100.07067746287927</v>
      </c>
      <c r="J503" s="261">
        <f t="shared" si="17"/>
        <v>101.56705000000001</v>
      </c>
      <c r="K503" s="261">
        <f t="shared" si="17"/>
        <v>104.43898750000001</v>
      </c>
      <c r="L503" s="261">
        <f t="shared" si="17"/>
        <v>106.29456500000001</v>
      </c>
      <c r="M503" s="261">
        <f t="shared" si="17"/>
        <v>108.8450325</v>
      </c>
      <c r="N503" s="261">
        <f t="shared" si="17"/>
        <v>111.08067500000001</v>
      </c>
      <c r="O503" s="261">
        <f t="shared" si="17"/>
        <v>111.14688656</v>
      </c>
      <c r="P503" s="261">
        <f t="shared" si="17"/>
        <v>112.80050605528001</v>
      </c>
      <c r="Q503" s="261">
        <f t="shared" si="17"/>
        <v>115.72696322638559</v>
      </c>
      <c r="R503" s="261">
        <f t="shared" si="17"/>
        <v>118.00973557045198</v>
      </c>
      <c r="S503" s="261">
        <f t="shared" si="17"/>
        <v>120.3966233450855</v>
      </c>
      <c r="T503" s="261">
        <f t="shared" si="17"/>
        <v>122.0545405320577</v>
      </c>
      <c r="U503" s="261">
        <f t="shared" si="17"/>
        <v>124.1551249373783</v>
      </c>
      <c r="V503" s="261">
        <f t="shared" si="17"/>
        <v>125.693784568773</v>
      </c>
      <c r="W503" s="261">
        <f t="shared" si="17"/>
        <v>128.27016571690291</v>
      </c>
      <c r="X503" s="261">
        <f t="shared" si="17"/>
        <v>130.48437477407197</v>
      </c>
      <c r="Y503" s="261">
        <f t="shared" si="17"/>
        <v>133.3398446695534</v>
      </c>
      <c r="Z503" s="261">
        <f t="shared" si="17"/>
        <v>136.24149853629223</v>
      </c>
      <c r="AA503" s="261">
        <f t="shared" si="17"/>
        <v>139.520434192381</v>
      </c>
      <c r="AB503" s="261">
        <f t="shared" si="17"/>
        <v>142.31968328138291</v>
      </c>
      <c r="AC503" s="261">
        <f t="shared" si="17"/>
        <v>145.55481286341748</v>
      </c>
      <c r="AD503" s="261">
        <f t="shared" si="17"/>
        <v>148.07977693500288</v>
      </c>
      <c r="AE503" s="261">
        <f t="shared" si="17"/>
        <v>151.12991182144296</v>
      </c>
      <c r="AF503" s="261">
        <f t="shared" si="17"/>
        <v>153.76352600333615</v>
      </c>
      <c r="AG503" s="261">
        <f t="shared" si="17"/>
        <v>156.9540054714129</v>
      </c>
      <c r="AH503" s="261">
        <f t="shared" si="17"/>
        <v>159.43296630348408</v>
      </c>
      <c r="AI503" s="261">
        <f t="shared" si="17"/>
        <v>162.12014265542936</v>
      </c>
      <c r="AJ503" s="261">
        <f t="shared" si="17"/>
        <v>164.43889660588252</v>
      </c>
      <c r="AK503" s="261">
        <f t="shared" si="17"/>
        <v>166.96973032515311</v>
      </c>
      <c r="AL503" s="333">
        <f t="shared" si="17"/>
        <v>169.66707166453699</v>
      </c>
      <c r="AM503" s="333">
        <f t="shared" si="17"/>
        <v>172.27652550945251</v>
      </c>
      <c r="AN503" s="333">
        <f t="shared" si="17"/>
        <v>174.80343908801859</v>
      </c>
      <c r="AO503" s="333">
        <f t="shared" si="17"/>
        <v>177.89467460072277</v>
      </c>
      <c r="AP503" s="333">
        <f t="shared" si="17"/>
        <v>181.04420562452489</v>
      </c>
      <c r="AQ503" s="333">
        <f t="shared" si="17"/>
        <v>184.36165965264752</v>
      </c>
      <c r="AR503" s="333">
        <f t="shared" si="17"/>
        <v>187.6026699316055</v>
      </c>
      <c r="AS503" s="333">
        <f t="shared" si="17"/>
        <v>190.75895500153712</v>
      </c>
      <c r="AT503" s="333">
        <f t="shared" si="17"/>
        <v>194.04402431154014</v>
      </c>
      <c r="AU503" s="333">
        <f t="shared" si="17"/>
        <v>197.31002431154016</v>
      </c>
      <c r="AV503" s="333">
        <f t="shared" si="17"/>
        <v>200.62302431154015</v>
      </c>
      <c r="AW503" s="333">
        <f t="shared" si="17"/>
        <v>204.09549216016325</v>
      </c>
      <c r="AX503" s="333">
        <f t="shared" si="17"/>
        <v>207.51339216016322</v>
      </c>
      <c r="AY503" s="333">
        <f t="shared" si="17"/>
        <v>211.02009999999999</v>
      </c>
      <c r="AZ503" s="333">
        <f t="shared" si="17"/>
        <v>214.67600000000002</v>
      </c>
      <c r="BA503" s="333">
        <f t="shared" si="17"/>
        <v>218.40479999999999</v>
      </c>
      <c r="BB503" s="333">
        <f t="shared" si="17"/>
        <v>222.1781</v>
      </c>
      <c r="BC503" s="333">
        <f t="shared" si="17"/>
        <v>226.1223</v>
      </c>
      <c r="BD503" s="333">
        <f t="shared" si="17"/>
        <v>230.12719999999999</v>
      </c>
      <c r="BE503" s="333">
        <f t="shared" si="17"/>
        <v>234.18819999999999</v>
      </c>
      <c r="BF503" s="3"/>
    </row>
    <row r="504" spans="1:58" ht="14.25" customHeight="1" x14ac:dyDescent="0.45">
      <c r="A504" s="618"/>
      <c r="B504" s="618"/>
      <c r="C504" s="618"/>
      <c r="D504" s="618"/>
      <c r="E504" s="618"/>
      <c r="F504" s="618"/>
      <c r="G504" s="618"/>
      <c r="H504" s="618"/>
      <c r="I504" s="618"/>
      <c r="J504" s="618"/>
      <c r="K504" s="618"/>
      <c r="L504" s="618"/>
      <c r="M504" s="618"/>
      <c r="N504" s="618"/>
      <c r="O504" s="618"/>
      <c r="P504" s="618"/>
      <c r="Q504" s="618"/>
      <c r="R504" s="618"/>
      <c r="S504" s="618"/>
      <c r="T504" s="618"/>
      <c r="U504" s="618"/>
      <c r="V504" s="618"/>
      <c r="W504" s="618"/>
      <c r="X504" s="618"/>
      <c r="Y504" s="618"/>
      <c r="Z504" s="618"/>
      <c r="AA504" s="618"/>
      <c r="AB504" s="618"/>
      <c r="AC504" s="618"/>
      <c r="AD504" s="618"/>
      <c r="AE504" s="618"/>
      <c r="AF504" s="618"/>
      <c r="AG504" s="618"/>
      <c r="AH504" s="618"/>
      <c r="AI504" s="618"/>
      <c r="AJ504" s="618"/>
      <c r="AK504" s="618"/>
      <c r="AL504" s="618"/>
      <c r="AM504" s="618"/>
      <c r="AN504" s="618"/>
      <c r="AO504" s="618"/>
      <c r="AP504" s="618"/>
      <c r="AQ504" s="618"/>
      <c r="AR504" s="618"/>
      <c r="AS504" s="618"/>
      <c r="AT504" s="618"/>
      <c r="AU504" s="618"/>
      <c r="AV504" s="618"/>
      <c r="AW504" s="618"/>
      <c r="AX504" s="618"/>
      <c r="AY504" s="618"/>
      <c r="AZ504" s="618"/>
      <c r="BA504" s="618"/>
      <c r="BB504" s="618"/>
      <c r="BC504" s="618"/>
      <c r="BD504" s="618"/>
      <c r="BE504" s="618"/>
      <c r="BF504" s="618"/>
    </row>
    <row r="505" spans="1:58" ht="14.25" customHeight="1" x14ac:dyDescent="0.45">
      <c r="A505" s="618"/>
      <c r="B505" s="49"/>
      <c r="C505" s="334"/>
      <c r="D505" s="270" t="s">
        <v>401</v>
      </c>
      <c r="E505" s="123">
        <v>2018</v>
      </c>
      <c r="F505" s="123">
        <v>2019</v>
      </c>
      <c r="G505" s="123">
        <v>2020</v>
      </c>
      <c r="H505" s="123">
        <v>2021</v>
      </c>
      <c r="I505" s="141">
        <v>2022</v>
      </c>
      <c r="J505" s="141">
        <v>2023</v>
      </c>
      <c r="K505" s="141">
        <v>2024</v>
      </c>
      <c r="L505" s="141">
        <v>2025</v>
      </c>
      <c r="M505" s="141">
        <v>2026</v>
      </c>
      <c r="N505" s="141">
        <v>2027</v>
      </c>
      <c r="O505" s="141">
        <v>2028</v>
      </c>
      <c r="P505" s="141">
        <v>2029</v>
      </c>
      <c r="Q505" s="141">
        <v>2030</v>
      </c>
      <c r="R505" s="141">
        <v>2031</v>
      </c>
      <c r="S505" s="141">
        <v>2032</v>
      </c>
      <c r="T505" s="141">
        <v>2033</v>
      </c>
      <c r="U505" s="141">
        <v>2034</v>
      </c>
      <c r="V505" s="141">
        <v>2035</v>
      </c>
      <c r="W505" s="141">
        <v>2036</v>
      </c>
      <c r="X505" s="141">
        <v>2037</v>
      </c>
      <c r="Y505" s="141">
        <v>2038</v>
      </c>
      <c r="Z505" s="141">
        <v>2039</v>
      </c>
      <c r="AA505" s="141">
        <v>2040</v>
      </c>
      <c r="AB505" s="141">
        <v>2041</v>
      </c>
      <c r="AC505" s="141">
        <v>2042</v>
      </c>
      <c r="AD505" s="141">
        <v>2043</v>
      </c>
      <c r="AE505" s="141">
        <v>2044</v>
      </c>
      <c r="AF505" s="141">
        <v>2045</v>
      </c>
      <c r="AG505" s="141">
        <v>2046</v>
      </c>
      <c r="AH505" s="141">
        <v>2047</v>
      </c>
      <c r="AI505" s="141">
        <v>2048</v>
      </c>
      <c r="AJ505" s="141">
        <v>2049</v>
      </c>
      <c r="AK505" s="141">
        <v>2050</v>
      </c>
      <c r="AL505" s="141">
        <v>2051</v>
      </c>
      <c r="AM505" s="141">
        <v>2052</v>
      </c>
      <c r="AN505" s="141">
        <v>2053</v>
      </c>
      <c r="AO505" s="141">
        <v>2054</v>
      </c>
      <c r="AP505" s="141">
        <v>2055</v>
      </c>
      <c r="AQ505" s="141">
        <v>2056</v>
      </c>
      <c r="AR505" s="141">
        <v>2057</v>
      </c>
      <c r="AS505" s="141">
        <v>2058</v>
      </c>
      <c r="AT505" s="141">
        <v>2059</v>
      </c>
      <c r="AU505" s="141">
        <v>2060</v>
      </c>
      <c r="AV505" s="141">
        <v>2061</v>
      </c>
      <c r="AW505" s="141">
        <v>2062</v>
      </c>
      <c r="AX505" s="141">
        <v>2063</v>
      </c>
      <c r="AY505" s="141">
        <v>2064</v>
      </c>
      <c r="AZ505" s="141">
        <v>2065</v>
      </c>
      <c r="BA505" s="141">
        <v>2066</v>
      </c>
      <c r="BB505" s="141">
        <v>2067</v>
      </c>
      <c r="BC505" s="141">
        <v>2068</v>
      </c>
      <c r="BD505" s="141">
        <v>2069</v>
      </c>
      <c r="BE505" s="141">
        <v>2070</v>
      </c>
      <c r="BF505" s="3"/>
    </row>
    <row r="506" spans="1:58" ht="15" customHeight="1" x14ac:dyDescent="0.45">
      <c r="A506" s="618"/>
      <c r="B506" s="633"/>
      <c r="C506" s="285"/>
      <c r="D506" s="221" t="s">
        <v>386</v>
      </c>
      <c r="E506" s="218">
        <v>7.2999999999999995E-2</v>
      </c>
      <c r="F506" s="218">
        <v>7.4999999999999997E-2</v>
      </c>
      <c r="G506" s="218">
        <v>9.7000000000000003E-2</v>
      </c>
      <c r="H506" s="218">
        <v>9.8000000000000004E-2</v>
      </c>
      <c r="I506" s="218">
        <v>8.2000000000000003E-2</v>
      </c>
      <c r="J506" s="218">
        <v>8.4000000000000005E-2</v>
      </c>
      <c r="K506" s="218">
        <v>8.5999999999999993E-2</v>
      </c>
      <c r="L506" s="218">
        <v>8.7999999999999995E-2</v>
      </c>
      <c r="M506" s="218">
        <v>0.09</v>
      </c>
      <c r="N506" s="218">
        <v>9.0999999999999998E-2</v>
      </c>
      <c r="O506" s="218">
        <v>9.2999999999999999E-2</v>
      </c>
      <c r="P506" s="218">
        <v>9.5000000000000001E-2</v>
      </c>
      <c r="Q506" s="218">
        <v>9.6000000000000002E-2</v>
      </c>
      <c r="R506" s="218">
        <v>9.8000000000000004E-2</v>
      </c>
      <c r="S506" s="218">
        <v>9.9000000000000005E-2</v>
      </c>
      <c r="T506" s="218">
        <v>0.1</v>
      </c>
      <c r="U506" s="218">
        <v>0.10100000000000001</v>
      </c>
      <c r="V506" s="218">
        <v>0.10199999999999999</v>
      </c>
      <c r="W506" s="218">
        <v>0.10299999999999999</v>
      </c>
      <c r="X506" s="218">
        <v>0.105</v>
      </c>
      <c r="Y506" s="218">
        <v>0.106</v>
      </c>
      <c r="Z506" s="218">
        <v>0.107</v>
      </c>
      <c r="AA506" s="218">
        <v>0.108</v>
      </c>
      <c r="AB506" s="218">
        <v>0.108</v>
      </c>
      <c r="AC506" s="218">
        <v>0.109</v>
      </c>
      <c r="AD506" s="218">
        <v>0.109</v>
      </c>
      <c r="AE506" s="218">
        <v>0.109</v>
      </c>
      <c r="AF506" s="218">
        <v>0.109</v>
      </c>
      <c r="AG506" s="218">
        <v>0.11</v>
      </c>
      <c r="AH506" s="218">
        <v>0.11</v>
      </c>
      <c r="AI506" s="218">
        <v>0.11</v>
      </c>
      <c r="AJ506" s="218">
        <v>0.111</v>
      </c>
      <c r="AK506" s="218">
        <v>0.111</v>
      </c>
      <c r="AL506" s="218">
        <v>0.111</v>
      </c>
      <c r="AM506" s="218">
        <v>0.111</v>
      </c>
      <c r="AN506" s="218">
        <v>0.112</v>
      </c>
      <c r="AO506" s="218">
        <v>0.112</v>
      </c>
      <c r="AP506" s="218">
        <v>0.112</v>
      </c>
      <c r="AQ506" s="218">
        <v>0.112</v>
      </c>
      <c r="AR506" s="218">
        <v>0.113</v>
      </c>
      <c r="AS506" s="218">
        <v>0.113</v>
      </c>
      <c r="AT506" s="218">
        <v>0.113</v>
      </c>
      <c r="AU506" s="218">
        <v>0.113</v>
      </c>
      <c r="AV506" s="218">
        <v>0.114</v>
      </c>
      <c r="AW506" s="218">
        <v>0.114</v>
      </c>
      <c r="AX506" s="218">
        <v>0.114</v>
      </c>
      <c r="AY506" s="218">
        <v>0.114</v>
      </c>
      <c r="AZ506" s="218">
        <v>0.114</v>
      </c>
      <c r="BA506" s="218">
        <v>0.115</v>
      </c>
      <c r="BB506" s="218">
        <v>0.115</v>
      </c>
      <c r="BC506" s="218">
        <v>0.115</v>
      </c>
      <c r="BD506" s="218">
        <v>0.115</v>
      </c>
      <c r="BE506" s="218">
        <v>0.115</v>
      </c>
      <c r="BF506" s="3"/>
    </row>
    <row r="507" spans="1:58" ht="14.25" customHeight="1" x14ac:dyDescent="0.45">
      <c r="A507" s="618"/>
      <c r="B507" s="631"/>
      <c r="C507" s="285"/>
      <c r="D507" s="221" t="s">
        <v>388</v>
      </c>
      <c r="E507" s="218">
        <v>0.124</v>
      </c>
      <c r="F507" s="218">
        <v>0.127</v>
      </c>
      <c r="G507" s="218">
        <v>0.111</v>
      </c>
      <c r="H507" s="218">
        <v>0.11600000000000001</v>
      </c>
      <c r="I507" s="218">
        <v>0.13600000000000001</v>
      </c>
      <c r="J507" s="218">
        <v>0.14000000000000001</v>
      </c>
      <c r="K507" s="218">
        <v>0.14299999999999999</v>
      </c>
      <c r="L507" s="218">
        <v>0.14599999999999999</v>
      </c>
      <c r="M507" s="218">
        <v>0.15</v>
      </c>
      <c r="N507" s="218">
        <v>0.154</v>
      </c>
      <c r="O507" s="218">
        <v>0.158</v>
      </c>
      <c r="P507" s="218">
        <v>0.16200000000000001</v>
      </c>
      <c r="Q507" s="218">
        <v>0.16500000000000001</v>
      </c>
      <c r="R507" s="218">
        <v>0.16600000000000001</v>
      </c>
      <c r="S507" s="218">
        <v>0.16700000000000001</v>
      </c>
      <c r="T507" s="218">
        <v>0.16800000000000001</v>
      </c>
      <c r="U507" s="218">
        <v>0.16900000000000001</v>
      </c>
      <c r="V507" s="218">
        <v>0.17</v>
      </c>
      <c r="W507" s="218">
        <v>0.17100000000000001</v>
      </c>
      <c r="X507" s="218">
        <v>0.17199999999999999</v>
      </c>
      <c r="Y507" s="218">
        <v>0.17299999999999999</v>
      </c>
      <c r="Z507" s="218">
        <v>0.17399999999999999</v>
      </c>
      <c r="AA507" s="218">
        <v>0.17499999999999999</v>
      </c>
      <c r="AB507" s="218">
        <v>0.17399999999999999</v>
      </c>
      <c r="AC507" s="218">
        <v>0.17399999999999999</v>
      </c>
      <c r="AD507" s="218">
        <v>0.17399999999999999</v>
      </c>
      <c r="AE507" s="218">
        <v>0.17399999999999999</v>
      </c>
      <c r="AF507" s="218">
        <v>0.17399999999999999</v>
      </c>
      <c r="AG507" s="218">
        <v>0.17399999999999999</v>
      </c>
      <c r="AH507" s="218">
        <v>0.17399999999999999</v>
      </c>
      <c r="AI507" s="218">
        <v>0.17399999999999999</v>
      </c>
      <c r="AJ507" s="218">
        <v>0.17399999999999999</v>
      </c>
      <c r="AK507" s="218">
        <v>0.17399999999999999</v>
      </c>
      <c r="AL507" s="218">
        <v>0.17399999999999999</v>
      </c>
      <c r="AM507" s="218">
        <v>0.17299999999999999</v>
      </c>
      <c r="AN507" s="218">
        <v>0.17299999999999999</v>
      </c>
      <c r="AO507" s="218">
        <v>0.17299999999999999</v>
      </c>
      <c r="AP507" s="218">
        <v>0.17299999999999999</v>
      </c>
      <c r="AQ507" s="218">
        <v>0.17299999999999999</v>
      </c>
      <c r="AR507" s="218">
        <v>0.17299999999999999</v>
      </c>
      <c r="AS507" s="218">
        <v>0.17299999999999999</v>
      </c>
      <c r="AT507" s="218">
        <v>0.17299999999999999</v>
      </c>
      <c r="AU507" s="218">
        <v>0.17199999999999999</v>
      </c>
      <c r="AV507" s="218">
        <v>0.17199999999999999</v>
      </c>
      <c r="AW507" s="218">
        <v>0.17199999999999999</v>
      </c>
      <c r="AX507" s="218">
        <v>0.17199999999999999</v>
      </c>
      <c r="AY507" s="218">
        <v>0.17100000000000001</v>
      </c>
      <c r="AZ507" s="218">
        <v>0.17100000000000001</v>
      </c>
      <c r="BA507" s="218">
        <v>0.17100000000000001</v>
      </c>
      <c r="BB507" s="218">
        <v>0.17100000000000001</v>
      </c>
      <c r="BC507" s="218">
        <v>0.17100000000000001</v>
      </c>
      <c r="BD507" s="218">
        <v>0.17</v>
      </c>
      <c r="BE507" s="218">
        <v>0.17</v>
      </c>
      <c r="BF507" s="3"/>
    </row>
    <row r="508" spans="1:58" ht="14.25" customHeight="1" x14ac:dyDescent="0.45">
      <c r="A508" s="618"/>
      <c r="B508" s="631"/>
      <c r="C508" s="285"/>
      <c r="D508" s="221" t="s">
        <v>390</v>
      </c>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c r="AA508" s="218"/>
      <c r="AB508" s="218"/>
      <c r="AC508" s="218"/>
      <c r="AD508" s="218"/>
      <c r="AE508" s="218"/>
      <c r="AF508" s="218"/>
      <c r="AG508" s="218"/>
      <c r="AH508" s="218"/>
      <c r="AI508" s="218"/>
      <c r="AJ508" s="218"/>
      <c r="AK508" s="218"/>
      <c r="AL508" s="218"/>
      <c r="AM508" s="218"/>
      <c r="AN508" s="218"/>
      <c r="AO508" s="218"/>
      <c r="AP508" s="218"/>
      <c r="AQ508" s="218"/>
      <c r="AR508" s="218"/>
      <c r="AS508" s="218"/>
      <c r="AT508" s="218"/>
      <c r="AU508" s="218"/>
      <c r="AV508" s="218"/>
      <c r="AW508" s="218"/>
      <c r="AX508" s="218"/>
      <c r="AY508" s="218"/>
      <c r="AZ508" s="218"/>
      <c r="BA508" s="218"/>
      <c r="BB508" s="218"/>
      <c r="BC508" s="218"/>
      <c r="BD508" s="218"/>
      <c r="BE508" s="218"/>
      <c r="BF508" s="3"/>
    </row>
    <row r="509" spans="1:58" ht="14.25" customHeight="1" x14ac:dyDescent="0.45">
      <c r="A509" s="618"/>
      <c r="B509" s="631"/>
      <c r="C509" s="285"/>
      <c r="D509" s="221" t="s">
        <v>392</v>
      </c>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c r="AA509" s="218"/>
      <c r="AB509" s="218"/>
      <c r="AC509" s="218"/>
      <c r="AD509" s="218"/>
      <c r="AE509" s="218"/>
      <c r="AF509" s="218"/>
      <c r="AG509" s="218"/>
      <c r="AH509" s="218"/>
      <c r="AI509" s="218"/>
      <c r="AJ509" s="218"/>
      <c r="AK509" s="218"/>
      <c r="AL509" s="218"/>
      <c r="AM509" s="218"/>
      <c r="AN509" s="218"/>
      <c r="AO509" s="218"/>
      <c r="AP509" s="218"/>
      <c r="AQ509" s="218"/>
      <c r="AR509" s="218"/>
      <c r="AS509" s="218"/>
      <c r="AT509" s="218"/>
      <c r="AU509" s="218"/>
      <c r="AV509" s="218"/>
      <c r="AW509" s="218"/>
      <c r="AX509" s="218"/>
      <c r="AY509" s="218"/>
      <c r="AZ509" s="218"/>
      <c r="BA509" s="218"/>
      <c r="BB509" s="218"/>
      <c r="BC509" s="218"/>
      <c r="BD509" s="218"/>
      <c r="BE509" s="218"/>
      <c r="BF509" s="3"/>
    </row>
    <row r="510" spans="1:58" ht="14.25" customHeight="1" x14ac:dyDescent="0.45">
      <c r="A510" s="618"/>
      <c r="B510" s="631"/>
      <c r="C510" s="285"/>
      <c r="D510" s="221" t="s">
        <v>394</v>
      </c>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c r="AA510" s="218"/>
      <c r="AB510" s="218"/>
      <c r="AC510" s="218"/>
      <c r="AD510" s="218"/>
      <c r="AE510" s="218"/>
      <c r="AF510" s="218"/>
      <c r="AG510" s="218"/>
      <c r="AH510" s="218"/>
      <c r="AI510" s="218"/>
      <c r="AJ510" s="218"/>
      <c r="AK510" s="218"/>
      <c r="AL510" s="218"/>
      <c r="AM510" s="218"/>
      <c r="AN510" s="218"/>
      <c r="AO510" s="218"/>
      <c r="AP510" s="218"/>
      <c r="AQ510" s="218"/>
      <c r="AR510" s="218"/>
      <c r="AS510" s="218"/>
      <c r="AT510" s="218"/>
      <c r="AU510" s="218"/>
      <c r="AV510" s="218"/>
      <c r="AW510" s="218"/>
      <c r="AX510" s="218"/>
      <c r="AY510" s="218"/>
      <c r="AZ510" s="218"/>
      <c r="BA510" s="218"/>
      <c r="BB510" s="218"/>
      <c r="BC510" s="218"/>
      <c r="BD510" s="218"/>
      <c r="BE510" s="218"/>
      <c r="BF510" s="3"/>
    </row>
    <row r="511" spans="1:58" ht="14.25" customHeight="1" x14ac:dyDescent="0.45">
      <c r="A511" s="618"/>
      <c r="B511" s="631"/>
      <c r="C511" s="285"/>
      <c r="D511" s="221" t="s">
        <v>395</v>
      </c>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c r="AA511" s="218"/>
      <c r="AB511" s="218"/>
      <c r="AC511" s="218"/>
      <c r="AD511" s="218"/>
      <c r="AE511" s="218"/>
      <c r="AF511" s="218"/>
      <c r="AG511" s="218"/>
      <c r="AH511" s="218"/>
      <c r="AI511" s="218"/>
      <c r="AJ511" s="218"/>
      <c r="AK511" s="218"/>
      <c r="AL511" s="218"/>
      <c r="AM511" s="218"/>
      <c r="AN511" s="218"/>
      <c r="AO511" s="218"/>
      <c r="AP511" s="218"/>
      <c r="AQ511" s="218"/>
      <c r="AR511" s="218"/>
      <c r="AS511" s="218"/>
      <c r="AT511" s="218"/>
      <c r="AU511" s="218"/>
      <c r="AV511" s="218"/>
      <c r="AW511" s="218"/>
      <c r="AX511" s="218"/>
      <c r="AY511" s="218"/>
      <c r="AZ511" s="218"/>
      <c r="BA511" s="218"/>
      <c r="BB511" s="218"/>
      <c r="BC511" s="218"/>
      <c r="BD511" s="218"/>
      <c r="BE511" s="218"/>
      <c r="BF511" s="3"/>
    </row>
    <row r="512" spans="1:58" ht="14.25" customHeight="1" x14ac:dyDescent="0.45">
      <c r="A512" s="618"/>
      <c r="B512" s="631"/>
      <c r="C512" s="285"/>
      <c r="D512" s="221" t="s">
        <v>396</v>
      </c>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c r="AA512" s="218"/>
      <c r="AB512" s="218"/>
      <c r="AC512" s="218"/>
      <c r="AD512" s="218"/>
      <c r="AE512" s="218"/>
      <c r="AF512" s="218"/>
      <c r="AG512" s="218"/>
      <c r="AH512" s="218"/>
      <c r="AI512" s="218"/>
      <c r="AJ512" s="218"/>
      <c r="AK512" s="218"/>
      <c r="AL512" s="218"/>
      <c r="AM512" s="218"/>
      <c r="AN512" s="218"/>
      <c r="AO512" s="218"/>
      <c r="AP512" s="218"/>
      <c r="AQ512" s="218"/>
      <c r="AR512" s="218"/>
      <c r="AS512" s="218"/>
      <c r="AT512" s="218"/>
      <c r="AU512" s="218"/>
      <c r="AV512" s="218"/>
      <c r="AW512" s="218"/>
      <c r="AX512" s="218"/>
      <c r="AY512" s="218"/>
      <c r="AZ512" s="218"/>
      <c r="BA512" s="218"/>
      <c r="BB512" s="218"/>
      <c r="BC512" s="218"/>
      <c r="BD512" s="218"/>
      <c r="BE512" s="218"/>
      <c r="BF512" s="3"/>
    </row>
    <row r="513" spans="1:58" ht="14.25" customHeight="1" x14ac:dyDescent="0.45">
      <c r="A513" s="618"/>
      <c r="B513" s="631"/>
      <c r="C513" s="285"/>
      <c r="D513" s="221" t="s">
        <v>397</v>
      </c>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c r="AA513" s="218"/>
      <c r="AB513" s="218"/>
      <c r="AC513" s="218"/>
      <c r="AD513" s="218"/>
      <c r="AE513" s="218"/>
      <c r="AF513" s="218"/>
      <c r="AG513" s="218"/>
      <c r="AH513" s="218"/>
      <c r="AI513" s="218"/>
      <c r="AJ513" s="218"/>
      <c r="AK513" s="218"/>
      <c r="AL513" s="218"/>
      <c r="AM513" s="218"/>
      <c r="AN513" s="218"/>
      <c r="AO513" s="218"/>
      <c r="AP513" s="218"/>
      <c r="AQ513" s="218"/>
      <c r="AR513" s="218"/>
      <c r="AS513" s="218"/>
      <c r="AT513" s="218"/>
      <c r="AU513" s="218"/>
      <c r="AV513" s="218"/>
      <c r="AW513" s="218"/>
      <c r="AX513" s="218"/>
      <c r="AY513" s="218"/>
      <c r="AZ513" s="218"/>
      <c r="BA513" s="218"/>
      <c r="BB513" s="218"/>
      <c r="BC513" s="218"/>
      <c r="BD513" s="218"/>
      <c r="BE513" s="218"/>
      <c r="BF513" s="3"/>
    </row>
    <row r="514" spans="1:58" ht="14.25" customHeight="1" x14ac:dyDescent="0.45">
      <c r="A514" s="618"/>
      <c r="B514" s="631"/>
      <c r="C514" s="285"/>
      <c r="D514" s="221" t="s">
        <v>398</v>
      </c>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c r="AA514" s="218"/>
      <c r="AB514" s="218"/>
      <c r="AC514" s="218"/>
      <c r="AD514" s="218"/>
      <c r="AE514" s="218"/>
      <c r="AF514" s="218"/>
      <c r="AG514" s="218"/>
      <c r="AH514" s="218"/>
      <c r="AI514" s="218"/>
      <c r="AJ514" s="218"/>
      <c r="AK514" s="218"/>
      <c r="AL514" s="218"/>
      <c r="AM514" s="218"/>
      <c r="AN514" s="218"/>
      <c r="AO514" s="218"/>
      <c r="AP514" s="218"/>
      <c r="AQ514" s="218"/>
      <c r="AR514" s="218"/>
      <c r="AS514" s="218"/>
      <c r="AT514" s="218"/>
      <c r="AU514" s="218"/>
      <c r="AV514" s="218"/>
      <c r="AW514" s="218"/>
      <c r="AX514" s="218"/>
      <c r="AY514" s="218"/>
      <c r="AZ514" s="218"/>
      <c r="BA514" s="218"/>
      <c r="BB514" s="218"/>
      <c r="BC514" s="218"/>
      <c r="BD514" s="218"/>
      <c r="BE514" s="218"/>
      <c r="BF514" s="3"/>
    </row>
    <row r="515" spans="1:58" ht="14.25" customHeight="1" x14ac:dyDescent="0.45">
      <c r="A515" s="618"/>
      <c r="B515" s="631"/>
      <c r="C515" s="285"/>
      <c r="D515" s="221" t="s">
        <v>399</v>
      </c>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c r="AA515" s="218"/>
      <c r="AB515" s="218"/>
      <c r="AC515" s="218"/>
      <c r="AD515" s="218"/>
      <c r="AE515" s="218"/>
      <c r="AF515" s="218"/>
      <c r="AG515" s="218"/>
      <c r="AH515" s="218"/>
      <c r="AI515" s="218"/>
      <c r="AJ515" s="218"/>
      <c r="AK515" s="218"/>
      <c r="AL515" s="218"/>
      <c r="AM515" s="218"/>
      <c r="AN515" s="218"/>
      <c r="AO515" s="218"/>
      <c r="AP515" s="218"/>
      <c r="AQ515" s="218"/>
      <c r="AR515" s="218"/>
      <c r="AS515" s="218"/>
      <c r="AT515" s="218"/>
      <c r="AU515" s="218"/>
      <c r="AV515" s="218"/>
      <c r="AW515" s="218"/>
      <c r="AX515" s="218"/>
      <c r="AY515" s="218"/>
      <c r="AZ515" s="218"/>
      <c r="BA515" s="218"/>
      <c r="BB515" s="218"/>
      <c r="BC515" s="218"/>
      <c r="BD515" s="218"/>
      <c r="BE515" s="218"/>
      <c r="BF515" s="3"/>
    </row>
    <row r="516" spans="1:58" ht="14.25" customHeight="1" x14ac:dyDescent="0.45">
      <c r="A516" s="618"/>
      <c r="B516" s="632"/>
      <c r="C516" s="335"/>
      <c r="D516" s="267" t="s">
        <v>400</v>
      </c>
      <c r="E516" s="261">
        <f t="shared" ref="E516:BE516" si="18">SUM(E506:E511)</f>
        <v>0.19700000000000001</v>
      </c>
      <c r="F516" s="261">
        <f t="shared" si="18"/>
        <v>0.20200000000000001</v>
      </c>
      <c r="G516" s="261">
        <f t="shared" si="18"/>
        <v>0.20800000000000002</v>
      </c>
      <c r="H516" s="261">
        <f t="shared" si="18"/>
        <v>0.21400000000000002</v>
      </c>
      <c r="I516" s="261">
        <f t="shared" si="18"/>
        <v>0.21800000000000003</v>
      </c>
      <c r="J516" s="261">
        <f t="shared" si="18"/>
        <v>0.22400000000000003</v>
      </c>
      <c r="K516" s="261">
        <f t="shared" si="18"/>
        <v>0.22899999999999998</v>
      </c>
      <c r="L516" s="261">
        <f t="shared" si="18"/>
        <v>0.23399999999999999</v>
      </c>
      <c r="M516" s="261">
        <f t="shared" si="18"/>
        <v>0.24</v>
      </c>
      <c r="N516" s="261">
        <f t="shared" si="18"/>
        <v>0.245</v>
      </c>
      <c r="O516" s="261">
        <f t="shared" si="18"/>
        <v>0.251</v>
      </c>
      <c r="P516" s="261">
        <f t="shared" si="18"/>
        <v>0.25700000000000001</v>
      </c>
      <c r="Q516" s="261">
        <f t="shared" si="18"/>
        <v>0.26100000000000001</v>
      </c>
      <c r="R516" s="261">
        <f t="shared" si="18"/>
        <v>0.26400000000000001</v>
      </c>
      <c r="S516" s="261">
        <f t="shared" si="18"/>
        <v>0.26600000000000001</v>
      </c>
      <c r="T516" s="261">
        <f t="shared" si="18"/>
        <v>0.26800000000000002</v>
      </c>
      <c r="U516" s="261">
        <f t="shared" si="18"/>
        <v>0.27</v>
      </c>
      <c r="V516" s="261">
        <f t="shared" si="18"/>
        <v>0.27200000000000002</v>
      </c>
      <c r="W516" s="261">
        <f t="shared" si="18"/>
        <v>0.27400000000000002</v>
      </c>
      <c r="X516" s="261">
        <f t="shared" si="18"/>
        <v>0.27699999999999997</v>
      </c>
      <c r="Y516" s="261">
        <f t="shared" si="18"/>
        <v>0.27899999999999997</v>
      </c>
      <c r="Z516" s="261">
        <f t="shared" si="18"/>
        <v>0.28099999999999997</v>
      </c>
      <c r="AA516" s="261">
        <f t="shared" si="18"/>
        <v>0.28299999999999997</v>
      </c>
      <c r="AB516" s="261">
        <f t="shared" si="18"/>
        <v>0.28199999999999997</v>
      </c>
      <c r="AC516" s="261">
        <f t="shared" si="18"/>
        <v>0.28299999999999997</v>
      </c>
      <c r="AD516" s="261">
        <f t="shared" si="18"/>
        <v>0.28299999999999997</v>
      </c>
      <c r="AE516" s="261">
        <f t="shared" si="18"/>
        <v>0.28299999999999997</v>
      </c>
      <c r="AF516" s="261">
        <f t="shared" si="18"/>
        <v>0.28299999999999997</v>
      </c>
      <c r="AG516" s="261">
        <f t="shared" si="18"/>
        <v>0.28399999999999997</v>
      </c>
      <c r="AH516" s="261">
        <f t="shared" si="18"/>
        <v>0.28399999999999997</v>
      </c>
      <c r="AI516" s="261">
        <f t="shared" si="18"/>
        <v>0.28399999999999997</v>
      </c>
      <c r="AJ516" s="261">
        <f t="shared" si="18"/>
        <v>0.28499999999999998</v>
      </c>
      <c r="AK516" s="261">
        <f t="shared" si="18"/>
        <v>0.28499999999999998</v>
      </c>
      <c r="AL516" s="261">
        <f t="shared" si="18"/>
        <v>0.28499999999999998</v>
      </c>
      <c r="AM516" s="261">
        <f t="shared" si="18"/>
        <v>0.28399999999999997</v>
      </c>
      <c r="AN516" s="261">
        <f t="shared" si="18"/>
        <v>0.28499999999999998</v>
      </c>
      <c r="AO516" s="261">
        <f t="shared" si="18"/>
        <v>0.28499999999999998</v>
      </c>
      <c r="AP516" s="261">
        <f t="shared" si="18"/>
        <v>0.28499999999999998</v>
      </c>
      <c r="AQ516" s="261">
        <f t="shared" si="18"/>
        <v>0.28499999999999998</v>
      </c>
      <c r="AR516" s="261">
        <f t="shared" si="18"/>
        <v>0.28599999999999998</v>
      </c>
      <c r="AS516" s="261">
        <f t="shared" si="18"/>
        <v>0.28599999999999998</v>
      </c>
      <c r="AT516" s="261">
        <f t="shared" si="18"/>
        <v>0.28599999999999998</v>
      </c>
      <c r="AU516" s="261">
        <f t="shared" si="18"/>
        <v>0.28499999999999998</v>
      </c>
      <c r="AV516" s="261">
        <f t="shared" si="18"/>
        <v>0.28599999999999998</v>
      </c>
      <c r="AW516" s="261">
        <f t="shared" si="18"/>
        <v>0.28599999999999998</v>
      </c>
      <c r="AX516" s="261">
        <f t="shared" si="18"/>
        <v>0.28599999999999998</v>
      </c>
      <c r="AY516" s="261">
        <f t="shared" si="18"/>
        <v>0.28500000000000003</v>
      </c>
      <c r="AZ516" s="261">
        <f t="shared" si="18"/>
        <v>0.28500000000000003</v>
      </c>
      <c r="BA516" s="261">
        <f t="shared" si="18"/>
        <v>0.28600000000000003</v>
      </c>
      <c r="BB516" s="261">
        <f t="shared" si="18"/>
        <v>0.28600000000000003</v>
      </c>
      <c r="BC516" s="261">
        <f t="shared" si="18"/>
        <v>0.28600000000000003</v>
      </c>
      <c r="BD516" s="261">
        <f t="shared" si="18"/>
        <v>0.28500000000000003</v>
      </c>
      <c r="BE516" s="261">
        <f t="shared" si="18"/>
        <v>0.28500000000000003</v>
      </c>
      <c r="BF516" s="3"/>
    </row>
    <row r="517" spans="1:58" ht="14.25" customHeight="1" x14ac:dyDescent="0.45">
      <c r="A517" s="618"/>
      <c r="B517" s="618"/>
      <c r="C517" s="618"/>
      <c r="D517" s="618" t="s">
        <v>402</v>
      </c>
      <c r="E517" s="24">
        <f t="shared" ref="E517:AK517" si="19">E503+E489</f>
        <v>90.530625930050078</v>
      </c>
      <c r="F517" s="24">
        <f t="shared" si="19"/>
        <v>99.449374270792163</v>
      </c>
      <c r="G517" s="24">
        <f t="shared" si="19"/>
        <v>96.269519916987306</v>
      </c>
      <c r="H517" s="24">
        <f t="shared" si="19"/>
        <v>98.914386152353401</v>
      </c>
      <c r="I517" s="24">
        <f t="shared" si="19"/>
        <v>103.62067746287927</v>
      </c>
      <c r="J517" s="24">
        <f t="shared" si="19"/>
        <v>105.11705000000001</v>
      </c>
      <c r="K517" s="24">
        <f t="shared" si="19"/>
        <v>107.98898750000001</v>
      </c>
      <c r="L517" s="24">
        <f t="shared" si="19"/>
        <v>109.844565</v>
      </c>
      <c r="M517" s="24">
        <f t="shared" si="19"/>
        <v>112.3950325</v>
      </c>
      <c r="N517" s="24">
        <f t="shared" si="19"/>
        <v>114.63067500000001</v>
      </c>
      <c r="O517" s="24">
        <f t="shared" si="19"/>
        <v>114.69688656</v>
      </c>
      <c r="P517" s="24">
        <f t="shared" si="19"/>
        <v>116.35050605528001</v>
      </c>
      <c r="Q517" s="24">
        <f t="shared" si="19"/>
        <v>119.27696322638559</v>
      </c>
      <c r="R517" s="24">
        <f t="shared" si="19"/>
        <v>121.55973557045198</v>
      </c>
      <c r="S517" s="24">
        <f t="shared" si="19"/>
        <v>123.9466233450855</v>
      </c>
      <c r="T517" s="24">
        <f t="shared" si="19"/>
        <v>125.6045405320577</v>
      </c>
      <c r="U517" s="24">
        <f t="shared" si="19"/>
        <v>127.7051249373783</v>
      </c>
      <c r="V517" s="24">
        <f t="shared" si="19"/>
        <v>129.24378456877301</v>
      </c>
      <c r="W517" s="24">
        <f t="shared" si="19"/>
        <v>131.82016571690292</v>
      </c>
      <c r="X517" s="24">
        <f t="shared" si="19"/>
        <v>134.03437477407198</v>
      </c>
      <c r="Y517" s="24">
        <f t="shared" si="19"/>
        <v>136.88984466955341</v>
      </c>
      <c r="Z517" s="24">
        <f t="shared" si="19"/>
        <v>139.79149853629224</v>
      </c>
      <c r="AA517" s="24">
        <f t="shared" si="19"/>
        <v>143.07043419238101</v>
      </c>
      <c r="AB517" s="24">
        <f t="shared" si="19"/>
        <v>145.86968328138292</v>
      </c>
      <c r="AC517" s="24">
        <f t="shared" si="19"/>
        <v>149.10481286341749</v>
      </c>
      <c r="AD517" s="24">
        <f t="shared" si="19"/>
        <v>151.62977693500289</v>
      </c>
      <c r="AE517" s="24">
        <f t="shared" si="19"/>
        <v>154.67991182144297</v>
      </c>
      <c r="AF517" s="24">
        <f t="shared" si="19"/>
        <v>157.31352600333616</v>
      </c>
      <c r="AG517" s="24">
        <f t="shared" si="19"/>
        <v>160.50400547141291</v>
      </c>
      <c r="AH517" s="24">
        <f t="shared" si="19"/>
        <v>162.98296630348409</v>
      </c>
      <c r="AI517" s="24">
        <f t="shared" si="19"/>
        <v>165.67014265542937</v>
      </c>
      <c r="AJ517" s="24">
        <f t="shared" si="19"/>
        <v>167.98889660588253</v>
      </c>
      <c r="AK517" s="24">
        <f t="shared" si="19"/>
        <v>170.51973032515312</v>
      </c>
      <c r="AL517" s="618"/>
      <c r="AM517" s="3"/>
      <c r="AN517" s="3"/>
      <c r="AO517" s="3"/>
      <c r="AP517" s="3"/>
      <c r="AQ517" s="3"/>
      <c r="AR517" s="3"/>
      <c r="AS517" s="3"/>
      <c r="AT517" s="3"/>
      <c r="AU517" s="3"/>
      <c r="AV517" s="3"/>
      <c r="AW517" s="3"/>
      <c r="AX517" s="3"/>
      <c r="AY517" s="3"/>
      <c r="AZ517" s="3"/>
      <c r="BA517" s="3"/>
      <c r="BB517" s="3"/>
      <c r="BC517" s="3"/>
      <c r="BD517" s="3"/>
      <c r="BE517" s="3"/>
      <c r="BF517" s="3"/>
    </row>
    <row r="518" spans="1:58" ht="14.25" customHeight="1" x14ac:dyDescent="0.45">
      <c r="A518" s="618"/>
      <c r="B518" s="618"/>
      <c r="C518" s="618"/>
      <c r="D518" s="618" t="s">
        <v>403</v>
      </c>
      <c r="E518" s="24">
        <f>(E503+E489-'Calculos electricidad'!E287)*E481*E485-E488+'Calculos electricidad'!E287</f>
        <v>103.02648944811527</v>
      </c>
      <c r="F518" s="24">
        <f>(F503+F489-'Calculos electricidad'!F287)*F481*F485-F488+'Calculos electricidad'!F287</f>
        <v>114.66403251317246</v>
      </c>
      <c r="G518" s="24">
        <f>(G503+G489-'Calculos electricidad'!G287)*G481*G485-G488+'Calculos electricidad'!G287</f>
        <v>110.67303800537817</v>
      </c>
      <c r="H518" s="24">
        <f>(H503+H489-'Calculos electricidad'!H287)*H481*H485-H488+'Calculos electricidad'!H287</f>
        <v>113.49516615553549</v>
      </c>
      <c r="I518" s="24">
        <f>(I503+I489-'Calculos electricidad'!I287)*I481*I485-I488+'Calculos electricidad'!I287</f>
        <v>119.77403210576084</v>
      </c>
      <c r="J518" s="24">
        <f>(J503+J489-'Calculos electricidad'!J287)*J481*J485-J488+'Calculos electricidad'!J287</f>
        <v>121.5456068136718</v>
      </c>
      <c r="K518" s="24">
        <f>(K503+K489-'Calculos electricidad'!K287)*K481*K485-K488+'Calculos electricidad'!K287</f>
        <v>124.94683115791327</v>
      </c>
      <c r="L518" s="24">
        <f>(L503+L489-'Calculos electricidad'!L287)*L481*L485-L488+'Calculos electricidad'!L287</f>
        <v>127.14393012621611</v>
      </c>
      <c r="M518" s="24">
        <f>(M503+M489-'Calculos electricidad'!M287)*M481*M485-M488+'Calculos electricidad'!M287</f>
        <v>130.16295455412919</v>
      </c>
      <c r="N518" s="24">
        <f>(N503+N489-'Calculos electricidad'!N287)*N481*N485-N488+'Calculos electricidad'!N287</f>
        <v>132.80898937471983</v>
      </c>
      <c r="O518" s="24">
        <f>(O503+O489-'Calculos electricidad'!O287)*O481*O485-O488+'Calculos electricidad'!O287</f>
        <v>132.88484368136582</v>
      </c>
      <c r="P518" s="24">
        <f>(P503+P489-'Calculos electricidad'!P287)*P481*P485-P488+'Calculos electricidad'!P287</f>
        <v>134.84131341684767</v>
      </c>
      <c r="Q518" s="24">
        <f>(Q503+Q489-'Calculos electricidad'!Q287)*Q481*Q485-Q488+'Calculos electricidad'!Q287</f>
        <v>138.30571014300997</v>
      </c>
      <c r="R518" s="24">
        <f>(R503+R489-'Calculos electricidad'!R287)*R481*R485-R488+'Calculos electricidad'!R287</f>
        <v>141.0081058823564</v>
      </c>
      <c r="S518" s="24">
        <f>(S503+S489-'Calculos electricidad'!S287)*S481*S485-S488+'Calculos electricidad'!S287</f>
        <v>143.83383657488955</v>
      </c>
      <c r="T518" s="24">
        <f>(T503+T489-'Calculos electricidad'!T287)*T481*T485-T488+'Calculos electricidad'!T287</f>
        <v>145.79592749498528</v>
      </c>
      <c r="U518" s="24">
        <f>(U503+U489-'Calculos electricidad'!U287)*U481*U485-U488+'Calculos electricidad'!U287</f>
        <v>148.28244250601122</v>
      </c>
      <c r="V518" s="24">
        <f>(V503+V489-'Calculos electricidad'!V287)*V481*V485-V488+'Calculos electricidad'!V287</f>
        <v>150.10322904634299</v>
      </c>
      <c r="W518" s="24">
        <f>(W503+W489-'Calculos electricidad'!W287)*W481*W485-W488+'Calculos electricidad'!W287</f>
        <v>153.15341140977247</v>
      </c>
      <c r="X518" s="24">
        <f>(X503+X489-'Calculos electricidad'!X287)*X481*X485-X488+'Calculos electricidad'!X287</f>
        <v>155.77451958874798</v>
      </c>
      <c r="Y518" s="24">
        <f>(Y503+Y489-'Calculos electricidad'!Y287)*Y481*Y485-Y488+'Calculos electricidad'!Y287</f>
        <v>159.15533157970023</v>
      </c>
      <c r="Z518" s="24">
        <f>(Z503+Z489-'Calculos electricidad'!Z287)*Z481*Z485-Z488+'Calculos electricidad'!Z287</f>
        <v>162.59084852773276</v>
      </c>
      <c r="AA518" s="24">
        <f>(AA503+AA489-'Calculos electricidad'!AA287)*AA481*AA485-AA488+'Calculos electricidad'!AA287</f>
        <v>166.47334074020523</v>
      </c>
      <c r="AB518" s="24">
        <f>(AB503+AB489-'Calculos electricidad'!AB287)*AB481*AB485-AB488+'Calculos electricidad'!AB287</f>
        <v>169.78784298746305</v>
      </c>
      <c r="AC518" s="24">
        <f>(AC503+AC489-'Calculos electricidad'!AC287)*AC481*AC485-AC488+'Calculos electricidad'!AC287</f>
        <v>173.61875181795301</v>
      </c>
      <c r="AD518" s="24">
        <f>(AD503+AD489-'Calculos electricidad'!AD287)*AD481*AD485-AD488+'Calculos electricidad'!AD287</f>
        <v>176.60831604763649</v>
      </c>
      <c r="AE518" s="24">
        <f>(AE503+AE489-'Calculos electricidad'!AE287)*AE481*AE485-AE488+'Calculos electricidad'!AE287</f>
        <v>180.22007933005747</v>
      </c>
      <c r="AF518" s="24">
        <f>(AF503+AF489-'Calculos electricidad'!AF287)*AF481*AF485-AF488+'Calculos electricidad'!AF287</f>
        <v>183.33840293604183</v>
      </c>
      <c r="AG518" s="24">
        <f>(AG503+AG489-'Calculos electricidad'!AG287)*AG481*AG485-AG488+'Calculos electricidad'!AG287</f>
        <v>187.11647529125867</v>
      </c>
      <c r="AH518" s="24">
        <f>(AH503+AH489-'Calculos electricidad'!AH287)*AH481*AH485-AH488+'Calculos electricidad'!AH287</f>
        <v>190.05162728169066</v>
      </c>
      <c r="AI518" s="24">
        <f>(AI503+AI489-'Calculos electricidad'!AI287)*AI481*AI485-AI488+'Calculos electricidad'!AI287</f>
        <v>193.23348357603723</v>
      </c>
      <c r="AJ518" s="24">
        <f>(AJ503+AJ489-'Calculos electricidad'!AJ287)*AJ481*AJ485-AJ488+'Calculos electricidad'!AJ287</f>
        <v>195.97888580443833</v>
      </c>
      <c r="AK518" s="24">
        <f>(AK503+AK489-'Calculos electricidad'!AK287)*AK481*AK485-AK488+'Calculos electricidad'!AK287</f>
        <v>198.97557194780464</v>
      </c>
      <c r="AL518" s="24">
        <f>(AL503+AL489-'Calculos electricidad'!AL287)*AL481*AL485-AL488+'Calculos electricidad'!AL287</f>
        <v>202.16723653914875</v>
      </c>
      <c r="AM518" s="24">
        <f>(AM503+AM489-'Calculos electricidad'!AM287)*AM481*AM485-AM488+'Calculos electricidad'!AM287</f>
        <v>205.25665645978808</v>
      </c>
      <c r="AN518" s="24">
        <f>(AN503+AN489-'Calculos electricidad'!AN287)*AN481*AN485-AN488+'Calculos electricidad'!AN287</f>
        <v>208.24828959907788</v>
      </c>
      <c r="AO518" s="24">
        <f>(AO503+AO489-'Calculos electricidad'!AO287)*AO481*AO485-AO488+'Calculos electricidad'!AO287</f>
        <v>211.90848401185184</v>
      </c>
      <c r="AP518" s="24">
        <f>(AP503+AP489-'Calculos electricidad'!AP287)*AP481*AP485-AP488+'Calculos electricidad'!AP287</f>
        <v>215.63774205440933</v>
      </c>
      <c r="AQ518" s="24">
        <f>(AQ503+AQ489-'Calculos electricidad'!AQ287)*AQ481*AQ485-AQ488+'Calculos electricidad'!AQ287</f>
        <v>219.56594118152216</v>
      </c>
      <c r="AR518" s="24">
        <f>(AR503+AR489-'Calculos electricidad'!AR287)*AR481*AR485-AR488+'Calculos electricidad'!AR287</f>
        <v>223.4035761692675</v>
      </c>
      <c r="AS518" s="24">
        <f>(AS503+AS489-'Calculos electricidad'!AS287)*AS481*AS485-AS488+'Calculos electricidad'!AS287</f>
        <v>227.14083583892531</v>
      </c>
      <c r="AT518" s="24">
        <f>(AT503+AT489-'Calculos electricidad'!AT287)*AT481*AT485-AT488+'Calculos electricidad'!AT287</f>
        <v>231.0306682695167</v>
      </c>
      <c r="AU518" s="24">
        <f>(AU503+AU489-'Calculos electricidad'!AU287)*AU481*AU485-AU488+'Calculos electricidad'!AU287</f>
        <v>234.89790898178418</v>
      </c>
      <c r="AV518" s="24">
        <f>(AV503+AV489-'Calculos electricidad'!AV287)*AV481*AV485-AV488+'Calculos electricidad'!AV287</f>
        <v>238.82083135012925</v>
      </c>
      <c r="AW518" s="24">
        <f>(AW503+AW489-'Calculos electricidad'!AW287)*AW481*AW485-AW488+'Calculos electricidad'!AW287</f>
        <v>242.93267784405887</v>
      </c>
      <c r="AX518" s="24">
        <f>(AX503+AX489-'Calculos electricidad'!AX287)*AX481*AX485-AX488+'Calculos electricidad'!AX287</f>
        <v>246.97987692990495</v>
      </c>
      <c r="AY518" s="24">
        <f>(AY503+AY489-'Calculos electricidad'!AY287)*AY481*AY485-AY488+'Calculos electricidad'!AY287</f>
        <v>251.13228809223588</v>
      </c>
      <c r="AZ518" s="24">
        <f>(AZ503+AZ489-'Calculos electricidad'!AZ287)*AZ481*AZ485-AZ488+'Calculos electricidad'!AZ287</f>
        <v>255.46144960673053</v>
      </c>
      <c r="BA518" s="24">
        <f>(BA503+BA489-'Calculos electricidad'!BA287)*BA481*BA485-BA488+'Calculos electricidad'!BA287</f>
        <v>259.87697692394983</v>
      </c>
      <c r="BB518" s="24">
        <f>(BB503+BB489-'Calculos electricidad'!BB287)*BB481*BB485-BB488+'Calculos electricidad'!BB287</f>
        <v>264.34522410702988</v>
      </c>
      <c r="BC518" s="24">
        <f>(BC503+BC489-'Calculos electricidad'!BC287)*BC481*BC485-BC488+'Calculos electricidad'!BC287</f>
        <v>269.01593926933703</v>
      </c>
      <c r="BD518" s="24">
        <f>(BD503+BD489-'Calculos electricidad'!BD287)*BD481*BD485-BD488+'Calculos electricidad'!BD287</f>
        <v>273.75856669811031</v>
      </c>
      <c r="BE518" s="24">
        <f>(BE503+BE489-'Calculos electricidad'!BE287)*BE481*BE485-BE488+'Calculos electricidad'!BE287</f>
        <v>278.56765669935083</v>
      </c>
      <c r="BF518" s="3"/>
    </row>
    <row r="519" spans="1:58" ht="14.25" customHeight="1" x14ac:dyDescent="0.45">
      <c r="A519" s="618"/>
      <c r="B519" s="618"/>
      <c r="C519" s="618"/>
      <c r="D519" s="618"/>
      <c r="E519" s="618"/>
      <c r="F519" s="618"/>
      <c r="G519" s="618"/>
      <c r="H519" s="618"/>
      <c r="I519" s="618"/>
      <c r="J519" s="618"/>
      <c r="K519" s="618"/>
      <c r="L519" s="618"/>
      <c r="M519" s="618"/>
      <c r="N519" s="618"/>
      <c r="O519" s="618"/>
      <c r="P519" s="618"/>
      <c r="Q519" s="618"/>
      <c r="R519" s="618"/>
      <c r="S519" s="618"/>
      <c r="T519" s="618"/>
      <c r="U519" s="618"/>
      <c r="V519" s="618"/>
      <c r="W519" s="618"/>
      <c r="X519" s="618"/>
      <c r="Y519" s="618"/>
      <c r="Z519" s="618"/>
      <c r="AA519" s="618"/>
      <c r="AB519" s="618"/>
      <c r="AC519" s="618"/>
      <c r="AD519" s="618"/>
      <c r="AE519" s="618"/>
      <c r="AF519" s="618"/>
      <c r="AG519" s="618"/>
      <c r="AH519" s="618"/>
      <c r="AI519" s="618"/>
      <c r="AJ519" s="618"/>
      <c r="AK519" s="618"/>
      <c r="AL519" s="618"/>
      <c r="AM519" s="3"/>
      <c r="AN519" s="3"/>
      <c r="AO519" s="3"/>
      <c r="AP519" s="3"/>
      <c r="AQ519" s="3"/>
      <c r="AR519" s="3"/>
      <c r="AS519" s="3"/>
      <c r="AT519" s="3"/>
      <c r="AU519" s="3"/>
      <c r="AV519" s="3"/>
      <c r="AW519" s="3"/>
      <c r="AX519" s="3"/>
      <c r="AY519" s="3"/>
      <c r="AZ519" s="3"/>
      <c r="BA519" s="3"/>
      <c r="BB519" s="3"/>
      <c r="BC519" s="3"/>
      <c r="BD519" s="3"/>
      <c r="BE519" s="3"/>
      <c r="BF519" s="3"/>
    </row>
    <row r="520" spans="1:58" ht="14.25" customHeight="1" x14ac:dyDescent="0.45">
      <c r="A520" s="1"/>
      <c r="B520" s="50"/>
      <c r="C520" s="211"/>
      <c r="D520" s="336" t="s">
        <v>404</v>
      </c>
      <c r="E520" s="337"/>
      <c r="F520" s="338"/>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618"/>
      <c r="AM520" s="3"/>
      <c r="AN520" s="3"/>
      <c r="AO520" s="3"/>
      <c r="AP520" s="3"/>
      <c r="AQ520" s="3"/>
      <c r="AR520" s="3"/>
      <c r="AS520" s="3"/>
      <c r="AT520" s="3"/>
      <c r="AU520" s="3"/>
      <c r="AV520" s="3"/>
      <c r="AW520" s="3"/>
      <c r="AX520" s="3"/>
      <c r="AY520" s="3"/>
      <c r="AZ520" s="3"/>
      <c r="BA520" s="3"/>
      <c r="BB520" s="3"/>
      <c r="BC520" s="3"/>
      <c r="BD520" s="3"/>
      <c r="BE520" s="3"/>
      <c r="BF520" s="3"/>
    </row>
    <row r="521" spans="1:58" ht="14.25" customHeight="1" x14ac:dyDescent="0.45">
      <c r="A521" s="1"/>
      <c r="B521" s="339"/>
      <c r="C521" s="220"/>
      <c r="D521" s="340" t="s">
        <v>271</v>
      </c>
      <c r="E521" s="340">
        <v>48</v>
      </c>
      <c r="F521" s="341">
        <f t="shared" ref="F521:F526" si="20">2018+E521</f>
        <v>2066</v>
      </c>
      <c r="G521" s="3"/>
      <c r="H521" s="3"/>
      <c r="I521" s="3"/>
      <c r="J521" s="3"/>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3"/>
      <c r="AN521" s="3"/>
      <c r="AO521" s="3"/>
      <c r="AP521" s="3"/>
      <c r="AQ521" s="3"/>
      <c r="AR521" s="3"/>
      <c r="AS521" s="3"/>
      <c r="AT521" s="3"/>
      <c r="AU521" s="3"/>
      <c r="AV521" s="3"/>
      <c r="AW521" s="3"/>
      <c r="AX521" s="3"/>
      <c r="AY521" s="3"/>
      <c r="AZ521" s="3"/>
      <c r="BA521" s="3"/>
      <c r="BB521" s="3"/>
      <c r="BC521" s="3"/>
      <c r="BD521" s="3"/>
      <c r="BE521" s="3"/>
      <c r="BF521" s="3"/>
    </row>
    <row r="522" spans="1:58" ht="14.25" customHeight="1" x14ac:dyDescent="0.45">
      <c r="A522" s="1"/>
      <c r="B522" s="339"/>
      <c r="C522" s="220"/>
      <c r="D522" s="340" t="s">
        <v>405</v>
      </c>
      <c r="E522" s="340">
        <v>36</v>
      </c>
      <c r="F522" s="341">
        <f t="shared" si="20"/>
        <v>2054</v>
      </c>
      <c r="G522" s="3"/>
      <c r="H522" s="3"/>
      <c r="I522" s="3"/>
      <c r="J522" s="3"/>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3"/>
      <c r="AN522" s="3"/>
      <c r="AO522" s="3"/>
      <c r="AP522" s="3"/>
      <c r="AQ522" s="3"/>
      <c r="AR522" s="3"/>
      <c r="AS522" s="3"/>
      <c r="AT522" s="3"/>
      <c r="AU522" s="3"/>
      <c r="AV522" s="3"/>
      <c r="AW522" s="3"/>
      <c r="AX522" s="3"/>
      <c r="AY522" s="3"/>
      <c r="AZ522" s="3"/>
      <c r="BA522" s="3"/>
      <c r="BB522" s="3"/>
      <c r="BC522" s="3"/>
      <c r="BD522" s="3"/>
      <c r="BE522" s="3"/>
      <c r="BF522" s="3"/>
    </row>
    <row r="523" spans="1:58" ht="14.25" customHeight="1" x14ac:dyDescent="0.45">
      <c r="A523" s="1"/>
      <c r="B523" s="339"/>
      <c r="C523" s="220"/>
      <c r="D523" s="340" t="s">
        <v>406</v>
      </c>
      <c r="E523" s="340">
        <v>27</v>
      </c>
      <c r="F523" s="341">
        <f t="shared" si="20"/>
        <v>2045</v>
      </c>
      <c r="G523" s="3"/>
      <c r="H523" s="3"/>
      <c r="I523" s="3"/>
      <c r="J523" s="3"/>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3"/>
      <c r="AN523" s="3"/>
      <c r="AO523" s="3"/>
      <c r="AP523" s="3"/>
      <c r="AQ523" s="3"/>
      <c r="AR523" s="3"/>
      <c r="AS523" s="3"/>
      <c r="AT523" s="3"/>
      <c r="AU523" s="3"/>
      <c r="AV523" s="3"/>
      <c r="AW523" s="3"/>
      <c r="AX523" s="3"/>
      <c r="AY523" s="3"/>
      <c r="AZ523" s="3"/>
      <c r="BA523" s="3"/>
      <c r="BB523" s="3"/>
      <c r="BC523" s="3"/>
      <c r="BD523" s="3"/>
      <c r="BE523" s="3"/>
      <c r="BF523" s="3"/>
    </row>
    <row r="524" spans="1:58" ht="14.25" customHeight="1" x14ac:dyDescent="0.45">
      <c r="A524" s="1"/>
      <c r="B524" s="339"/>
      <c r="C524" s="220"/>
      <c r="D524" s="340" t="s">
        <v>407</v>
      </c>
      <c r="E524" s="340">
        <v>35</v>
      </c>
      <c r="F524" s="341">
        <f t="shared" si="20"/>
        <v>2053</v>
      </c>
      <c r="G524" s="3"/>
      <c r="H524" s="3"/>
      <c r="I524" s="3"/>
      <c r="J524" s="3"/>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3"/>
      <c r="AN524" s="3"/>
      <c r="AO524" s="3"/>
      <c r="AP524" s="3"/>
      <c r="AQ524" s="3"/>
      <c r="AR524" s="3"/>
      <c r="AS524" s="3"/>
      <c r="AT524" s="3"/>
      <c r="AU524" s="3"/>
      <c r="AV524" s="3"/>
      <c r="AW524" s="3"/>
      <c r="AX524" s="3"/>
      <c r="AY524" s="3"/>
      <c r="AZ524" s="3"/>
      <c r="BA524" s="3"/>
      <c r="BB524" s="3"/>
      <c r="BC524" s="3"/>
      <c r="BD524" s="3"/>
      <c r="BE524" s="3"/>
      <c r="BF524" s="3"/>
    </row>
    <row r="525" spans="1:58" ht="14.25" customHeight="1" x14ac:dyDescent="0.45">
      <c r="A525" s="1"/>
      <c r="B525" s="339"/>
      <c r="C525" s="220"/>
      <c r="D525" s="340" t="s">
        <v>408</v>
      </c>
      <c r="E525" s="340">
        <v>23</v>
      </c>
      <c r="F525" s="341">
        <f t="shared" si="20"/>
        <v>2041</v>
      </c>
      <c r="G525" s="3"/>
      <c r="H525" s="3"/>
      <c r="I525" s="3"/>
      <c r="J525" s="3"/>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3"/>
      <c r="AN525" s="3"/>
      <c r="AO525" s="3"/>
      <c r="AP525" s="3"/>
      <c r="AQ525" s="3"/>
      <c r="AR525" s="3"/>
      <c r="AS525" s="3"/>
      <c r="AT525" s="3"/>
      <c r="AU525" s="3"/>
      <c r="AV525" s="3"/>
      <c r="AW525" s="3"/>
      <c r="AX525" s="3"/>
      <c r="AY525" s="3"/>
      <c r="AZ525" s="3"/>
      <c r="BA525" s="3"/>
      <c r="BB525" s="3"/>
      <c r="BC525" s="3"/>
      <c r="BD525" s="3"/>
      <c r="BE525" s="3"/>
      <c r="BF525" s="3"/>
    </row>
    <row r="526" spans="1:58" ht="14.25" customHeight="1" x14ac:dyDescent="0.45">
      <c r="A526" s="1"/>
      <c r="B526" s="339"/>
      <c r="C526" s="220"/>
      <c r="D526" s="340" t="s">
        <v>409</v>
      </c>
      <c r="E526" s="340">
        <v>23</v>
      </c>
      <c r="F526" s="341">
        <f t="shared" si="20"/>
        <v>2041</v>
      </c>
      <c r="G526" s="3"/>
      <c r="H526" s="3"/>
      <c r="I526" s="3"/>
      <c r="J526" s="3"/>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3"/>
      <c r="AN526" s="3"/>
      <c r="AO526" s="3"/>
      <c r="AP526" s="3"/>
      <c r="AQ526" s="3"/>
      <c r="AR526" s="3"/>
      <c r="AS526" s="3"/>
      <c r="AT526" s="3"/>
      <c r="AU526" s="3"/>
      <c r="AV526" s="3"/>
      <c r="AW526" s="3"/>
      <c r="AX526" s="3"/>
      <c r="AY526" s="3"/>
      <c r="AZ526" s="3"/>
      <c r="BA526" s="3"/>
      <c r="BB526" s="3"/>
      <c r="BC526" s="3"/>
      <c r="BD526" s="3"/>
      <c r="BE526" s="3"/>
      <c r="BF526" s="3"/>
    </row>
    <row r="527" spans="1:58" ht="14.25" customHeight="1" x14ac:dyDescent="0.45">
      <c r="A527" s="1"/>
      <c r="B527" s="342"/>
      <c r="C527" s="259"/>
      <c r="D527" s="343"/>
      <c r="E527" s="344"/>
      <c r="F527" s="345"/>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3"/>
      <c r="AN527" s="3"/>
      <c r="AO527" s="3"/>
      <c r="AP527" s="3"/>
      <c r="AQ527" s="3"/>
      <c r="AR527" s="3"/>
      <c r="AS527" s="3"/>
      <c r="AT527" s="3"/>
      <c r="AU527" s="3"/>
      <c r="AV527" s="3"/>
      <c r="AW527" s="3"/>
      <c r="AX527" s="3"/>
      <c r="AY527" s="3"/>
      <c r="AZ527" s="3"/>
      <c r="BA527" s="3"/>
      <c r="BB527" s="3"/>
      <c r="BC527" s="3"/>
      <c r="BD527" s="3"/>
      <c r="BE527" s="3"/>
      <c r="BF527" s="3"/>
    </row>
    <row r="528" spans="1:58" ht="14.25" customHeight="1" x14ac:dyDescent="0.45">
      <c r="A528" s="5"/>
      <c r="B528" s="5"/>
      <c r="C528" s="5"/>
      <c r="D528" s="5"/>
      <c r="E528" s="24"/>
      <c r="F528" s="24"/>
      <c r="G528" s="24"/>
      <c r="H528" s="25"/>
      <c r="I528" s="618"/>
      <c r="J528" s="618"/>
      <c r="K528" s="618"/>
      <c r="L528" s="618"/>
      <c r="M528" s="618"/>
      <c r="N528" s="618"/>
      <c r="O528" s="618"/>
      <c r="P528" s="618"/>
      <c r="Q528" s="618"/>
      <c r="R528" s="618"/>
      <c r="S528" s="618"/>
      <c r="T528" s="618"/>
      <c r="U528" s="618"/>
      <c r="V528" s="618"/>
      <c r="W528" s="618"/>
      <c r="X528" s="618"/>
      <c r="Y528" s="618"/>
      <c r="Z528" s="618"/>
      <c r="AA528" s="618"/>
      <c r="AB528" s="618"/>
      <c r="AC528" s="618"/>
      <c r="AD528" s="618"/>
      <c r="AE528" s="618"/>
      <c r="AF528" s="618"/>
      <c r="AG528" s="618"/>
      <c r="AH528" s="618"/>
      <c r="AI528" s="618"/>
      <c r="AJ528" s="618"/>
      <c r="AK528" s="618"/>
      <c r="AL528" s="618"/>
      <c r="AM528" s="3"/>
      <c r="AN528" s="3"/>
      <c r="AO528" s="3"/>
      <c r="AP528" s="3"/>
      <c r="AQ528" s="3"/>
      <c r="AR528" s="3"/>
      <c r="AS528" s="3"/>
      <c r="AT528" s="3"/>
      <c r="AU528" s="3"/>
      <c r="AV528" s="3"/>
      <c r="AW528" s="3"/>
      <c r="AX528" s="3"/>
      <c r="AY528" s="3"/>
      <c r="AZ528" s="3"/>
      <c r="BA528" s="3"/>
      <c r="BB528" s="3"/>
      <c r="BC528" s="3"/>
      <c r="BD528" s="3"/>
      <c r="BE528" s="3"/>
      <c r="BF528" s="3"/>
    </row>
    <row r="529" spans="1:58" ht="14.25" customHeight="1" x14ac:dyDescent="0.45">
      <c r="A529" s="618"/>
      <c r="B529" s="215"/>
      <c r="C529" s="220"/>
      <c r="D529" s="243" t="s">
        <v>410</v>
      </c>
      <c r="E529" s="243">
        <v>8760</v>
      </c>
      <c r="F529" s="243">
        <v>0.99</v>
      </c>
      <c r="G529" s="243">
        <v>0.95</v>
      </c>
      <c r="H529" s="305"/>
      <c r="I529" s="618"/>
      <c r="J529" s="618"/>
      <c r="K529" s="618"/>
      <c r="L529" s="618"/>
      <c r="M529" s="618"/>
      <c r="N529" s="618"/>
      <c r="O529" s="618"/>
      <c r="P529" s="618"/>
      <c r="Q529" s="618"/>
      <c r="R529" s="618"/>
      <c r="S529" s="618"/>
      <c r="T529" s="618"/>
      <c r="U529" s="618"/>
      <c r="V529" s="618"/>
      <c r="W529" s="618"/>
      <c r="X529" s="618"/>
      <c r="Y529" s="618"/>
      <c r="Z529" s="618"/>
      <c r="AA529" s="618"/>
      <c r="AB529" s="618"/>
      <c r="AC529" s="618"/>
      <c r="AD529" s="618"/>
      <c r="AE529" s="618"/>
      <c r="AF529" s="618"/>
      <c r="AG529" s="618"/>
      <c r="AH529" s="618"/>
      <c r="AI529" s="618"/>
      <c r="AJ529" s="618"/>
      <c r="AK529" s="618"/>
      <c r="AL529" s="618"/>
      <c r="AM529" s="3"/>
      <c r="AN529" s="3"/>
      <c r="AO529" s="3"/>
      <c r="AP529" s="3"/>
      <c r="AQ529" s="3"/>
      <c r="AR529" s="3"/>
      <c r="AS529" s="3"/>
      <c r="AT529" s="3"/>
      <c r="AU529" s="3"/>
      <c r="AV529" s="3"/>
      <c r="AW529" s="3"/>
      <c r="AX529" s="3"/>
      <c r="AY529" s="3"/>
      <c r="AZ529" s="3"/>
      <c r="BA529" s="3"/>
      <c r="BB529" s="3"/>
      <c r="BC529" s="3"/>
      <c r="BD529" s="3"/>
      <c r="BE529" s="3"/>
      <c r="BF529" s="3"/>
    </row>
    <row r="530" spans="1:58" ht="14.25" customHeight="1" x14ac:dyDescent="0.45">
      <c r="A530" s="618"/>
      <c r="B530" s="215"/>
      <c r="C530" s="220"/>
      <c r="D530" s="224" t="s">
        <v>339</v>
      </c>
      <c r="E530" s="346">
        <f t="shared" ref="E530:H549" si="21">ROUND($F$529*$E$529*0.0036*E350*E6*$G$529,4)</f>
        <v>1.3623000000000001</v>
      </c>
      <c r="F530" s="346">
        <f t="shared" si="21"/>
        <v>1.4731000000000001</v>
      </c>
      <c r="G530" s="346">
        <f t="shared" si="21"/>
        <v>1.5194000000000001</v>
      </c>
      <c r="H530" s="346">
        <f t="shared" si="21"/>
        <v>1.3275999999999999</v>
      </c>
      <c r="I530" s="618"/>
      <c r="J530" s="618"/>
      <c r="K530" s="618"/>
      <c r="L530" s="618"/>
      <c r="M530" s="618"/>
      <c r="N530" s="618"/>
      <c r="O530" s="618"/>
      <c r="P530" s="618"/>
      <c r="Q530" s="618"/>
      <c r="R530" s="618"/>
      <c r="S530" s="618"/>
      <c r="T530" s="618"/>
      <c r="U530" s="618"/>
      <c r="V530" s="618"/>
      <c r="W530" s="618"/>
      <c r="X530" s="618"/>
      <c r="Y530" s="618"/>
      <c r="Z530" s="618"/>
      <c r="AA530" s="618"/>
      <c r="AB530" s="618"/>
      <c r="AC530" s="618"/>
      <c r="AD530" s="618"/>
      <c r="AE530" s="618"/>
      <c r="AF530" s="618"/>
      <c r="AG530" s="618"/>
      <c r="AH530" s="618"/>
      <c r="AI530" s="618"/>
      <c r="AJ530" s="618"/>
      <c r="AK530" s="618"/>
      <c r="AL530" s="618"/>
      <c r="AM530" s="3"/>
      <c r="AN530" s="3"/>
      <c r="AO530" s="3"/>
      <c r="AP530" s="3"/>
      <c r="AQ530" s="3"/>
      <c r="AR530" s="3"/>
      <c r="AS530" s="3"/>
      <c r="AT530" s="3"/>
      <c r="AU530" s="3"/>
      <c r="AV530" s="3"/>
      <c r="AW530" s="3"/>
      <c r="AX530" s="3"/>
      <c r="AY530" s="3"/>
      <c r="AZ530" s="3"/>
      <c r="BA530" s="3"/>
      <c r="BB530" s="3"/>
      <c r="BC530" s="3"/>
      <c r="BD530" s="3"/>
      <c r="BE530" s="3"/>
      <c r="BF530" s="3"/>
    </row>
    <row r="531" spans="1:58" ht="14.25" customHeight="1" x14ac:dyDescent="0.45">
      <c r="A531" s="618"/>
      <c r="B531" s="215"/>
      <c r="C531" s="220"/>
      <c r="D531" s="228" t="s">
        <v>167</v>
      </c>
      <c r="E531" s="312">
        <f t="shared" si="21"/>
        <v>0</v>
      </c>
      <c r="F531" s="312">
        <f t="shared" si="21"/>
        <v>0</v>
      </c>
      <c r="G531" s="312">
        <f t="shared" si="21"/>
        <v>0</v>
      </c>
      <c r="H531" s="312">
        <f t="shared" si="21"/>
        <v>0</v>
      </c>
      <c r="I531" s="618"/>
      <c r="J531" s="618"/>
      <c r="K531" s="618"/>
      <c r="L531" s="618"/>
      <c r="M531" s="618"/>
      <c r="N531" s="618"/>
      <c r="O531" s="618"/>
      <c r="P531" s="618"/>
      <c r="Q531" s="618"/>
      <c r="R531" s="618"/>
      <c r="S531" s="618"/>
      <c r="T531" s="618"/>
      <c r="U531" s="618"/>
      <c r="V531" s="618"/>
      <c r="W531" s="618"/>
      <c r="X531" s="618"/>
      <c r="Y531" s="618"/>
      <c r="Z531" s="618"/>
      <c r="AA531" s="618"/>
      <c r="AB531" s="618"/>
      <c r="AC531" s="618"/>
      <c r="AD531" s="618"/>
      <c r="AE531" s="618"/>
      <c r="AF531" s="618"/>
      <c r="AG531" s="618"/>
      <c r="AH531" s="618"/>
      <c r="AI531" s="618"/>
      <c r="AJ531" s="618"/>
      <c r="AK531" s="618"/>
      <c r="AL531" s="618"/>
      <c r="AM531" s="3"/>
      <c r="AN531" s="3"/>
      <c r="AO531" s="3"/>
      <c r="AP531" s="3"/>
      <c r="AQ531" s="3"/>
      <c r="AR531" s="3"/>
      <c r="AS531" s="3"/>
      <c r="AT531" s="3"/>
      <c r="AU531" s="3"/>
      <c r="AV531" s="3"/>
      <c r="AW531" s="3"/>
      <c r="AX531" s="3"/>
      <c r="AY531" s="3"/>
      <c r="AZ531" s="3"/>
      <c r="BA531" s="3"/>
      <c r="BB531" s="3"/>
      <c r="BC531" s="3"/>
      <c r="BD531" s="3"/>
      <c r="BE531" s="3"/>
      <c r="BF531" s="3"/>
    </row>
    <row r="532" spans="1:58" ht="14.25" customHeight="1" x14ac:dyDescent="0.45">
      <c r="A532" s="618"/>
      <c r="B532" s="215"/>
      <c r="C532" s="220" t="s">
        <v>168</v>
      </c>
      <c r="D532" s="221" t="s">
        <v>169</v>
      </c>
      <c r="E532" s="309">
        <f t="shared" si="21"/>
        <v>1.3623000000000001</v>
      </c>
      <c r="F532" s="309">
        <f t="shared" si="21"/>
        <v>1.4731000000000001</v>
      </c>
      <c r="G532" s="309">
        <f t="shared" si="21"/>
        <v>1.5194000000000001</v>
      </c>
      <c r="H532" s="309">
        <f t="shared" si="21"/>
        <v>1.3275999999999999</v>
      </c>
      <c r="I532" s="618"/>
      <c r="J532" s="618"/>
      <c r="K532" s="618"/>
      <c r="L532" s="618"/>
      <c r="M532" s="618"/>
      <c r="N532" s="618"/>
      <c r="O532" s="618"/>
      <c r="P532" s="618"/>
      <c r="Q532" s="618"/>
      <c r="R532" s="618"/>
      <c r="S532" s="618"/>
      <c r="T532" s="618"/>
      <c r="U532" s="618"/>
      <c r="V532" s="618"/>
      <c r="W532" s="618"/>
      <c r="X532" s="618"/>
      <c r="Y532" s="618"/>
      <c r="Z532" s="618"/>
      <c r="AA532" s="618"/>
      <c r="AB532" s="618"/>
      <c r="AC532" s="618"/>
      <c r="AD532" s="618"/>
      <c r="AE532" s="618"/>
      <c r="AF532" s="618"/>
      <c r="AG532" s="618"/>
      <c r="AH532" s="618"/>
      <c r="AI532" s="618"/>
      <c r="AJ532" s="618"/>
      <c r="AK532" s="618"/>
      <c r="AL532" s="618"/>
      <c r="AM532" s="3"/>
      <c r="AN532" s="3"/>
      <c r="AO532" s="3"/>
      <c r="AP532" s="3"/>
      <c r="AQ532" s="3"/>
      <c r="AR532" s="3"/>
      <c r="AS532" s="3"/>
      <c r="AT532" s="3"/>
      <c r="AU532" s="3"/>
      <c r="AV532" s="3"/>
      <c r="AW532" s="3"/>
      <c r="AX532" s="3"/>
      <c r="AY532" s="3"/>
      <c r="AZ532" s="3"/>
      <c r="BA532" s="3"/>
      <c r="BB532" s="3"/>
      <c r="BC532" s="3"/>
      <c r="BD532" s="3"/>
      <c r="BE532" s="3"/>
      <c r="BF532" s="3"/>
    </row>
    <row r="533" spans="1:58" ht="14.25" customHeight="1" x14ac:dyDescent="0.45">
      <c r="A533" s="618"/>
      <c r="B533" s="215"/>
      <c r="C533" s="220" t="s">
        <v>170</v>
      </c>
      <c r="D533" s="224" t="s">
        <v>340</v>
      </c>
      <c r="E533" s="346">
        <f t="shared" si="21"/>
        <v>0.26250000000000001</v>
      </c>
      <c r="F533" s="346">
        <f t="shared" si="21"/>
        <v>0.28489999999999999</v>
      </c>
      <c r="G533" s="346">
        <f t="shared" si="21"/>
        <v>0.25519999999999998</v>
      </c>
      <c r="H533" s="346">
        <f t="shared" si="21"/>
        <v>0.21390000000000001</v>
      </c>
      <c r="I533" s="618"/>
      <c r="J533" s="618"/>
      <c r="K533" s="618"/>
      <c r="L533" s="618"/>
      <c r="M533" s="618"/>
      <c r="N533" s="618"/>
      <c r="O533" s="618"/>
      <c r="P533" s="618"/>
      <c r="Q533" s="618"/>
      <c r="R533" s="618"/>
      <c r="S533" s="618"/>
      <c r="T533" s="618"/>
      <c r="U533" s="618"/>
      <c r="V533" s="618"/>
      <c r="W533" s="618"/>
      <c r="X533" s="618"/>
      <c r="Y533" s="618"/>
      <c r="Z533" s="618"/>
      <c r="AA533" s="618"/>
      <c r="AB533" s="618"/>
      <c r="AC533" s="618"/>
      <c r="AD533" s="618"/>
      <c r="AE533" s="618"/>
      <c r="AF533" s="618"/>
      <c r="AG533" s="618"/>
      <c r="AH533" s="618"/>
      <c r="AI533" s="618"/>
      <c r="AJ533" s="618"/>
      <c r="AK533" s="618"/>
      <c r="AL533" s="618"/>
      <c r="AM533" s="3"/>
      <c r="AN533" s="3"/>
      <c r="AO533" s="3"/>
      <c r="AP533" s="3"/>
      <c r="AQ533" s="3"/>
      <c r="AR533" s="3"/>
      <c r="AS533" s="3"/>
      <c r="AT533" s="3"/>
      <c r="AU533" s="3"/>
      <c r="AV533" s="3"/>
      <c r="AW533" s="3"/>
      <c r="AX533" s="3"/>
      <c r="AY533" s="3"/>
      <c r="AZ533" s="3"/>
      <c r="BA533" s="3"/>
      <c r="BB533" s="3"/>
      <c r="BC533" s="3"/>
      <c r="BD533" s="3"/>
      <c r="BE533" s="3"/>
      <c r="BF533" s="3"/>
    </row>
    <row r="534" spans="1:58" ht="14.25" customHeight="1" x14ac:dyDescent="0.45">
      <c r="A534" s="618"/>
      <c r="B534" s="215"/>
      <c r="C534" s="220"/>
      <c r="D534" s="224" t="s">
        <v>341</v>
      </c>
      <c r="E534" s="346">
        <f t="shared" si="21"/>
        <v>73.588099999999997</v>
      </c>
      <c r="F534" s="346">
        <f t="shared" si="21"/>
        <v>87.6892</v>
      </c>
      <c r="G534" s="346">
        <f t="shared" si="21"/>
        <v>86.595299999999995</v>
      </c>
      <c r="H534" s="346">
        <f t="shared" si="21"/>
        <v>91.029600000000002</v>
      </c>
      <c r="I534" s="618"/>
      <c r="J534" s="618"/>
      <c r="K534" s="618"/>
      <c r="L534" s="618"/>
      <c r="M534" s="618"/>
      <c r="N534" s="618"/>
      <c r="O534" s="618"/>
      <c r="P534" s="618"/>
      <c r="Q534" s="618"/>
      <c r="R534" s="618"/>
      <c r="S534" s="618"/>
      <c r="T534" s="618"/>
      <c r="U534" s="618"/>
      <c r="V534" s="618"/>
      <c r="W534" s="618"/>
      <c r="X534" s="618"/>
      <c r="Y534" s="618"/>
      <c r="Z534" s="618"/>
      <c r="AA534" s="618"/>
      <c r="AB534" s="618"/>
      <c r="AC534" s="618"/>
      <c r="AD534" s="618"/>
      <c r="AE534" s="618"/>
      <c r="AF534" s="618"/>
      <c r="AG534" s="618"/>
      <c r="AH534" s="618"/>
      <c r="AI534" s="618"/>
      <c r="AJ534" s="618"/>
      <c r="AK534" s="618"/>
      <c r="AL534" s="618"/>
      <c r="AM534" s="3"/>
      <c r="AN534" s="3"/>
      <c r="AO534" s="3"/>
      <c r="AP534" s="3"/>
      <c r="AQ534" s="3"/>
      <c r="AR534" s="3"/>
      <c r="AS534" s="3"/>
      <c r="AT534" s="3"/>
      <c r="AU534" s="3"/>
      <c r="AV534" s="3"/>
      <c r="AW534" s="3"/>
      <c r="AX534" s="3"/>
      <c r="AY534" s="3"/>
      <c r="AZ534" s="3"/>
      <c r="BA534" s="3"/>
      <c r="BB534" s="3"/>
      <c r="BC534" s="3"/>
      <c r="BD534" s="3"/>
      <c r="BE534" s="3"/>
      <c r="BF534" s="3"/>
    </row>
    <row r="535" spans="1:58" ht="14.25" customHeight="1" x14ac:dyDescent="0.45">
      <c r="A535" s="618"/>
      <c r="B535" s="215"/>
      <c r="C535" s="220"/>
      <c r="D535" s="228" t="s">
        <v>173</v>
      </c>
      <c r="E535" s="312">
        <f t="shared" si="21"/>
        <v>27.461099999999998</v>
      </c>
      <c r="F535" s="312">
        <f t="shared" si="21"/>
        <v>31.882000000000001</v>
      </c>
      <c r="G535" s="312">
        <f t="shared" si="21"/>
        <v>28.761700000000001</v>
      </c>
      <c r="H535" s="312">
        <f t="shared" si="21"/>
        <v>31.008099999999999</v>
      </c>
      <c r="I535" s="618"/>
      <c r="J535" s="618"/>
      <c r="K535" s="618"/>
      <c r="L535" s="618"/>
      <c r="M535" s="618"/>
      <c r="N535" s="618"/>
      <c r="O535" s="618"/>
      <c r="P535" s="618"/>
      <c r="Q535" s="618"/>
      <c r="R535" s="618"/>
      <c r="S535" s="618"/>
      <c r="T535" s="618"/>
      <c r="U535" s="618"/>
      <c r="V535" s="618"/>
      <c r="W535" s="618"/>
      <c r="X535" s="618"/>
      <c r="Y535" s="618"/>
      <c r="Z535" s="618"/>
      <c r="AA535" s="618"/>
      <c r="AB535" s="618"/>
      <c r="AC535" s="618"/>
      <c r="AD535" s="618"/>
      <c r="AE535" s="618"/>
      <c r="AF535" s="618"/>
      <c r="AG535" s="618"/>
      <c r="AH535" s="618"/>
      <c r="AI535" s="618"/>
      <c r="AJ535" s="618"/>
      <c r="AK535" s="618"/>
      <c r="AL535" s="618"/>
      <c r="AM535" s="3"/>
      <c r="AN535" s="3"/>
      <c r="AO535" s="3"/>
      <c r="AP535" s="3"/>
      <c r="AQ535" s="3"/>
      <c r="AR535" s="3"/>
      <c r="AS535" s="3"/>
      <c r="AT535" s="3"/>
      <c r="AU535" s="3"/>
      <c r="AV535" s="3"/>
      <c r="AW535" s="3"/>
      <c r="AX535" s="3"/>
      <c r="AY535" s="3"/>
      <c r="AZ535" s="3"/>
      <c r="BA535" s="3"/>
      <c r="BB535" s="3"/>
      <c r="BC535" s="3"/>
      <c r="BD535" s="3"/>
      <c r="BE535" s="3"/>
      <c r="BF535" s="3"/>
    </row>
    <row r="536" spans="1:58" ht="14.25" customHeight="1" x14ac:dyDescent="0.45">
      <c r="A536" s="618"/>
      <c r="B536" s="215"/>
      <c r="C536" s="220"/>
      <c r="D536" s="221" t="s">
        <v>174</v>
      </c>
      <c r="E536" s="309">
        <f t="shared" si="21"/>
        <v>23.926200000000001</v>
      </c>
      <c r="F536" s="309">
        <f t="shared" si="21"/>
        <v>27.143799999999999</v>
      </c>
      <c r="G536" s="309">
        <f t="shared" si="21"/>
        <v>25.122900000000001</v>
      </c>
      <c r="H536" s="309">
        <f t="shared" si="21"/>
        <v>26.670400000000001</v>
      </c>
      <c r="I536" s="618"/>
      <c r="J536" s="618"/>
      <c r="K536" s="618"/>
      <c r="L536" s="618"/>
      <c r="M536" s="618"/>
      <c r="N536" s="618"/>
      <c r="O536" s="618"/>
      <c r="P536" s="618"/>
      <c r="Q536" s="618"/>
      <c r="R536" s="618"/>
      <c r="S536" s="618"/>
      <c r="T536" s="618"/>
      <c r="U536" s="618"/>
      <c r="V536" s="618"/>
      <c r="W536" s="618"/>
      <c r="X536" s="618"/>
      <c r="Y536" s="618"/>
      <c r="Z536" s="618"/>
      <c r="AA536" s="618"/>
      <c r="AB536" s="618"/>
      <c r="AC536" s="618"/>
      <c r="AD536" s="618"/>
      <c r="AE536" s="618"/>
      <c r="AF536" s="618"/>
      <c r="AG536" s="618"/>
      <c r="AH536" s="618"/>
      <c r="AI536" s="618"/>
      <c r="AJ536" s="618"/>
      <c r="AK536" s="618"/>
      <c r="AL536" s="618"/>
      <c r="AM536" s="3"/>
      <c r="AN536" s="3"/>
      <c r="AO536" s="3"/>
      <c r="AP536" s="3"/>
      <c r="AQ536" s="3"/>
      <c r="AR536" s="3"/>
      <c r="AS536" s="3"/>
      <c r="AT536" s="3"/>
      <c r="AU536" s="3"/>
      <c r="AV536" s="3"/>
      <c r="AW536" s="3"/>
      <c r="AX536" s="3"/>
      <c r="AY536" s="3"/>
      <c r="AZ536" s="3"/>
      <c r="BA536" s="3"/>
      <c r="BB536" s="3"/>
      <c r="BC536" s="3"/>
      <c r="BD536" s="3"/>
      <c r="BE536" s="3"/>
      <c r="BF536" s="3"/>
    </row>
    <row r="537" spans="1:58" ht="14.25" customHeight="1" x14ac:dyDescent="0.45">
      <c r="A537" s="618"/>
      <c r="B537" s="215"/>
      <c r="C537" s="220"/>
      <c r="D537" s="221" t="s">
        <v>175</v>
      </c>
      <c r="E537" s="309">
        <f t="shared" si="21"/>
        <v>3.5348000000000002</v>
      </c>
      <c r="F537" s="309">
        <f t="shared" si="21"/>
        <v>4.7397999999999998</v>
      </c>
      <c r="G537" s="309">
        <f t="shared" si="21"/>
        <v>3.6385000000000001</v>
      </c>
      <c r="H537" s="309">
        <f t="shared" si="21"/>
        <v>4.3348000000000004</v>
      </c>
      <c r="I537" s="618"/>
      <c r="J537" s="618"/>
      <c r="K537" s="618"/>
      <c r="L537" s="618"/>
      <c r="M537" s="618"/>
      <c r="N537" s="618"/>
      <c r="O537" s="618"/>
      <c r="P537" s="618"/>
      <c r="Q537" s="618"/>
      <c r="R537" s="618"/>
      <c r="S537" s="618"/>
      <c r="T537" s="618"/>
      <c r="U537" s="618"/>
      <c r="V537" s="618"/>
      <c r="W537" s="618"/>
      <c r="X537" s="618"/>
      <c r="Y537" s="618"/>
      <c r="Z537" s="618"/>
      <c r="AA537" s="618"/>
      <c r="AB537" s="618"/>
      <c r="AC537" s="618"/>
      <c r="AD537" s="618"/>
      <c r="AE537" s="618"/>
      <c r="AF537" s="618"/>
      <c r="AG537" s="618"/>
      <c r="AH537" s="618"/>
      <c r="AI537" s="618"/>
      <c r="AJ537" s="618"/>
      <c r="AK537" s="618"/>
      <c r="AL537" s="618"/>
      <c r="AM537" s="3"/>
      <c r="AN537" s="3"/>
      <c r="AO537" s="3"/>
      <c r="AP537" s="3"/>
      <c r="AQ537" s="3"/>
      <c r="AR537" s="3"/>
      <c r="AS537" s="3"/>
      <c r="AT537" s="3"/>
      <c r="AU537" s="3"/>
      <c r="AV537" s="3"/>
      <c r="AW537" s="3"/>
      <c r="AX537" s="3"/>
      <c r="AY537" s="3"/>
      <c r="AZ537" s="3"/>
      <c r="BA537" s="3"/>
      <c r="BB537" s="3"/>
      <c r="BC537" s="3"/>
      <c r="BD537" s="3"/>
      <c r="BE537" s="3"/>
      <c r="BF537" s="3"/>
    </row>
    <row r="538" spans="1:58" ht="14.25" customHeight="1" x14ac:dyDescent="0.45">
      <c r="A538" s="618"/>
      <c r="B538" s="215"/>
      <c r="C538" s="220"/>
      <c r="D538" s="228" t="s">
        <v>176</v>
      </c>
      <c r="E538" s="229">
        <f t="shared" si="21"/>
        <v>46.133699999999997</v>
      </c>
      <c r="F538" s="229">
        <f t="shared" si="21"/>
        <v>55.804000000000002</v>
      </c>
      <c r="G538" s="229">
        <f t="shared" si="21"/>
        <v>57.831699999999998</v>
      </c>
      <c r="H538" s="229">
        <f t="shared" si="21"/>
        <v>60.018700000000003</v>
      </c>
      <c r="I538" s="618"/>
      <c r="J538" s="618"/>
      <c r="K538" s="618"/>
      <c r="L538" s="618"/>
      <c r="M538" s="618"/>
      <c r="N538" s="618"/>
      <c r="O538" s="618"/>
      <c r="P538" s="618"/>
      <c r="Q538" s="618"/>
      <c r="R538" s="618"/>
      <c r="S538" s="618"/>
      <c r="T538" s="618"/>
      <c r="U538" s="618"/>
      <c r="V538" s="618"/>
      <c r="W538" s="618"/>
      <c r="X538" s="618"/>
      <c r="Y538" s="618"/>
      <c r="Z538" s="618"/>
      <c r="AA538" s="618"/>
      <c r="AB538" s="618"/>
      <c r="AC538" s="618"/>
      <c r="AD538" s="618"/>
      <c r="AE538" s="618"/>
      <c r="AF538" s="618"/>
      <c r="AG538" s="618"/>
      <c r="AH538" s="618"/>
      <c r="AI538" s="618"/>
      <c r="AJ538" s="618"/>
      <c r="AK538" s="618"/>
      <c r="AL538" s="618"/>
      <c r="AM538" s="3"/>
      <c r="AN538" s="3"/>
      <c r="AO538" s="3"/>
      <c r="AP538" s="3"/>
      <c r="AQ538" s="3"/>
      <c r="AR538" s="3"/>
      <c r="AS538" s="3"/>
      <c r="AT538" s="3"/>
      <c r="AU538" s="3"/>
      <c r="AV538" s="3"/>
      <c r="AW538" s="3"/>
      <c r="AX538" s="3"/>
      <c r="AY538" s="3"/>
      <c r="AZ538" s="3"/>
      <c r="BA538" s="3"/>
      <c r="BB538" s="3"/>
      <c r="BC538" s="3"/>
      <c r="BD538" s="3"/>
      <c r="BE538" s="3"/>
      <c r="BF538" s="3"/>
    </row>
    <row r="539" spans="1:58" ht="14.25" customHeight="1" x14ac:dyDescent="0.45">
      <c r="A539" s="618"/>
      <c r="B539" s="215"/>
      <c r="C539" s="220"/>
      <c r="D539" s="221" t="s">
        <v>174</v>
      </c>
      <c r="E539" s="232">
        <f t="shared" si="21"/>
        <v>43.782400000000003</v>
      </c>
      <c r="F539" s="232">
        <f t="shared" si="21"/>
        <v>50.045999999999999</v>
      </c>
      <c r="G539" s="232">
        <f t="shared" si="21"/>
        <v>51.939500000000002</v>
      </c>
      <c r="H539" s="232">
        <f t="shared" si="21"/>
        <v>53.200200000000002</v>
      </c>
      <c r="I539" s="618"/>
      <c r="J539" s="618"/>
      <c r="K539" s="618"/>
      <c r="L539" s="618"/>
      <c r="M539" s="618"/>
      <c r="N539" s="618"/>
      <c r="O539" s="618"/>
      <c r="P539" s="618"/>
      <c r="Q539" s="618"/>
      <c r="R539" s="618"/>
      <c r="S539" s="618"/>
      <c r="T539" s="618"/>
      <c r="U539" s="618"/>
      <c r="V539" s="618"/>
      <c r="W539" s="618"/>
      <c r="X539" s="618"/>
      <c r="Y539" s="618"/>
      <c r="Z539" s="618"/>
      <c r="AA539" s="618"/>
      <c r="AB539" s="618"/>
      <c r="AC539" s="618"/>
      <c r="AD539" s="618"/>
      <c r="AE539" s="618"/>
      <c r="AF539" s="618"/>
      <c r="AG539" s="618"/>
      <c r="AH539" s="618"/>
      <c r="AI539" s="618"/>
      <c r="AJ539" s="618"/>
      <c r="AK539" s="618"/>
      <c r="AL539" s="618"/>
      <c r="AM539" s="3"/>
      <c r="AN539" s="3"/>
      <c r="AO539" s="3"/>
      <c r="AP539" s="3"/>
      <c r="AQ539" s="3"/>
      <c r="AR539" s="3"/>
      <c r="AS539" s="3"/>
      <c r="AT539" s="3"/>
      <c r="AU539" s="3"/>
      <c r="AV539" s="3"/>
      <c r="AW539" s="3"/>
      <c r="AX539" s="3"/>
      <c r="AY539" s="3"/>
      <c r="AZ539" s="3"/>
      <c r="BA539" s="3"/>
      <c r="BB539" s="3"/>
      <c r="BC539" s="3"/>
      <c r="BD539" s="3"/>
      <c r="BE539" s="3"/>
      <c r="BF539" s="3"/>
    </row>
    <row r="540" spans="1:58" ht="14.25" customHeight="1" x14ac:dyDescent="0.45">
      <c r="A540" s="618"/>
      <c r="B540" s="215"/>
      <c r="C540" s="220"/>
      <c r="D540" s="221" t="s">
        <v>175</v>
      </c>
      <c r="E540" s="232">
        <f t="shared" si="21"/>
        <v>2.3483999999999998</v>
      </c>
      <c r="F540" s="232">
        <f t="shared" si="21"/>
        <v>5.7561</v>
      </c>
      <c r="G540" s="232">
        <f t="shared" si="21"/>
        <v>5.8983999999999996</v>
      </c>
      <c r="H540" s="232">
        <f t="shared" si="21"/>
        <v>6.8189000000000002</v>
      </c>
      <c r="I540" s="618"/>
      <c r="J540" s="618"/>
      <c r="K540" s="618"/>
      <c r="L540" s="618"/>
      <c r="M540" s="618"/>
      <c r="N540" s="618"/>
      <c r="O540" s="618"/>
      <c r="P540" s="618"/>
      <c r="Q540" s="618"/>
      <c r="R540" s="618"/>
      <c r="S540" s="618"/>
      <c r="T540" s="618"/>
      <c r="U540" s="618"/>
      <c r="V540" s="618"/>
      <c r="W540" s="618"/>
      <c r="X540" s="618"/>
      <c r="Y540" s="618"/>
      <c r="Z540" s="618"/>
      <c r="AA540" s="618"/>
      <c r="AB540" s="618"/>
      <c r="AC540" s="618"/>
      <c r="AD540" s="618"/>
      <c r="AE540" s="618"/>
      <c r="AF540" s="618"/>
      <c r="AG540" s="618"/>
      <c r="AH540" s="618"/>
      <c r="AI540" s="618"/>
      <c r="AJ540" s="618"/>
      <c r="AK540" s="618"/>
      <c r="AL540" s="618"/>
      <c r="AM540" s="3"/>
      <c r="AN540" s="3"/>
      <c r="AO540" s="3"/>
      <c r="AP540" s="3"/>
      <c r="AQ540" s="3"/>
      <c r="AR540" s="3"/>
      <c r="AS540" s="3"/>
      <c r="AT540" s="3"/>
      <c r="AU540" s="3"/>
      <c r="AV540" s="3"/>
      <c r="AW540" s="3"/>
      <c r="AX540" s="3"/>
      <c r="AY540" s="3"/>
      <c r="AZ540" s="3"/>
      <c r="BA540" s="3"/>
      <c r="BB540" s="3"/>
      <c r="BC540" s="3"/>
      <c r="BD540" s="3"/>
      <c r="BE540" s="3"/>
      <c r="BF540" s="3"/>
    </row>
    <row r="541" spans="1:58" ht="14.25" customHeight="1" x14ac:dyDescent="0.45">
      <c r="A541" s="618"/>
      <c r="B541" s="215"/>
      <c r="C541" s="220" t="s">
        <v>177</v>
      </c>
      <c r="D541" s="224" t="s">
        <v>342</v>
      </c>
      <c r="E541" s="295">
        <f t="shared" si="21"/>
        <v>0.12379999999999999</v>
      </c>
      <c r="F541" s="295">
        <f t="shared" si="21"/>
        <v>0.11799999999999999</v>
      </c>
      <c r="G541" s="295">
        <f t="shared" si="21"/>
        <v>0.12039999999999999</v>
      </c>
      <c r="H541" s="295">
        <f t="shared" si="21"/>
        <v>0.1191</v>
      </c>
      <c r="I541" s="618"/>
      <c r="J541" s="618"/>
      <c r="K541" s="618"/>
      <c r="L541" s="618"/>
      <c r="M541" s="618"/>
      <c r="N541" s="618"/>
      <c r="O541" s="618"/>
      <c r="P541" s="618"/>
      <c r="Q541" s="618"/>
      <c r="R541" s="618"/>
      <c r="S541" s="618"/>
      <c r="T541" s="618"/>
      <c r="U541" s="618"/>
      <c r="V541" s="618"/>
      <c r="W541" s="618"/>
      <c r="X541" s="618"/>
      <c r="Y541" s="618"/>
      <c r="Z541" s="618"/>
      <c r="AA541" s="618"/>
      <c r="AB541" s="618"/>
      <c r="AC541" s="618"/>
      <c r="AD541" s="618"/>
      <c r="AE541" s="618"/>
      <c r="AF541" s="618"/>
      <c r="AG541" s="618"/>
      <c r="AH541" s="618"/>
      <c r="AI541" s="618"/>
      <c r="AJ541" s="618"/>
      <c r="AK541" s="618"/>
      <c r="AL541" s="618"/>
      <c r="AM541" s="3"/>
      <c r="AN541" s="3"/>
      <c r="AO541" s="3"/>
      <c r="AP541" s="3"/>
      <c r="AQ541" s="3"/>
      <c r="AR541" s="3"/>
      <c r="AS541" s="3"/>
      <c r="AT541" s="3"/>
      <c r="AU541" s="3"/>
      <c r="AV541" s="3"/>
      <c r="AW541" s="3"/>
      <c r="AX541" s="3"/>
      <c r="AY541" s="3"/>
      <c r="AZ541" s="3"/>
      <c r="BA541" s="3"/>
      <c r="BB541" s="3"/>
      <c r="BC541" s="3"/>
      <c r="BD541" s="3"/>
      <c r="BE541" s="3"/>
      <c r="BF541" s="3"/>
    </row>
    <row r="542" spans="1:58" ht="14.25" customHeight="1" x14ac:dyDescent="0.45">
      <c r="A542" s="618"/>
      <c r="B542" s="215"/>
      <c r="C542" s="220"/>
      <c r="D542" s="224" t="s">
        <v>343</v>
      </c>
      <c r="E542" s="295">
        <f t="shared" si="21"/>
        <v>14.88</v>
      </c>
      <c r="F542" s="295">
        <f t="shared" si="21"/>
        <v>10.605600000000001</v>
      </c>
      <c r="G542" s="295">
        <f t="shared" si="21"/>
        <v>8.5881000000000007</v>
      </c>
      <c r="H542" s="295">
        <f t="shared" si="21"/>
        <v>7.5156000000000001</v>
      </c>
      <c r="I542" s="618"/>
      <c r="J542" s="618"/>
      <c r="K542" s="618"/>
      <c r="L542" s="618"/>
      <c r="M542" s="618"/>
      <c r="N542" s="618"/>
      <c r="O542" s="618"/>
      <c r="P542" s="618"/>
      <c r="Q542" s="618"/>
      <c r="R542" s="618"/>
      <c r="S542" s="618"/>
      <c r="T542" s="618"/>
      <c r="U542" s="618"/>
      <c r="V542" s="618"/>
      <c r="W542" s="618"/>
      <c r="X542" s="618"/>
      <c r="Y542" s="618"/>
      <c r="Z542" s="618"/>
      <c r="AA542" s="618"/>
      <c r="AB542" s="618"/>
      <c r="AC542" s="618"/>
      <c r="AD542" s="618"/>
      <c r="AE542" s="618"/>
      <c r="AF542" s="618"/>
      <c r="AG542" s="618"/>
      <c r="AH542" s="618"/>
      <c r="AI542" s="618"/>
      <c r="AJ542" s="618"/>
      <c r="AK542" s="618"/>
      <c r="AL542" s="618"/>
      <c r="AM542" s="3"/>
      <c r="AN542" s="3"/>
      <c r="AO542" s="3"/>
      <c r="AP542" s="3"/>
      <c r="AQ542" s="3"/>
      <c r="AR542" s="3"/>
      <c r="AS542" s="3"/>
      <c r="AT542" s="3"/>
      <c r="AU542" s="3"/>
      <c r="AV542" s="3"/>
      <c r="AW542" s="3"/>
      <c r="AX542" s="3"/>
      <c r="AY542" s="3"/>
      <c r="AZ542" s="3"/>
      <c r="BA542" s="3"/>
      <c r="BB542" s="3"/>
      <c r="BC542" s="3"/>
      <c r="BD542" s="3"/>
      <c r="BE542" s="3"/>
      <c r="BF542" s="3"/>
    </row>
    <row r="543" spans="1:58" ht="14.25" customHeight="1" x14ac:dyDescent="0.45">
      <c r="A543" s="618"/>
      <c r="B543" s="215"/>
      <c r="C543" s="220"/>
      <c r="D543" s="228" t="s">
        <v>180</v>
      </c>
      <c r="E543" s="229">
        <f t="shared" si="21"/>
        <v>5.1627999999999998</v>
      </c>
      <c r="F543" s="229">
        <f t="shared" si="21"/>
        <v>3.0424000000000002</v>
      </c>
      <c r="G543" s="229">
        <f t="shared" si="21"/>
        <v>2.7898999999999998</v>
      </c>
      <c r="H543" s="229">
        <f t="shared" si="21"/>
        <v>2.3942999999999999</v>
      </c>
      <c r="I543" s="618"/>
      <c r="J543" s="618"/>
      <c r="K543" s="618"/>
      <c r="L543" s="618"/>
      <c r="M543" s="618"/>
      <c r="N543" s="618"/>
      <c r="O543" s="618"/>
      <c r="P543" s="618"/>
      <c r="Q543" s="618"/>
      <c r="R543" s="618"/>
      <c r="S543" s="618"/>
      <c r="T543" s="618"/>
      <c r="U543" s="618"/>
      <c r="V543" s="618"/>
      <c r="W543" s="618"/>
      <c r="X543" s="618"/>
      <c r="Y543" s="618"/>
      <c r="Z543" s="618"/>
      <c r="AA543" s="618"/>
      <c r="AB543" s="618"/>
      <c r="AC543" s="618"/>
      <c r="AD543" s="618"/>
      <c r="AE543" s="618"/>
      <c r="AF543" s="618"/>
      <c r="AG543" s="618"/>
      <c r="AH543" s="618"/>
      <c r="AI543" s="618"/>
      <c r="AJ543" s="618"/>
      <c r="AK543" s="618"/>
      <c r="AL543" s="618"/>
      <c r="AM543" s="3"/>
      <c r="AN543" s="3"/>
      <c r="AO543" s="3"/>
      <c r="AP543" s="3"/>
      <c r="AQ543" s="3"/>
      <c r="AR543" s="3"/>
      <c r="AS543" s="3"/>
      <c r="AT543" s="3"/>
      <c r="AU543" s="3"/>
      <c r="AV543" s="3"/>
      <c r="AW543" s="3"/>
      <c r="AX543" s="3"/>
      <c r="AY543" s="3"/>
      <c r="AZ543" s="3"/>
      <c r="BA543" s="3"/>
      <c r="BB543" s="3"/>
      <c r="BC543" s="3"/>
      <c r="BD543" s="3"/>
      <c r="BE543" s="3"/>
      <c r="BF543" s="3"/>
    </row>
    <row r="544" spans="1:58" ht="14.25" customHeight="1" x14ac:dyDescent="0.45">
      <c r="A544" s="618"/>
      <c r="B544" s="215"/>
      <c r="C544" s="220" t="s">
        <v>181</v>
      </c>
      <c r="D544" s="221" t="s">
        <v>190</v>
      </c>
      <c r="E544" s="299">
        <f t="shared" si="21"/>
        <v>0.78700000000000003</v>
      </c>
      <c r="F544" s="299">
        <f t="shared" si="21"/>
        <v>8.4000000000000005E-2</v>
      </c>
      <c r="G544" s="347">
        <f t="shared" si="21"/>
        <v>0.28560000000000002</v>
      </c>
      <c r="H544" s="348">
        <f t="shared" si="21"/>
        <v>0.13619999999999999</v>
      </c>
      <c r="I544" s="618"/>
      <c r="J544" s="618"/>
      <c r="K544" s="618"/>
      <c r="L544" s="618"/>
      <c r="M544" s="618"/>
      <c r="N544" s="618"/>
      <c r="O544" s="618"/>
      <c r="P544" s="618"/>
      <c r="Q544" s="618"/>
      <c r="R544" s="618"/>
      <c r="S544" s="618"/>
      <c r="T544" s="618"/>
      <c r="U544" s="618"/>
      <c r="V544" s="618"/>
      <c r="W544" s="618"/>
      <c r="X544" s="618"/>
      <c r="Y544" s="618"/>
      <c r="Z544" s="618"/>
      <c r="AA544" s="618"/>
      <c r="AB544" s="618"/>
      <c r="AC544" s="618"/>
      <c r="AD544" s="618"/>
      <c r="AE544" s="618"/>
      <c r="AF544" s="618"/>
      <c r="AG544" s="618"/>
      <c r="AH544" s="618"/>
      <c r="AI544" s="618"/>
      <c r="AJ544" s="618"/>
      <c r="AK544" s="618"/>
      <c r="AL544" s="618"/>
      <c r="AM544" s="3"/>
      <c r="AN544" s="3"/>
      <c r="AO544" s="3"/>
      <c r="AP544" s="3"/>
      <c r="AQ544" s="3"/>
      <c r="AR544" s="3"/>
      <c r="AS544" s="3"/>
      <c r="AT544" s="3"/>
      <c r="AU544" s="3"/>
      <c r="AV544" s="3"/>
      <c r="AW544" s="3"/>
      <c r="AX544" s="3"/>
      <c r="AY544" s="3"/>
      <c r="AZ544" s="3"/>
      <c r="BA544" s="3"/>
      <c r="BB544" s="3"/>
      <c r="BC544" s="3"/>
      <c r="BD544" s="3"/>
      <c r="BE544" s="3"/>
      <c r="BF544" s="3"/>
    </row>
    <row r="545" spans="1:58" ht="14.25" customHeight="1" x14ac:dyDescent="0.45">
      <c r="A545" s="618"/>
      <c r="B545" s="215"/>
      <c r="C545" s="220" t="s">
        <v>183</v>
      </c>
      <c r="D545" s="221" t="s">
        <v>195</v>
      </c>
      <c r="E545" s="299">
        <f t="shared" si="21"/>
        <v>3.5324</v>
      </c>
      <c r="F545" s="299">
        <f t="shared" si="21"/>
        <v>2.39</v>
      </c>
      <c r="G545" s="348">
        <f t="shared" si="21"/>
        <v>1.9516</v>
      </c>
      <c r="H545" s="348">
        <f t="shared" si="21"/>
        <v>1.5744</v>
      </c>
      <c r="I545" s="618"/>
      <c r="J545" s="618"/>
      <c r="K545" s="618"/>
      <c r="L545" s="618"/>
      <c r="M545" s="618"/>
      <c r="N545" s="618"/>
      <c r="O545" s="618"/>
      <c r="P545" s="618"/>
      <c r="Q545" s="618"/>
      <c r="R545" s="618"/>
      <c r="S545" s="618"/>
      <c r="T545" s="618"/>
      <c r="U545" s="618"/>
      <c r="V545" s="618"/>
      <c r="W545" s="618"/>
      <c r="X545" s="618"/>
      <c r="Y545" s="618"/>
      <c r="Z545" s="618"/>
      <c r="AA545" s="618"/>
      <c r="AB545" s="618"/>
      <c r="AC545" s="618"/>
      <c r="AD545" s="618"/>
      <c r="AE545" s="618"/>
      <c r="AF545" s="618"/>
      <c r="AG545" s="618"/>
      <c r="AH545" s="618"/>
      <c r="AI545" s="618"/>
      <c r="AJ545" s="618"/>
      <c r="AK545" s="618"/>
      <c r="AL545" s="618"/>
      <c r="AM545" s="3"/>
      <c r="AN545" s="3"/>
      <c r="AO545" s="3"/>
      <c r="AP545" s="3"/>
      <c r="AQ545" s="3"/>
      <c r="AR545" s="3"/>
      <c r="AS545" s="3"/>
      <c r="AT545" s="3"/>
      <c r="AU545" s="3"/>
      <c r="AV545" s="3"/>
      <c r="AW545" s="3"/>
      <c r="AX545" s="3"/>
      <c r="AY545" s="3"/>
      <c r="AZ545" s="3"/>
      <c r="BA545" s="3"/>
      <c r="BB545" s="3"/>
      <c r="BC545" s="3"/>
      <c r="BD545" s="3"/>
      <c r="BE545" s="3"/>
      <c r="BF545" s="3"/>
    </row>
    <row r="546" spans="1:58" ht="14.25" customHeight="1" x14ac:dyDescent="0.45">
      <c r="A546" s="618"/>
      <c r="B546" s="215"/>
      <c r="C546" s="220"/>
      <c r="D546" s="221" t="s">
        <v>344</v>
      </c>
      <c r="E546" s="302">
        <f t="shared" si="21"/>
        <v>1.6000000000000001E-3</v>
      </c>
      <c r="F546" s="302">
        <f t="shared" si="21"/>
        <v>0</v>
      </c>
      <c r="G546" s="348">
        <f t="shared" si="21"/>
        <v>0</v>
      </c>
      <c r="H546" s="348">
        <f t="shared" si="21"/>
        <v>0</v>
      </c>
      <c r="I546" s="618"/>
      <c r="J546" s="618"/>
      <c r="K546" s="618"/>
      <c r="L546" s="618"/>
      <c r="M546" s="618"/>
      <c r="N546" s="618"/>
      <c r="O546" s="618"/>
      <c r="P546" s="618"/>
      <c r="Q546" s="618"/>
      <c r="R546" s="618"/>
      <c r="S546" s="618"/>
      <c r="T546" s="618"/>
      <c r="U546" s="618"/>
      <c r="V546" s="618"/>
      <c r="W546" s="618"/>
      <c r="X546" s="618"/>
      <c r="Y546" s="618"/>
      <c r="Z546" s="618"/>
      <c r="AA546" s="618"/>
      <c r="AB546" s="618"/>
      <c r="AC546" s="618"/>
      <c r="AD546" s="618"/>
      <c r="AE546" s="618"/>
      <c r="AF546" s="618"/>
      <c r="AG546" s="618"/>
      <c r="AH546" s="618"/>
      <c r="AI546" s="618"/>
      <c r="AJ546" s="618"/>
      <c r="AK546" s="618"/>
      <c r="AL546" s="618"/>
      <c r="AM546" s="3"/>
      <c r="AN546" s="3"/>
      <c r="AO546" s="3"/>
      <c r="AP546" s="3"/>
      <c r="AQ546" s="3"/>
      <c r="AR546" s="3"/>
      <c r="AS546" s="3"/>
      <c r="AT546" s="3"/>
      <c r="AU546" s="3"/>
      <c r="AV546" s="3"/>
      <c r="AW546" s="3"/>
      <c r="AX546" s="3"/>
      <c r="AY546" s="3"/>
      <c r="AZ546" s="3"/>
      <c r="BA546" s="3"/>
      <c r="BB546" s="3"/>
      <c r="BC546" s="3"/>
      <c r="BD546" s="3"/>
      <c r="BE546" s="3"/>
      <c r="BF546" s="3"/>
    </row>
    <row r="547" spans="1:58" ht="14.25" customHeight="1" x14ac:dyDescent="0.45">
      <c r="A547" s="618"/>
      <c r="B547" s="215"/>
      <c r="C547" s="220" t="s">
        <v>186</v>
      </c>
      <c r="D547" s="221" t="s">
        <v>345</v>
      </c>
      <c r="E547" s="299">
        <f t="shared" si="21"/>
        <v>0.84199999999999997</v>
      </c>
      <c r="F547" s="299">
        <f t="shared" si="21"/>
        <v>0.56789999999999996</v>
      </c>
      <c r="G547" s="348">
        <f t="shared" si="21"/>
        <v>0.55249999999999999</v>
      </c>
      <c r="H547" s="348">
        <f t="shared" si="21"/>
        <v>0.68320000000000003</v>
      </c>
      <c r="I547" s="618"/>
      <c r="J547" s="618"/>
      <c r="K547" s="618"/>
      <c r="L547" s="618"/>
      <c r="M547" s="618"/>
      <c r="N547" s="618"/>
      <c r="O547" s="618"/>
      <c r="P547" s="618"/>
      <c r="Q547" s="618"/>
      <c r="R547" s="618"/>
      <c r="S547" s="618"/>
      <c r="T547" s="618"/>
      <c r="U547" s="618"/>
      <c r="V547" s="618"/>
      <c r="W547" s="618"/>
      <c r="X547" s="618"/>
      <c r="Y547" s="618"/>
      <c r="Z547" s="618"/>
      <c r="AA547" s="618"/>
      <c r="AB547" s="618"/>
      <c r="AC547" s="618"/>
      <c r="AD547" s="618"/>
      <c r="AE547" s="618"/>
      <c r="AF547" s="618"/>
      <c r="AG547" s="618"/>
      <c r="AH547" s="618"/>
      <c r="AI547" s="618"/>
      <c r="AJ547" s="618"/>
      <c r="AK547" s="618"/>
      <c r="AL547" s="618"/>
      <c r="AM547" s="3"/>
      <c r="AN547" s="3"/>
      <c r="AO547" s="3"/>
      <c r="AP547" s="3"/>
      <c r="AQ547" s="3"/>
      <c r="AR547" s="3"/>
      <c r="AS547" s="3"/>
      <c r="AT547" s="3"/>
      <c r="AU547" s="3"/>
      <c r="AV547" s="3"/>
      <c r="AW547" s="3"/>
      <c r="AX547" s="3"/>
      <c r="AY547" s="3"/>
      <c r="AZ547" s="3"/>
      <c r="BA547" s="3"/>
      <c r="BB547" s="3"/>
      <c r="BC547" s="3"/>
      <c r="BD547" s="3"/>
      <c r="BE547" s="3"/>
      <c r="BF547" s="3"/>
    </row>
    <row r="548" spans="1:58" ht="14.25" customHeight="1" x14ac:dyDescent="0.45">
      <c r="A548" s="618"/>
      <c r="B548" s="215"/>
      <c r="C548" s="220"/>
      <c r="D548" s="228" t="s">
        <v>188</v>
      </c>
      <c r="E548" s="229">
        <f t="shared" si="21"/>
        <v>3.6313</v>
      </c>
      <c r="F548" s="229">
        <f t="shared" si="21"/>
        <v>3.1640000000000001</v>
      </c>
      <c r="G548" s="312">
        <f t="shared" si="21"/>
        <v>2.5215000000000001</v>
      </c>
      <c r="H548" s="312">
        <f t="shared" si="21"/>
        <v>2.1177999999999999</v>
      </c>
      <c r="I548" s="618"/>
      <c r="J548" s="618"/>
      <c r="K548" s="618"/>
      <c r="L548" s="618"/>
      <c r="M548" s="618"/>
      <c r="N548" s="618"/>
      <c r="O548" s="618"/>
      <c r="P548" s="618"/>
      <c r="Q548" s="618"/>
      <c r="R548" s="618"/>
      <c r="S548" s="618"/>
      <c r="T548" s="618"/>
      <c r="U548" s="618"/>
      <c r="V548" s="618"/>
      <c r="W548" s="618"/>
      <c r="X548" s="618"/>
      <c r="Y548" s="618"/>
      <c r="Z548" s="618"/>
      <c r="AA548" s="618"/>
      <c r="AB548" s="618"/>
      <c r="AC548" s="618"/>
      <c r="AD548" s="618"/>
      <c r="AE548" s="618"/>
      <c r="AF548" s="618"/>
      <c r="AG548" s="618"/>
      <c r="AH548" s="618"/>
      <c r="AI548" s="618"/>
      <c r="AJ548" s="618"/>
      <c r="AK548" s="618"/>
      <c r="AL548" s="618"/>
      <c r="AM548" s="3"/>
      <c r="AN548" s="3"/>
      <c r="AO548" s="3"/>
      <c r="AP548" s="3"/>
      <c r="AQ548" s="3"/>
      <c r="AR548" s="3"/>
      <c r="AS548" s="3"/>
      <c r="AT548" s="3"/>
      <c r="AU548" s="3"/>
      <c r="AV548" s="3"/>
      <c r="AW548" s="3"/>
      <c r="AX548" s="3"/>
      <c r="AY548" s="3"/>
      <c r="AZ548" s="3"/>
      <c r="BA548" s="3"/>
      <c r="BB548" s="3"/>
      <c r="BC548" s="3"/>
      <c r="BD548" s="3"/>
      <c r="BE548" s="3"/>
      <c r="BF548" s="3"/>
    </row>
    <row r="549" spans="1:58" ht="14.25" customHeight="1" x14ac:dyDescent="0.45">
      <c r="A549" s="618"/>
      <c r="B549" s="215"/>
      <c r="C549" s="220" t="s">
        <v>189</v>
      </c>
      <c r="D549" s="221" t="s">
        <v>190</v>
      </c>
      <c r="E549" s="28">
        <f t="shared" si="21"/>
        <v>0.4269</v>
      </c>
      <c r="F549" s="28">
        <f t="shared" si="21"/>
        <v>0.2442</v>
      </c>
      <c r="G549" s="44">
        <f t="shared" si="21"/>
        <v>8.2500000000000004E-2</v>
      </c>
      <c r="H549" s="44">
        <f t="shared" si="21"/>
        <v>5.4899999999999997E-2</v>
      </c>
      <c r="I549" s="618"/>
      <c r="J549" s="618"/>
      <c r="K549" s="618"/>
      <c r="L549" s="618"/>
      <c r="M549" s="618"/>
      <c r="N549" s="618"/>
      <c r="O549" s="618"/>
      <c r="P549" s="618"/>
      <c r="Q549" s="618"/>
      <c r="R549" s="618"/>
      <c r="S549" s="618"/>
      <c r="T549" s="618"/>
      <c r="U549" s="618"/>
      <c r="V549" s="618"/>
      <c r="W549" s="618"/>
      <c r="X549" s="618"/>
      <c r="Y549" s="618"/>
      <c r="Z549" s="618"/>
      <c r="AA549" s="618"/>
      <c r="AB549" s="618"/>
      <c r="AC549" s="618"/>
      <c r="AD549" s="618"/>
      <c r="AE549" s="618"/>
      <c r="AF549" s="618"/>
      <c r="AG549" s="618"/>
      <c r="AH549" s="618"/>
      <c r="AI549" s="618"/>
      <c r="AJ549" s="618"/>
      <c r="AK549" s="618"/>
      <c r="AL549" s="618"/>
      <c r="AM549" s="3"/>
      <c r="AN549" s="3"/>
      <c r="AO549" s="3"/>
      <c r="AP549" s="3"/>
      <c r="AQ549" s="3"/>
      <c r="AR549" s="3"/>
      <c r="AS549" s="3"/>
      <c r="AT549" s="3"/>
      <c r="AU549" s="3"/>
      <c r="AV549" s="3"/>
      <c r="AW549" s="3"/>
      <c r="AX549" s="3"/>
      <c r="AY549" s="3"/>
      <c r="AZ549" s="3"/>
      <c r="BA549" s="3"/>
      <c r="BB549" s="3"/>
      <c r="BC549" s="3"/>
      <c r="BD549" s="3"/>
      <c r="BE549" s="3"/>
      <c r="BF549" s="3"/>
    </row>
    <row r="550" spans="1:58" ht="14.25" customHeight="1" x14ac:dyDescent="0.45">
      <c r="A550" s="618"/>
      <c r="B550" s="215"/>
      <c r="C550" s="220" t="s">
        <v>191</v>
      </c>
      <c r="D550" s="221" t="s">
        <v>411</v>
      </c>
      <c r="E550" s="28">
        <f t="shared" ref="E550:H569" si="22">ROUND($F$529*$E$529*0.0036*E370*E26*$G$529,4)</f>
        <v>3.2056</v>
      </c>
      <c r="F550" s="28">
        <f t="shared" si="22"/>
        <v>2.9214000000000002</v>
      </c>
      <c r="G550" s="28">
        <f t="shared" si="22"/>
        <v>2.4403000000000001</v>
      </c>
      <c r="H550" s="28">
        <f t="shared" si="22"/>
        <v>2.0621999999999998</v>
      </c>
      <c r="I550" s="618"/>
      <c r="J550" s="618"/>
      <c r="K550" s="618"/>
      <c r="L550" s="618"/>
      <c r="M550" s="618"/>
      <c r="N550" s="618"/>
      <c r="O550" s="618"/>
      <c r="P550" s="618"/>
      <c r="Q550" s="618"/>
      <c r="R550" s="618"/>
      <c r="S550" s="618"/>
      <c r="T550" s="618"/>
      <c r="U550" s="618"/>
      <c r="V550" s="618"/>
      <c r="W550" s="618"/>
      <c r="X550" s="618"/>
      <c r="Y550" s="618"/>
      <c r="Z550" s="618"/>
      <c r="AA550" s="618"/>
      <c r="AB550" s="618"/>
      <c r="AC550" s="618"/>
      <c r="AD550" s="618"/>
      <c r="AE550" s="618"/>
      <c r="AF550" s="618"/>
      <c r="AG550" s="618"/>
      <c r="AH550" s="618"/>
      <c r="AI550" s="618"/>
      <c r="AJ550" s="618"/>
      <c r="AK550" s="618"/>
      <c r="AL550" s="618"/>
      <c r="AM550" s="3"/>
      <c r="AN550" s="3"/>
      <c r="AO550" s="3"/>
      <c r="AP550" s="3"/>
      <c r="AQ550" s="3"/>
      <c r="AR550" s="3"/>
      <c r="AS550" s="3"/>
      <c r="AT550" s="3"/>
      <c r="AU550" s="3"/>
      <c r="AV550" s="3"/>
      <c r="AW550" s="3"/>
      <c r="AX550" s="3"/>
      <c r="AY550" s="3"/>
      <c r="AZ550" s="3"/>
      <c r="BA550" s="3"/>
      <c r="BB550" s="3"/>
      <c r="BC550" s="3"/>
      <c r="BD550" s="3"/>
      <c r="BE550" s="3"/>
      <c r="BF550" s="3"/>
    </row>
    <row r="551" spans="1:58" ht="14.25" customHeight="1" x14ac:dyDescent="0.45">
      <c r="A551" s="618"/>
      <c r="B551" s="215"/>
      <c r="C551" s="220"/>
      <c r="D551" s="228" t="s">
        <v>193</v>
      </c>
      <c r="E551" s="229">
        <f t="shared" si="22"/>
        <v>6.085</v>
      </c>
      <c r="F551" s="229">
        <f t="shared" si="22"/>
        <v>4.3956999999999997</v>
      </c>
      <c r="G551" s="229">
        <f t="shared" si="22"/>
        <v>3.2778999999999998</v>
      </c>
      <c r="H551" s="229">
        <f t="shared" si="22"/>
        <v>3.0028000000000001</v>
      </c>
      <c r="I551" s="618"/>
      <c r="J551" s="618"/>
      <c r="K551" s="618"/>
      <c r="L551" s="618"/>
      <c r="M551" s="618"/>
      <c r="N551" s="618"/>
      <c r="O551" s="618"/>
      <c r="P551" s="618"/>
      <c r="Q551" s="618"/>
      <c r="R551" s="618"/>
      <c r="S551" s="618"/>
      <c r="T551" s="618"/>
      <c r="U551" s="618"/>
      <c r="V551" s="618"/>
      <c r="W551" s="618"/>
      <c r="X551" s="618"/>
      <c r="Y551" s="618"/>
      <c r="Z551" s="618"/>
      <c r="AA551" s="618"/>
      <c r="AB551" s="618"/>
      <c r="AC551" s="618"/>
      <c r="AD551" s="618"/>
      <c r="AE551" s="618"/>
      <c r="AF551" s="618"/>
      <c r="AG551" s="618"/>
      <c r="AH551" s="618"/>
      <c r="AI551" s="618"/>
      <c r="AJ551" s="618"/>
      <c r="AK551" s="618"/>
      <c r="AL551" s="618"/>
      <c r="AM551" s="3"/>
      <c r="AN551" s="3"/>
      <c r="AO551" s="3"/>
      <c r="AP551" s="3"/>
      <c r="AQ551" s="3"/>
      <c r="AR551" s="3"/>
      <c r="AS551" s="3"/>
      <c r="AT551" s="3"/>
      <c r="AU551" s="3"/>
      <c r="AV551" s="3"/>
      <c r="AW551" s="3"/>
      <c r="AX551" s="3"/>
      <c r="AY551" s="3"/>
      <c r="AZ551" s="3"/>
      <c r="BA551" s="3"/>
      <c r="BB551" s="3"/>
      <c r="BC551" s="3"/>
      <c r="BD551" s="3"/>
      <c r="BE551" s="3"/>
      <c r="BF551" s="3"/>
    </row>
    <row r="552" spans="1:58" ht="14.25" customHeight="1" x14ac:dyDescent="0.45">
      <c r="A552" s="618"/>
      <c r="B552" s="215"/>
      <c r="C552" s="220" t="s">
        <v>194</v>
      </c>
      <c r="D552" s="221" t="s">
        <v>195</v>
      </c>
      <c r="E552" s="28">
        <f t="shared" si="22"/>
        <v>6.085</v>
      </c>
      <c r="F552" s="28">
        <f t="shared" si="22"/>
        <v>4.3956999999999997</v>
      </c>
      <c r="G552" s="28">
        <f t="shared" si="22"/>
        <v>3.2778999999999998</v>
      </c>
      <c r="H552" s="28">
        <f t="shared" si="22"/>
        <v>3.0028000000000001</v>
      </c>
      <c r="I552" s="618"/>
      <c r="J552" s="618"/>
      <c r="K552" s="618"/>
      <c r="L552" s="618"/>
      <c r="M552" s="618"/>
      <c r="N552" s="618"/>
      <c r="O552" s="618"/>
      <c r="P552" s="618"/>
      <c r="Q552" s="618"/>
      <c r="R552" s="618"/>
      <c r="S552" s="618"/>
      <c r="T552" s="618"/>
      <c r="U552" s="618"/>
      <c r="V552" s="618"/>
      <c r="W552" s="618"/>
      <c r="X552" s="618"/>
      <c r="Y552" s="618"/>
      <c r="Z552" s="618"/>
      <c r="AA552" s="618"/>
      <c r="AB552" s="618"/>
      <c r="AC552" s="618"/>
      <c r="AD552" s="618"/>
      <c r="AE552" s="618"/>
      <c r="AF552" s="618"/>
      <c r="AG552" s="618"/>
      <c r="AH552" s="618"/>
      <c r="AI552" s="618"/>
      <c r="AJ552" s="618"/>
      <c r="AK552" s="618"/>
      <c r="AL552" s="618"/>
      <c r="AM552" s="3"/>
      <c r="AN552" s="3"/>
      <c r="AO552" s="3"/>
      <c r="AP552" s="3"/>
      <c r="AQ552" s="3"/>
      <c r="AR552" s="3"/>
      <c r="AS552" s="3"/>
      <c r="AT552" s="3"/>
      <c r="AU552" s="3"/>
      <c r="AV552" s="3"/>
      <c r="AW552" s="3"/>
      <c r="AX552" s="3"/>
      <c r="AY552" s="3"/>
      <c r="AZ552" s="3"/>
      <c r="BA552" s="3"/>
      <c r="BB552" s="3"/>
      <c r="BC552" s="3"/>
      <c r="BD552" s="3"/>
      <c r="BE552" s="3"/>
      <c r="BF552" s="3"/>
    </row>
    <row r="553" spans="1:58" ht="14.25" customHeight="1" x14ac:dyDescent="0.45">
      <c r="A553" s="618"/>
      <c r="B553" s="215"/>
      <c r="C553" s="220"/>
      <c r="D553" s="224" t="s">
        <v>347</v>
      </c>
      <c r="E553" s="295">
        <f t="shared" si="22"/>
        <v>0.16220000000000001</v>
      </c>
      <c r="F553" s="295">
        <f t="shared" si="22"/>
        <v>0.14660000000000001</v>
      </c>
      <c r="G553" s="295">
        <f t="shared" si="22"/>
        <v>0.15670000000000001</v>
      </c>
      <c r="H553" s="295">
        <f t="shared" si="22"/>
        <v>0.15010000000000001</v>
      </c>
      <c r="I553" s="618"/>
      <c r="J553" s="618"/>
      <c r="K553" s="618"/>
      <c r="L553" s="618"/>
      <c r="M553" s="618"/>
      <c r="N553" s="618"/>
      <c r="O553" s="618"/>
      <c r="P553" s="618"/>
      <c r="Q553" s="618"/>
      <c r="R553" s="618"/>
      <c r="S553" s="618"/>
      <c r="T553" s="618"/>
      <c r="U553" s="618"/>
      <c r="V553" s="618"/>
      <c r="W553" s="618"/>
      <c r="X553" s="618"/>
      <c r="Y553" s="618"/>
      <c r="Z553" s="618"/>
      <c r="AA553" s="618"/>
      <c r="AB553" s="618"/>
      <c r="AC553" s="618"/>
      <c r="AD553" s="618"/>
      <c r="AE553" s="618"/>
      <c r="AF553" s="618"/>
      <c r="AG553" s="618"/>
      <c r="AH553" s="618"/>
      <c r="AI553" s="618"/>
      <c r="AJ553" s="618"/>
      <c r="AK553" s="618"/>
      <c r="AL553" s="618"/>
      <c r="AM553" s="3"/>
      <c r="AN553" s="3"/>
      <c r="AO553" s="3"/>
      <c r="AP553" s="3"/>
      <c r="AQ553" s="3"/>
      <c r="AR553" s="3"/>
      <c r="AS553" s="3"/>
      <c r="AT553" s="3"/>
      <c r="AU553" s="3"/>
      <c r="AV553" s="3"/>
      <c r="AW553" s="3"/>
      <c r="AX553" s="3"/>
      <c r="AY553" s="3"/>
      <c r="AZ553" s="3"/>
      <c r="BA553" s="3"/>
      <c r="BB553" s="3"/>
      <c r="BC553" s="3"/>
      <c r="BD553" s="3"/>
      <c r="BE553" s="3"/>
      <c r="BF553" s="3"/>
    </row>
    <row r="554" spans="1:58" ht="14.25" customHeight="1" x14ac:dyDescent="0.45">
      <c r="A554" s="618"/>
      <c r="B554" s="215"/>
      <c r="C554" s="220"/>
      <c r="D554" s="228" t="s">
        <v>197</v>
      </c>
      <c r="E554" s="229">
        <f t="shared" si="22"/>
        <v>0</v>
      </c>
      <c r="F554" s="229">
        <f t="shared" si="22"/>
        <v>0</v>
      </c>
      <c r="G554" s="229">
        <f t="shared" si="22"/>
        <v>0</v>
      </c>
      <c r="H554" s="229">
        <f t="shared" si="22"/>
        <v>0</v>
      </c>
      <c r="I554" s="618"/>
      <c r="J554" s="618"/>
      <c r="K554" s="618"/>
      <c r="L554" s="618"/>
      <c r="M554" s="618"/>
      <c r="N554" s="618"/>
      <c r="O554" s="618"/>
      <c r="P554" s="618"/>
      <c r="Q554" s="618"/>
      <c r="R554" s="618"/>
      <c r="S554" s="618"/>
      <c r="T554" s="618"/>
      <c r="U554" s="618"/>
      <c r="V554" s="618"/>
      <c r="W554" s="618"/>
      <c r="X554" s="618"/>
      <c r="Y554" s="618"/>
      <c r="Z554" s="618"/>
      <c r="AA554" s="618"/>
      <c r="AB554" s="618"/>
      <c r="AC554" s="618"/>
      <c r="AD554" s="618"/>
      <c r="AE554" s="618"/>
      <c r="AF554" s="618"/>
      <c r="AG554" s="618"/>
      <c r="AH554" s="618"/>
      <c r="AI554" s="618"/>
      <c r="AJ554" s="618"/>
      <c r="AK554" s="618"/>
      <c r="AL554" s="618"/>
      <c r="AM554" s="3"/>
      <c r="AN554" s="3"/>
      <c r="AO554" s="3"/>
      <c r="AP554" s="3"/>
      <c r="AQ554" s="3"/>
      <c r="AR554" s="3"/>
      <c r="AS554" s="3"/>
      <c r="AT554" s="3"/>
      <c r="AU554" s="3"/>
      <c r="AV554" s="3"/>
      <c r="AW554" s="3"/>
      <c r="AX554" s="3"/>
      <c r="AY554" s="3"/>
      <c r="AZ554" s="3"/>
      <c r="BA554" s="3"/>
      <c r="BB554" s="3"/>
      <c r="BC554" s="3"/>
      <c r="BD554" s="3"/>
      <c r="BE554" s="3"/>
      <c r="BF554" s="3"/>
    </row>
    <row r="555" spans="1:58" ht="14.25" customHeight="1" x14ac:dyDescent="0.45">
      <c r="A555" s="618"/>
      <c r="B555" s="215"/>
      <c r="C555" s="220" t="s">
        <v>198</v>
      </c>
      <c r="D555" s="221" t="s">
        <v>196</v>
      </c>
      <c r="E555" s="232">
        <f t="shared" si="22"/>
        <v>0.16220000000000001</v>
      </c>
      <c r="F555" s="232">
        <f t="shared" si="22"/>
        <v>0.14660000000000001</v>
      </c>
      <c r="G555" s="232">
        <f t="shared" si="22"/>
        <v>0.15670000000000001</v>
      </c>
      <c r="H555" s="232">
        <f t="shared" si="22"/>
        <v>0.15010000000000001</v>
      </c>
      <c r="I555" s="618"/>
      <c r="J555" s="618"/>
      <c r="K555" s="618"/>
      <c r="L555" s="618"/>
      <c r="M555" s="618"/>
      <c r="N555" s="618"/>
      <c r="O555" s="618"/>
      <c r="P555" s="618"/>
      <c r="Q555" s="618"/>
      <c r="R555" s="618"/>
      <c r="S555" s="618"/>
      <c r="T555" s="618"/>
      <c r="U555" s="618"/>
      <c r="V555" s="618"/>
      <c r="W555" s="618"/>
      <c r="X555" s="618"/>
      <c r="Y555" s="618"/>
      <c r="Z555" s="618"/>
      <c r="AA555" s="618"/>
      <c r="AB555" s="618"/>
      <c r="AC555" s="618"/>
      <c r="AD555" s="618"/>
      <c r="AE555" s="618"/>
      <c r="AF555" s="618"/>
      <c r="AG555" s="618"/>
      <c r="AH555" s="618"/>
      <c r="AI555" s="618"/>
      <c r="AJ555" s="618"/>
      <c r="AK555" s="618"/>
      <c r="AL555" s="618"/>
      <c r="AM555" s="3"/>
      <c r="AN555" s="3"/>
      <c r="AO555" s="3"/>
      <c r="AP555" s="3"/>
      <c r="AQ555" s="3"/>
      <c r="AR555" s="3"/>
      <c r="AS555" s="3"/>
      <c r="AT555" s="3"/>
      <c r="AU555" s="3"/>
      <c r="AV555" s="3"/>
      <c r="AW555" s="3"/>
      <c r="AX555" s="3"/>
      <c r="AY555" s="3"/>
      <c r="AZ555" s="3"/>
      <c r="BA555" s="3"/>
      <c r="BB555" s="3"/>
      <c r="BC555" s="3"/>
      <c r="BD555" s="3"/>
      <c r="BE555" s="3"/>
      <c r="BF555" s="3"/>
    </row>
    <row r="556" spans="1:58" ht="14.25" customHeight="1" x14ac:dyDescent="0.45">
      <c r="A556" s="618"/>
      <c r="B556" s="215"/>
      <c r="C556" s="220"/>
      <c r="D556" s="234" t="s">
        <v>199</v>
      </c>
      <c r="E556" s="218">
        <f t="shared" si="22"/>
        <v>0</v>
      </c>
      <c r="F556" s="218">
        <f t="shared" si="22"/>
        <v>0</v>
      </c>
      <c r="G556" s="218">
        <f t="shared" si="22"/>
        <v>0</v>
      </c>
      <c r="H556" s="218">
        <f t="shared" si="22"/>
        <v>0</v>
      </c>
      <c r="I556" s="618"/>
      <c r="J556" s="618"/>
      <c r="K556" s="618"/>
      <c r="L556" s="618"/>
      <c r="M556" s="618"/>
      <c r="N556" s="618"/>
      <c r="O556" s="618"/>
      <c r="P556" s="618"/>
      <c r="Q556" s="618"/>
      <c r="R556" s="618"/>
      <c r="S556" s="618"/>
      <c r="T556" s="618"/>
      <c r="U556" s="618"/>
      <c r="V556" s="618"/>
      <c r="W556" s="618"/>
      <c r="X556" s="618"/>
      <c r="Y556" s="618"/>
      <c r="Z556" s="618"/>
      <c r="AA556" s="618"/>
      <c r="AB556" s="618"/>
      <c r="AC556" s="618"/>
      <c r="AD556" s="618"/>
      <c r="AE556" s="618"/>
      <c r="AF556" s="618"/>
      <c r="AG556" s="618"/>
      <c r="AH556" s="618"/>
      <c r="AI556" s="618"/>
      <c r="AJ556" s="618"/>
      <c r="AK556" s="618"/>
      <c r="AL556" s="618"/>
      <c r="AM556" s="3"/>
      <c r="AN556" s="3"/>
      <c r="AO556" s="3"/>
      <c r="AP556" s="3"/>
      <c r="AQ556" s="3"/>
      <c r="AR556" s="3"/>
      <c r="AS556" s="3"/>
      <c r="AT556" s="3"/>
      <c r="AU556" s="3"/>
      <c r="AV556" s="3"/>
      <c r="AW556" s="3"/>
      <c r="AX556" s="3"/>
      <c r="AY556" s="3"/>
      <c r="AZ556" s="3"/>
      <c r="BA556" s="3"/>
      <c r="BB556" s="3"/>
      <c r="BC556" s="3"/>
      <c r="BD556" s="3"/>
      <c r="BE556" s="3"/>
      <c r="BF556" s="3"/>
    </row>
    <row r="557" spans="1:58" ht="14.25" customHeight="1" x14ac:dyDescent="0.45">
      <c r="A557" s="618"/>
      <c r="B557" s="215"/>
      <c r="C557" s="220" t="s">
        <v>200</v>
      </c>
      <c r="D557" s="304" t="s">
        <v>201</v>
      </c>
      <c r="E557" s="232">
        <f t="shared" si="22"/>
        <v>0.37159999999999999</v>
      </c>
      <c r="F557" s="232">
        <f t="shared" si="22"/>
        <v>0.53610000000000002</v>
      </c>
      <c r="G557" s="232">
        <f t="shared" si="22"/>
        <v>0.50829999999999997</v>
      </c>
      <c r="H557" s="232">
        <f t="shared" si="22"/>
        <v>0.53559999999999997</v>
      </c>
      <c r="I557" s="618"/>
      <c r="J557" s="618"/>
      <c r="K557" s="618"/>
      <c r="L557" s="618"/>
      <c r="M557" s="618"/>
      <c r="N557" s="618"/>
      <c r="O557" s="618"/>
      <c r="P557" s="618"/>
      <c r="Q557" s="618"/>
      <c r="R557" s="618"/>
      <c r="S557" s="618"/>
      <c r="T557" s="618"/>
      <c r="U557" s="618"/>
      <c r="V557" s="618"/>
      <c r="W557" s="618"/>
      <c r="X557" s="618"/>
      <c r="Y557" s="618"/>
      <c r="Z557" s="618"/>
      <c r="AA557" s="618"/>
      <c r="AB557" s="618"/>
      <c r="AC557" s="618"/>
      <c r="AD557" s="618"/>
      <c r="AE557" s="618"/>
      <c r="AF557" s="618"/>
      <c r="AG557" s="618"/>
      <c r="AH557" s="618"/>
      <c r="AI557" s="618"/>
      <c r="AJ557" s="618"/>
      <c r="AK557" s="618"/>
      <c r="AL557" s="618"/>
      <c r="AM557" s="3"/>
      <c r="AN557" s="3"/>
      <c r="AO557" s="3"/>
      <c r="AP557" s="3"/>
      <c r="AQ557" s="3"/>
      <c r="AR557" s="3"/>
      <c r="AS557" s="3"/>
      <c r="AT557" s="3"/>
      <c r="AU557" s="3"/>
      <c r="AV557" s="3"/>
      <c r="AW557" s="3"/>
      <c r="AX557" s="3"/>
      <c r="AY557" s="3"/>
      <c r="AZ557" s="3"/>
      <c r="BA557" s="3"/>
      <c r="BB557" s="3"/>
      <c r="BC557" s="3"/>
      <c r="BD557" s="3"/>
      <c r="BE557" s="3"/>
      <c r="BF557" s="3"/>
    </row>
    <row r="558" spans="1:58" ht="14.25" customHeight="1" x14ac:dyDescent="0.45">
      <c r="A558" s="618"/>
      <c r="B558" s="215"/>
      <c r="C558" s="220" t="s">
        <v>202</v>
      </c>
      <c r="D558" s="304" t="s">
        <v>203</v>
      </c>
      <c r="E558" s="232">
        <f t="shared" si="22"/>
        <v>3.1625000000000001</v>
      </c>
      <c r="F558" s="232">
        <f t="shared" si="22"/>
        <v>4.2037000000000004</v>
      </c>
      <c r="G558" s="232">
        <f t="shared" si="22"/>
        <v>3.1303000000000001</v>
      </c>
      <c r="H558" s="232">
        <f t="shared" si="22"/>
        <v>3.7993000000000001</v>
      </c>
      <c r="I558" s="618"/>
      <c r="J558" s="618"/>
      <c r="K558" s="618"/>
      <c r="L558" s="618"/>
      <c r="M558" s="618"/>
      <c r="N558" s="618"/>
      <c r="O558" s="618"/>
      <c r="P558" s="618"/>
      <c r="Q558" s="618"/>
      <c r="R558" s="618"/>
      <c r="S558" s="618"/>
      <c r="T558" s="618"/>
      <c r="U558" s="618"/>
      <c r="V558" s="618"/>
      <c r="W558" s="618"/>
      <c r="X558" s="618"/>
      <c r="Y558" s="618"/>
      <c r="Z558" s="618"/>
      <c r="AA558" s="618"/>
      <c r="AB558" s="618"/>
      <c r="AC558" s="618"/>
      <c r="AD558" s="618"/>
      <c r="AE558" s="618"/>
      <c r="AF558" s="618"/>
      <c r="AG558" s="618"/>
      <c r="AH558" s="618"/>
      <c r="AI558" s="618"/>
      <c r="AJ558" s="618"/>
      <c r="AK558" s="618"/>
      <c r="AL558" s="618"/>
      <c r="AM558" s="3"/>
      <c r="AN558" s="3"/>
      <c r="AO558" s="3"/>
      <c r="AP558" s="3"/>
      <c r="AQ558" s="3"/>
      <c r="AR558" s="3"/>
      <c r="AS558" s="3"/>
      <c r="AT558" s="3"/>
      <c r="AU558" s="3"/>
      <c r="AV558" s="3"/>
      <c r="AW558" s="3"/>
      <c r="AX558" s="3"/>
      <c r="AY558" s="3"/>
      <c r="AZ558" s="3"/>
      <c r="BA558" s="3"/>
      <c r="BB558" s="3"/>
      <c r="BC558" s="3"/>
      <c r="BD558" s="3"/>
      <c r="BE558" s="3"/>
      <c r="BF558" s="3"/>
    </row>
    <row r="559" spans="1:58" ht="14.25" customHeight="1" x14ac:dyDescent="0.45">
      <c r="A559" s="618"/>
      <c r="B559" s="215"/>
      <c r="C559" s="220" t="s">
        <v>204</v>
      </c>
      <c r="D559" s="304" t="s">
        <v>205</v>
      </c>
      <c r="E559" s="232">
        <f t="shared" si="22"/>
        <v>0</v>
      </c>
      <c r="F559" s="232">
        <f t="shared" si="22"/>
        <v>0</v>
      </c>
      <c r="G559" s="232">
        <f t="shared" si="22"/>
        <v>0</v>
      </c>
      <c r="H559" s="232">
        <f t="shared" si="22"/>
        <v>0</v>
      </c>
      <c r="I559" s="618"/>
      <c r="J559" s="618"/>
      <c r="K559" s="618"/>
      <c r="L559" s="618"/>
      <c r="M559" s="618"/>
      <c r="N559" s="618"/>
      <c r="O559" s="618"/>
      <c r="P559" s="618"/>
      <c r="Q559" s="618"/>
      <c r="R559" s="618"/>
      <c r="S559" s="618"/>
      <c r="T559" s="618"/>
      <c r="U559" s="618"/>
      <c r="V559" s="618"/>
      <c r="W559" s="618"/>
      <c r="X559" s="618"/>
      <c r="Y559" s="618"/>
      <c r="Z559" s="618"/>
      <c r="AA559" s="618"/>
      <c r="AB559" s="618"/>
      <c r="AC559" s="618"/>
      <c r="AD559" s="618"/>
      <c r="AE559" s="618"/>
      <c r="AF559" s="618"/>
      <c r="AG559" s="618"/>
      <c r="AH559" s="618"/>
      <c r="AI559" s="618"/>
      <c r="AJ559" s="618"/>
      <c r="AK559" s="618"/>
      <c r="AL559" s="618"/>
      <c r="AM559" s="3"/>
      <c r="AN559" s="3"/>
      <c r="AO559" s="3"/>
      <c r="AP559" s="3"/>
      <c r="AQ559" s="3"/>
      <c r="AR559" s="3"/>
      <c r="AS559" s="3"/>
      <c r="AT559" s="3"/>
      <c r="AU559" s="3"/>
      <c r="AV559" s="3"/>
      <c r="AW559" s="3"/>
      <c r="AX559" s="3"/>
      <c r="AY559" s="3"/>
      <c r="AZ559" s="3"/>
      <c r="BA559" s="3"/>
      <c r="BB559" s="3"/>
      <c r="BC559" s="3"/>
      <c r="BD559" s="3"/>
      <c r="BE559" s="3"/>
      <c r="BF559" s="3"/>
    </row>
    <row r="560" spans="1:58" ht="14.25" customHeight="1" x14ac:dyDescent="0.45">
      <c r="A560" s="618"/>
      <c r="B560" s="215"/>
      <c r="C560" s="220" t="s">
        <v>206</v>
      </c>
      <c r="D560" s="304" t="s">
        <v>207</v>
      </c>
      <c r="E560" s="232">
        <f t="shared" si="22"/>
        <v>0</v>
      </c>
      <c r="F560" s="232">
        <f t="shared" si="22"/>
        <v>0</v>
      </c>
      <c r="G560" s="232">
        <f t="shared" si="22"/>
        <v>0</v>
      </c>
      <c r="H560" s="232">
        <f t="shared" si="22"/>
        <v>0</v>
      </c>
      <c r="I560" s="618"/>
      <c r="J560" s="618"/>
      <c r="K560" s="618"/>
      <c r="L560" s="618"/>
      <c r="M560" s="618"/>
      <c r="N560" s="618"/>
      <c r="O560" s="618"/>
      <c r="P560" s="618"/>
      <c r="Q560" s="618"/>
      <c r="R560" s="618"/>
      <c r="S560" s="618"/>
      <c r="T560" s="618"/>
      <c r="U560" s="618"/>
      <c r="V560" s="618"/>
      <c r="W560" s="618"/>
      <c r="X560" s="618"/>
      <c r="Y560" s="618"/>
      <c r="Z560" s="618"/>
      <c r="AA560" s="618"/>
      <c r="AB560" s="618"/>
      <c r="AC560" s="618"/>
      <c r="AD560" s="618"/>
      <c r="AE560" s="618"/>
      <c r="AF560" s="618"/>
      <c r="AG560" s="618"/>
      <c r="AH560" s="618"/>
      <c r="AI560" s="618"/>
      <c r="AJ560" s="618"/>
      <c r="AK560" s="618"/>
      <c r="AL560" s="618"/>
      <c r="AM560" s="3"/>
      <c r="AN560" s="3"/>
      <c r="AO560" s="3"/>
      <c r="AP560" s="3"/>
      <c r="AQ560" s="3"/>
      <c r="AR560" s="3"/>
      <c r="AS560" s="3"/>
      <c r="AT560" s="3"/>
      <c r="AU560" s="3"/>
      <c r="AV560" s="3"/>
      <c r="AW560" s="3"/>
      <c r="AX560" s="3"/>
      <c r="AY560" s="3"/>
      <c r="AZ560" s="3"/>
      <c r="BA560" s="3"/>
      <c r="BB560" s="3"/>
      <c r="BC560" s="3"/>
      <c r="BD560" s="3"/>
      <c r="BE560" s="3"/>
      <c r="BF560" s="3"/>
    </row>
    <row r="561" spans="1:58" ht="14.25" customHeight="1" x14ac:dyDescent="0.45">
      <c r="A561" s="618"/>
      <c r="B561" s="215"/>
      <c r="C561" s="220" t="s">
        <v>208</v>
      </c>
      <c r="D561" s="304" t="s">
        <v>209</v>
      </c>
      <c r="E561" s="232">
        <f t="shared" si="22"/>
        <v>6.4592999999999998</v>
      </c>
      <c r="F561" s="232">
        <f t="shared" si="22"/>
        <v>7.1669</v>
      </c>
      <c r="G561" s="232">
        <f t="shared" si="22"/>
        <v>6.6074999999999999</v>
      </c>
      <c r="H561" s="232">
        <f t="shared" si="22"/>
        <v>7.1262999999999996</v>
      </c>
      <c r="I561" s="618"/>
      <c r="J561" s="618"/>
      <c r="K561" s="618"/>
      <c r="L561" s="618"/>
      <c r="M561" s="618"/>
      <c r="N561" s="618"/>
      <c r="O561" s="618"/>
      <c r="P561" s="618"/>
      <c r="Q561" s="618"/>
      <c r="R561" s="618"/>
      <c r="S561" s="618"/>
      <c r="T561" s="618"/>
      <c r="U561" s="618"/>
      <c r="V561" s="618"/>
      <c r="W561" s="618"/>
      <c r="X561" s="618"/>
      <c r="Y561" s="618"/>
      <c r="Z561" s="618"/>
      <c r="AA561" s="618"/>
      <c r="AB561" s="618"/>
      <c r="AC561" s="618"/>
      <c r="AD561" s="618"/>
      <c r="AE561" s="618"/>
      <c r="AF561" s="618"/>
      <c r="AG561" s="618"/>
      <c r="AH561" s="618"/>
      <c r="AI561" s="618"/>
      <c r="AJ561" s="618"/>
      <c r="AK561" s="618"/>
      <c r="AL561" s="618"/>
      <c r="AM561" s="3"/>
      <c r="AN561" s="3"/>
      <c r="AO561" s="3"/>
      <c r="AP561" s="3"/>
      <c r="AQ561" s="3"/>
      <c r="AR561" s="3"/>
      <c r="AS561" s="3"/>
      <c r="AT561" s="3"/>
      <c r="AU561" s="3"/>
      <c r="AV561" s="3"/>
      <c r="AW561" s="3"/>
      <c r="AX561" s="3"/>
      <c r="AY561" s="3"/>
      <c r="AZ561" s="3"/>
      <c r="BA561" s="3"/>
      <c r="BB561" s="3"/>
      <c r="BC561" s="3"/>
      <c r="BD561" s="3"/>
      <c r="BE561" s="3"/>
      <c r="BF561" s="3"/>
    </row>
    <row r="562" spans="1:58" ht="14.25" customHeight="1" x14ac:dyDescent="0.45">
      <c r="A562" s="618"/>
      <c r="B562" s="215"/>
      <c r="C562" s="220" t="s">
        <v>210</v>
      </c>
      <c r="D562" s="304" t="s">
        <v>211</v>
      </c>
      <c r="E562" s="232">
        <f t="shared" si="22"/>
        <v>17.466100000000001</v>
      </c>
      <c r="F562" s="232">
        <f t="shared" si="22"/>
        <v>19.9786</v>
      </c>
      <c r="G562" s="232">
        <f t="shared" si="22"/>
        <v>18.5183</v>
      </c>
      <c r="H562" s="232">
        <f t="shared" si="22"/>
        <v>19.544899999999998</v>
      </c>
      <c r="I562" s="618"/>
      <c r="J562" s="618"/>
      <c r="K562" s="618"/>
      <c r="L562" s="618"/>
      <c r="M562" s="618"/>
      <c r="N562" s="618"/>
      <c r="O562" s="618"/>
      <c r="P562" s="618"/>
      <c r="Q562" s="618"/>
      <c r="R562" s="618"/>
      <c r="S562" s="618"/>
      <c r="T562" s="618"/>
      <c r="U562" s="618"/>
      <c r="V562" s="618"/>
      <c r="W562" s="618"/>
      <c r="X562" s="618"/>
      <c r="Y562" s="618"/>
      <c r="Z562" s="618"/>
      <c r="AA562" s="618"/>
      <c r="AB562" s="618"/>
      <c r="AC562" s="618"/>
      <c r="AD562" s="618"/>
      <c r="AE562" s="618"/>
      <c r="AF562" s="618"/>
      <c r="AG562" s="618"/>
      <c r="AH562" s="618"/>
      <c r="AI562" s="618"/>
      <c r="AJ562" s="618"/>
      <c r="AK562" s="618"/>
      <c r="AL562" s="618"/>
      <c r="AM562" s="3"/>
      <c r="AN562" s="3"/>
      <c r="AO562" s="3"/>
      <c r="AP562" s="3"/>
      <c r="AQ562" s="3"/>
      <c r="AR562" s="3"/>
      <c r="AS562" s="3"/>
      <c r="AT562" s="3"/>
      <c r="AU562" s="3"/>
      <c r="AV562" s="3"/>
      <c r="AW562" s="3"/>
      <c r="AX562" s="3"/>
      <c r="AY562" s="3"/>
      <c r="AZ562" s="3"/>
      <c r="BA562" s="3"/>
      <c r="BB562" s="3"/>
      <c r="BC562" s="3"/>
      <c r="BD562" s="3"/>
      <c r="BE562" s="3"/>
      <c r="BF562" s="3"/>
    </row>
    <row r="563" spans="1:58" ht="14.25" customHeight="1" x14ac:dyDescent="0.45">
      <c r="A563" s="618"/>
      <c r="B563" s="215"/>
      <c r="C563" s="220"/>
      <c r="D563" s="234" t="s">
        <v>212</v>
      </c>
      <c r="E563" s="232">
        <f t="shared" si="22"/>
        <v>0</v>
      </c>
      <c r="F563" s="232">
        <f t="shared" si="22"/>
        <v>0</v>
      </c>
      <c r="G563" s="232">
        <f t="shared" si="22"/>
        <v>0</v>
      </c>
      <c r="H563" s="232">
        <f t="shared" si="22"/>
        <v>0</v>
      </c>
      <c r="I563" s="618"/>
      <c r="J563" s="618"/>
      <c r="K563" s="618"/>
      <c r="L563" s="618"/>
      <c r="M563" s="618"/>
      <c r="N563" s="618"/>
      <c r="O563" s="618"/>
      <c r="P563" s="618"/>
      <c r="Q563" s="618"/>
      <c r="R563" s="618"/>
      <c r="S563" s="618"/>
      <c r="T563" s="618"/>
      <c r="U563" s="618"/>
      <c r="V563" s="618"/>
      <c r="W563" s="618"/>
      <c r="X563" s="618"/>
      <c r="Y563" s="618"/>
      <c r="Z563" s="618"/>
      <c r="AA563" s="618"/>
      <c r="AB563" s="618"/>
      <c r="AC563" s="618"/>
      <c r="AD563" s="618"/>
      <c r="AE563" s="618"/>
      <c r="AF563" s="618"/>
      <c r="AG563" s="618"/>
      <c r="AH563" s="618"/>
      <c r="AI563" s="618"/>
      <c r="AJ563" s="618"/>
      <c r="AK563" s="618"/>
      <c r="AL563" s="618"/>
      <c r="AM563" s="3"/>
      <c r="AN563" s="3"/>
      <c r="AO563" s="3"/>
      <c r="AP563" s="3"/>
      <c r="AQ563" s="3"/>
      <c r="AR563" s="3"/>
      <c r="AS563" s="3"/>
      <c r="AT563" s="3"/>
      <c r="AU563" s="3"/>
      <c r="AV563" s="3"/>
      <c r="AW563" s="3"/>
      <c r="AX563" s="3"/>
      <c r="AY563" s="3"/>
      <c r="AZ563" s="3"/>
      <c r="BA563" s="3"/>
      <c r="BB563" s="3"/>
      <c r="BC563" s="3"/>
      <c r="BD563" s="3"/>
      <c r="BE563" s="3"/>
      <c r="BF563" s="3"/>
    </row>
    <row r="564" spans="1:58" ht="14.25" customHeight="1" x14ac:dyDescent="0.45">
      <c r="A564" s="618"/>
      <c r="B564" s="215"/>
      <c r="C564" s="220" t="s">
        <v>213</v>
      </c>
      <c r="D564" s="304" t="s">
        <v>201</v>
      </c>
      <c r="E564" s="232">
        <f t="shared" si="22"/>
        <v>0.96150000000000002</v>
      </c>
      <c r="F564" s="232">
        <f t="shared" si="22"/>
        <v>0.9667</v>
      </c>
      <c r="G564" s="232">
        <f t="shared" si="22"/>
        <v>1.0781000000000001</v>
      </c>
      <c r="H564" s="232">
        <f t="shared" si="22"/>
        <v>1.331</v>
      </c>
      <c r="I564" s="618"/>
      <c r="J564" s="618"/>
      <c r="K564" s="618"/>
      <c r="L564" s="618"/>
      <c r="M564" s="618"/>
      <c r="N564" s="618"/>
      <c r="O564" s="618"/>
      <c r="P564" s="618"/>
      <c r="Q564" s="618"/>
      <c r="R564" s="618"/>
      <c r="S564" s="618"/>
      <c r="T564" s="618"/>
      <c r="U564" s="618"/>
      <c r="V564" s="618"/>
      <c r="W564" s="618"/>
      <c r="X564" s="618"/>
      <c r="Y564" s="618"/>
      <c r="Z564" s="618"/>
      <c r="AA564" s="618"/>
      <c r="AB564" s="618"/>
      <c r="AC564" s="618"/>
      <c r="AD564" s="618"/>
      <c r="AE564" s="618"/>
      <c r="AF564" s="618"/>
      <c r="AG564" s="618"/>
      <c r="AH564" s="618"/>
      <c r="AI564" s="618"/>
      <c r="AJ564" s="618"/>
      <c r="AK564" s="618"/>
      <c r="AL564" s="618"/>
      <c r="AM564" s="3"/>
      <c r="AN564" s="3"/>
      <c r="AO564" s="3"/>
      <c r="AP564" s="3"/>
      <c r="AQ564" s="3"/>
      <c r="AR564" s="3"/>
      <c r="AS564" s="3"/>
      <c r="AT564" s="3"/>
      <c r="AU564" s="3"/>
      <c r="AV564" s="3"/>
      <c r="AW564" s="3"/>
      <c r="AX564" s="3"/>
      <c r="AY564" s="3"/>
      <c r="AZ564" s="3"/>
      <c r="BA564" s="3"/>
      <c r="BB564" s="3"/>
      <c r="BC564" s="3"/>
      <c r="BD564" s="3"/>
      <c r="BE564" s="3"/>
      <c r="BF564" s="3"/>
    </row>
    <row r="565" spans="1:58" ht="14.25" customHeight="1" x14ac:dyDescent="0.45">
      <c r="A565" s="618"/>
      <c r="B565" s="215"/>
      <c r="C565" s="220" t="s">
        <v>214</v>
      </c>
      <c r="D565" s="304" t="s">
        <v>203</v>
      </c>
      <c r="E565" s="232">
        <f t="shared" si="22"/>
        <v>1.3862000000000001</v>
      </c>
      <c r="F565" s="232">
        <f t="shared" si="22"/>
        <v>4.7884000000000002</v>
      </c>
      <c r="G565" s="232">
        <f t="shared" si="22"/>
        <v>4.8201000000000001</v>
      </c>
      <c r="H565" s="232">
        <f t="shared" si="22"/>
        <v>5.4885000000000002</v>
      </c>
      <c r="I565" s="618"/>
      <c r="J565" s="618"/>
      <c r="K565" s="618"/>
      <c r="L565" s="618"/>
      <c r="M565" s="618"/>
      <c r="N565" s="618"/>
      <c r="O565" s="618"/>
      <c r="P565" s="618"/>
      <c r="Q565" s="618"/>
      <c r="R565" s="618"/>
      <c r="S565" s="618"/>
      <c r="T565" s="618"/>
      <c r="U565" s="618"/>
      <c r="V565" s="618"/>
      <c r="W565" s="618"/>
      <c r="X565" s="618"/>
      <c r="Y565" s="618"/>
      <c r="Z565" s="618"/>
      <c r="AA565" s="618"/>
      <c r="AB565" s="618"/>
      <c r="AC565" s="618"/>
      <c r="AD565" s="618"/>
      <c r="AE565" s="618"/>
      <c r="AF565" s="618"/>
      <c r="AG565" s="618"/>
      <c r="AH565" s="618"/>
      <c r="AI565" s="618"/>
      <c r="AJ565" s="618"/>
      <c r="AK565" s="618"/>
      <c r="AL565" s="618"/>
      <c r="AM565" s="3"/>
      <c r="AN565" s="3"/>
      <c r="AO565" s="3"/>
      <c r="AP565" s="3"/>
      <c r="AQ565" s="3"/>
      <c r="AR565" s="3"/>
      <c r="AS565" s="3"/>
      <c r="AT565" s="3"/>
      <c r="AU565" s="3"/>
      <c r="AV565" s="3"/>
      <c r="AW565" s="3"/>
      <c r="AX565" s="3"/>
      <c r="AY565" s="3"/>
      <c r="AZ565" s="3"/>
      <c r="BA565" s="3"/>
      <c r="BB565" s="3"/>
      <c r="BC565" s="3"/>
      <c r="BD565" s="3"/>
      <c r="BE565" s="3"/>
      <c r="BF565" s="3"/>
    </row>
    <row r="566" spans="1:58" ht="14.25" customHeight="1" x14ac:dyDescent="0.45">
      <c r="A566" s="618"/>
      <c r="B566" s="215"/>
      <c r="C566" s="220" t="s">
        <v>215</v>
      </c>
      <c r="D566" s="304" t="s">
        <v>205</v>
      </c>
      <c r="E566" s="232">
        <f t="shared" si="22"/>
        <v>0</v>
      </c>
      <c r="F566" s="232">
        <f t="shared" si="22"/>
        <v>0</v>
      </c>
      <c r="G566" s="232">
        <f t="shared" si="22"/>
        <v>0</v>
      </c>
      <c r="H566" s="232">
        <f t="shared" si="22"/>
        <v>0</v>
      </c>
      <c r="I566" s="618"/>
      <c r="J566" s="618"/>
      <c r="K566" s="618"/>
      <c r="L566" s="618"/>
      <c r="M566" s="618"/>
      <c r="N566" s="618"/>
      <c r="O566" s="618"/>
      <c r="P566" s="618"/>
      <c r="Q566" s="618"/>
      <c r="R566" s="618"/>
      <c r="S566" s="618"/>
      <c r="T566" s="618"/>
      <c r="U566" s="618"/>
      <c r="V566" s="618"/>
      <c r="W566" s="618"/>
      <c r="X566" s="618"/>
      <c r="Y566" s="618"/>
      <c r="Z566" s="618"/>
      <c r="AA566" s="618"/>
      <c r="AB566" s="618"/>
      <c r="AC566" s="618"/>
      <c r="AD566" s="618"/>
      <c r="AE566" s="618"/>
      <c r="AF566" s="618"/>
      <c r="AG566" s="618"/>
      <c r="AH566" s="618"/>
      <c r="AI566" s="618"/>
      <c r="AJ566" s="618"/>
      <c r="AK566" s="618"/>
      <c r="AL566" s="618"/>
      <c r="AM566" s="3"/>
      <c r="AN566" s="3"/>
      <c r="AO566" s="3"/>
      <c r="AP566" s="3"/>
      <c r="AQ566" s="3"/>
      <c r="AR566" s="3"/>
      <c r="AS566" s="3"/>
      <c r="AT566" s="3"/>
      <c r="AU566" s="3"/>
      <c r="AV566" s="3"/>
      <c r="AW566" s="3"/>
      <c r="AX566" s="3"/>
      <c r="AY566" s="3"/>
      <c r="AZ566" s="3"/>
      <c r="BA566" s="3"/>
      <c r="BB566" s="3"/>
      <c r="BC566" s="3"/>
      <c r="BD566" s="3"/>
      <c r="BE566" s="3"/>
      <c r="BF566" s="3"/>
    </row>
    <row r="567" spans="1:58" ht="14.25" customHeight="1" x14ac:dyDescent="0.45">
      <c r="A567" s="618"/>
      <c r="B567" s="215"/>
      <c r="C567" s="220" t="s">
        <v>216</v>
      </c>
      <c r="D567" s="304" t="s">
        <v>207</v>
      </c>
      <c r="E567" s="232">
        <f t="shared" si="22"/>
        <v>9.6891999999999996</v>
      </c>
      <c r="F567" s="232">
        <f t="shared" si="22"/>
        <v>11.860099999999999</v>
      </c>
      <c r="G567" s="232">
        <f t="shared" si="22"/>
        <v>10.1968</v>
      </c>
      <c r="H567" s="232">
        <f t="shared" si="22"/>
        <v>10.9937</v>
      </c>
      <c r="I567" s="618"/>
      <c r="J567" s="618"/>
      <c r="K567" s="618"/>
      <c r="L567" s="618"/>
      <c r="M567" s="618"/>
      <c r="N567" s="618"/>
      <c r="O567" s="618"/>
      <c r="P567" s="618"/>
      <c r="Q567" s="618"/>
      <c r="R567" s="618"/>
      <c r="S567" s="618"/>
      <c r="T567" s="618"/>
      <c r="U567" s="618"/>
      <c r="V567" s="618"/>
      <c r="W567" s="618"/>
      <c r="X567" s="618"/>
      <c r="Y567" s="618"/>
      <c r="Z567" s="618"/>
      <c r="AA567" s="618"/>
      <c r="AB567" s="618"/>
      <c r="AC567" s="618"/>
      <c r="AD567" s="618"/>
      <c r="AE567" s="618"/>
      <c r="AF567" s="618"/>
      <c r="AG567" s="618"/>
      <c r="AH567" s="618"/>
      <c r="AI567" s="618"/>
      <c r="AJ567" s="618"/>
      <c r="AK567" s="618"/>
      <c r="AL567" s="618"/>
      <c r="AM567" s="3"/>
      <c r="AN567" s="3"/>
      <c r="AO567" s="3"/>
      <c r="AP567" s="3"/>
      <c r="AQ567" s="3"/>
      <c r="AR567" s="3"/>
      <c r="AS567" s="3"/>
      <c r="AT567" s="3"/>
      <c r="AU567" s="3"/>
      <c r="AV567" s="3"/>
      <c r="AW567" s="3"/>
      <c r="AX567" s="3"/>
      <c r="AY567" s="3"/>
      <c r="AZ567" s="3"/>
      <c r="BA567" s="3"/>
      <c r="BB567" s="3"/>
      <c r="BC567" s="3"/>
      <c r="BD567" s="3"/>
      <c r="BE567" s="3"/>
      <c r="BF567" s="3"/>
    </row>
    <row r="568" spans="1:58" ht="14.25" customHeight="1" x14ac:dyDescent="0.45">
      <c r="A568" s="618"/>
      <c r="B568" s="215"/>
      <c r="C568" s="220" t="s">
        <v>217</v>
      </c>
      <c r="D568" s="304" t="s">
        <v>209</v>
      </c>
      <c r="E568" s="232">
        <f t="shared" si="22"/>
        <v>4.3959999999999999</v>
      </c>
      <c r="F568" s="232">
        <f t="shared" si="22"/>
        <v>6.8475000000000001</v>
      </c>
      <c r="G568" s="232">
        <f t="shared" si="22"/>
        <v>8.7922999999999991</v>
      </c>
      <c r="H568" s="232">
        <f t="shared" si="22"/>
        <v>9.4085000000000001</v>
      </c>
      <c r="I568" s="618"/>
      <c r="J568" s="618"/>
      <c r="K568" s="618"/>
      <c r="L568" s="618"/>
      <c r="M568" s="618"/>
      <c r="N568" s="618"/>
      <c r="O568" s="618"/>
      <c r="P568" s="618"/>
      <c r="Q568" s="618"/>
      <c r="R568" s="618"/>
      <c r="S568" s="618"/>
      <c r="T568" s="618"/>
      <c r="U568" s="618"/>
      <c r="V568" s="618"/>
      <c r="W568" s="618"/>
      <c r="X568" s="618"/>
      <c r="Y568" s="618"/>
      <c r="Z568" s="618"/>
      <c r="AA568" s="618"/>
      <c r="AB568" s="618"/>
      <c r="AC568" s="618"/>
      <c r="AD568" s="618"/>
      <c r="AE568" s="618"/>
      <c r="AF568" s="618"/>
      <c r="AG568" s="618"/>
      <c r="AH568" s="618"/>
      <c r="AI568" s="618"/>
      <c r="AJ568" s="618"/>
      <c r="AK568" s="618"/>
      <c r="AL568" s="618"/>
      <c r="AM568" s="3"/>
      <c r="AN568" s="3"/>
      <c r="AO568" s="3"/>
      <c r="AP568" s="3"/>
      <c r="AQ568" s="3"/>
      <c r="AR568" s="3"/>
      <c r="AS568" s="3"/>
      <c r="AT568" s="3"/>
      <c r="AU568" s="3"/>
      <c r="AV568" s="3"/>
      <c r="AW568" s="3"/>
      <c r="AX568" s="3"/>
      <c r="AY568" s="3"/>
      <c r="AZ568" s="3"/>
      <c r="BA568" s="3"/>
      <c r="BB568" s="3"/>
      <c r="BC568" s="3"/>
      <c r="BD568" s="3"/>
      <c r="BE568" s="3"/>
      <c r="BF568" s="3"/>
    </row>
    <row r="569" spans="1:58" ht="14.25" customHeight="1" x14ac:dyDescent="0.45">
      <c r="A569" s="618"/>
      <c r="B569" s="215"/>
      <c r="C569" s="220" t="s">
        <v>218</v>
      </c>
      <c r="D569" s="304" t="s">
        <v>211</v>
      </c>
      <c r="E569" s="232">
        <f t="shared" si="22"/>
        <v>29.6967</v>
      </c>
      <c r="F569" s="232">
        <f t="shared" si="22"/>
        <v>31.340900000000001</v>
      </c>
      <c r="G569" s="232">
        <f t="shared" si="22"/>
        <v>32.949800000000003</v>
      </c>
      <c r="H569" s="232">
        <f t="shared" si="22"/>
        <v>32.796599999999998</v>
      </c>
      <c r="I569" s="618"/>
      <c r="J569" s="618"/>
      <c r="K569" s="618"/>
      <c r="L569" s="618"/>
      <c r="M569" s="618"/>
      <c r="N569" s="618"/>
      <c r="O569" s="618"/>
      <c r="P569" s="618"/>
      <c r="Q569" s="618"/>
      <c r="R569" s="618"/>
      <c r="S569" s="618"/>
      <c r="T569" s="618"/>
      <c r="U569" s="618"/>
      <c r="V569" s="618"/>
      <c r="W569" s="618"/>
      <c r="X569" s="618"/>
      <c r="Y569" s="618"/>
      <c r="Z569" s="618"/>
      <c r="AA569" s="618"/>
      <c r="AB569" s="618"/>
      <c r="AC569" s="618"/>
      <c r="AD569" s="618"/>
      <c r="AE569" s="618"/>
      <c r="AF569" s="618"/>
      <c r="AG569" s="618"/>
      <c r="AH569" s="618"/>
      <c r="AI569" s="618"/>
      <c r="AJ569" s="618"/>
      <c r="AK569" s="618"/>
      <c r="AL569" s="618"/>
      <c r="AM569" s="3"/>
      <c r="AN569" s="3"/>
      <c r="AO569" s="3"/>
      <c r="AP569" s="3"/>
      <c r="AQ569" s="3"/>
      <c r="AR569" s="3"/>
      <c r="AS569" s="3"/>
      <c r="AT569" s="3"/>
      <c r="AU569" s="3"/>
      <c r="AV569" s="3"/>
      <c r="AW569" s="3"/>
      <c r="AX569" s="3"/>
      <c r="AY569" s="3"/>
      <c r="AZ569" s="3"/>
      <c r="BA569" s="3"/>
      <c r="BB569" s="3"/>
      <c r="BC569" s="3"/>
      <c r="BD569" s="3"/>
      <c r="BE569" s="3"/>
      <c r="BF569" s="3"/>
    </row>
    <row r="570" spans="1:58" ht="14.25" customHeight="1" x14ac:dyDescent="0.45">
      <c r="A570" s="618"/>
      <c r="B570" s="215"/>
      <c r="C570" s="220"/>
      <c r="D570" s="243" t="s">
        <v>59</v>
      </c>
      <c r="E570" s="28">
        <f>E530+E533+E534+E541+E542+E553</f>
        <v>90.378899999999987</v>
      </c>
      <c r="F570" s="28">
        <f>F530+F533+F534+F541+F542+F553</f>
        <v>100.31739999999999</v>
      </c>
      <c r="G570" s="28">
        <f>G530+G533+G534+G541+G542+G553</f>
        <v>97.235100000000003</v>
      </c>
      <c r="H570" s="51">
        <f>H530+H533+H534+H541+H542+H553</f>
        <v>100.35590000000001</v>
      </c>
      <c r="I570" s="618"/>
      <c r="J570" s="618"/>
      <c r="K570" s="618"/>
      <c r="L570" s="618"/>
      <c r="M570" s="618"/>
      <c r="N570" s="618"/>
      <c r="O570" s="618"/>
      <c r="P570" s="618"/>
      <c r="Q570" s="618"/>
      <c r="R570" s="618"/>
      <c r="S570" s="618"/>
      <c r="T570" s="618"/>
      <c r="U570" s="618"/>
      <c r="V570" s="618"/>
      <c r="W570" s="618"/>
      <c r="X570" s="618"/>
      <c r="Y570" s="618"/>
      <c r="Z570" s="618"/>
      <c r="AA570" s="618"/>
      <c r="AB570" s="618"/>
      <c r="AC570" s="618"/>
      <c r="AD570" s="618"/>
      <c r="AE570" s="618"/>
      <c r="AF570" s="618"/>
      <c r="AG570" s="618"/>
      <c r="AH570" s="618"/>
      <c r="AI570" s="618"/>
      <c r="AJ570" s="618"/>
      <c r="AK570" s="618"/>
      <c r="AL570" s="618"/>
      <c r="AM570" s="3"/>
      <c r="AN570" s="3"/>
      <c r="AO570" s="3"/>
      <c r="AP570" s="3"/>
      <c r="AQ570" s="3"/>
      <c r="AR570" s="3"/>
      <c r="AS570" s="3"/>
      <c r="AT570" s="3"/>
      <c r="AU570" s="3"/>
      <c r="AV570" s="3"/>
      <c r="AW570" s="3"/>
      <c r="AX570" s="3"/>
      <c r="AY570" s="3"/>
      <c r="AZ570" s="3"/>
      <c r="BA570" s="3"/>
      <c r="BB570" s="3"/>
      <c r="BC570" s="3"/>
      <c r="BD570" s="3"/>
      <c r="BE570" s="3"/>
      <c r="BF570" s="3"/>
    </row>
    <row r="571" spans="1:58" ht="14.25" customHeight="1" x14ac:dyDescent="0.45">
      <c r="A571" s="618"/>
      <c r="B571" s="215"/>
      <c r="C571" s="220"/>
      <c r="D571" s="221"/>
      <c r="E571" s="221"/>
      <c r="F571" s="221"/>
      <c r="G571" s="221"/>
      <c r="H571" s="221"/>
      <c r="I571" s="618"/>
      <c r="J571" s="618"/>
      <c r="K571" s="618"/>
      <c r="L571" s="618"/>
      <c r="M571" s="618"/>
      <c r="N571" s="618"/>
      <c r="O571" s="618"/>
      <c r="P571" s="618"/>
      <c r="Q571" s="618"/>
      <c r="R571" s="618"/>
      <c r="S571" s="618"/>
      <c r="T571" s="618"/>
      <c r="U571" s="618"/>
      <c r="V571" s="618"/>
      <c r="W571" s="618"/>
      <c r="X571" s="618"/>
      <c r="Y571" s="618"/>
      <c r="Z571" s="618"/>
      <c r="AA571" s="618"/>
      <c r="AB571" s="618"/>
      <c r="AC571" s="618"/>
      <c r="AD571" s="618"/>
      <c r="AE571" s="618"/>
      <c r="AF571" s="618"/>
      <c r="AG571" s="618"/>
      <c r="AH571" s="618"/>
      <c r="AI571" s="618"/>
      <c r="AJ571" s="618"/>
      <c r="AK571" s="618"/>
      <c r="AL571" s="618"/>
      <c r="AM571" s="3"/>
      <c r="AN571" s="3"/>
      <c r="AO571" s="3"/>
      <c r="AP571" s="3"/>
      <c r="AQ571" s="3"/>
      <c r="AR571" s="3"/>
      <c r="AS571" s="3"/>
      <c r="AT571" s="3"/>
      <c r="AU571" s="3"/>
      <c r="AV571" s="3"/>
      <c r="AW571" s="3"/>
      <c r="AX571" s="3"/>
      <c r="AY571" s="3"/>
      <c r="AZ571" s="3"/>
      <c r="BA571" s="3"/>
      <c r="BB571" s="3"/>
      <c r="BC571" s="3"/>
      <c r="BD571" s="3"/>
      <c r="BE571" s="3"/>
      <c r="BF571" s="3"/>
    </row>
    <row r="572" spans="1:58" ht="14.25" customHeight="1" x14ac:dyDescent="0.45">
      <c r="A572" s="618"/>
      <c r="B572" s="215"/>
      <c r="C572" s="220"/>
      <c r="D572" s="243" t="s">
        <v>351</v>
      </c>
      <c r="E572" s="243"/>
      <c r="F572" s="243"/>
      <c r="G572" s="243"/>
      <c r="H572" s="243"/>
      <c r="I572" s="618"/>
      <c r="J572" s="618"/>
      <c r="K572" s="618"/>
      <c r="L572" s="618"/>
      <c r="M572" s="618"/>
      <c r="N572" s="618"/>
      <c r="O572" s="618"/>
      <c r="P572" s="618"/>
      <c r="Q572" s="618"/>
      <c r="R572" s="618"/>
      <c r="S572" s="618"/>
      <c r="T572" s="618"/>
      <c r="U572" s="618"/>
      <c r="V572" s="618"/>
      <c r="W572" s="618"/>
      <c r="X572" s="618"/>
      <c r="Y572" s="618"/>
      <c r="Z572" s="618"/>
      <c r="AA572" s="618"/>
      <c r="AB572" s="618"/>
      <c r="AC572" s="618"/>
      <c r="AD572" s="618"/>
      <c r="AE572" s="618"/>
      <c r="AF572" s="618"/>
      <c r="AG572" s="618"/>
      <c r="AH572" s="618"/>
      <c r="AI572" s="618"/>
      <c r="AJ572" s="618"/>
      <c r="AK572" s="618"/>
      <c r="AL572" s="618"/>
      <c r="AM572" s="3"/>
      <c r="AN572" s="3"/>
      <c r="AO572" s="3"/>
      <c r="AP572" s="3"/>
      <c r="AQ572" s="3"/>
      <c r="AR572" s="3"/>
      <c r="AS572" s="3"/>
      <c r="AT572" s="3"/>
      <c r="AU572" s="3"/>
      <c r="AV572" s="3"/>
      <c r="AW572" s="3"/>
      <c r="AX572" s="3"/>
      <c r="AY572" s="3"/>
      <c r="AZ572" s="3"/>
      <c r="BA572" s="3"/>
      <c r="BB572" s="3"/>
      <c r="BC572" s="3"/>
      <c r="BD572" s="3"/>
      <c r="BE572" s="3"/>
      <c r="BF572" s="3"/>
    </row>
    <row r="573" spans="1:58" ht="14.25" customHeight="1" x14ac:dyDescent="0.45">
      <c r="A573" s="618"/>
      <c r="B573" s="215"/>
      <c r="C573" s="220"/>
      <c r="D573" s="224" t="s">
        <v>339</v>
      </c>
      <c r="E573" s="295">
        <f t="shared" ref="E573:H592" si="23">IFERROR(ROUND($F$529*$E$529*0.0036*E392*E49*$G$529,4),0)</f>
        <v>0</v>
      </c>
      <c r="F573" s="295">
        <f t="shared" si="23"/>
        <v>0</v>
      </c>
      <c r="G573" s="295">
        <f t="shared" si="23"/>
        <v>0</v>
      </c>
      <c r="H573" s="295">
        <f t="shared" si="23"/>
        <v>0</v>
      </c>
      <c r="I573" s="618"/>
      <c r="J573" s="618"/>
      <c r="K573" s="618"/>
      <c r="L573" s="618"/>
      <c r="M573" s="618"/>
      <c r="N573" s="618"/>
      <c r="O573" s="618"/>
      <c r="P573" s="618"/>
      <c r="Q573" s="618"/>
      <c r="R573" s="618"/>
      <c r="S573" s="618"/>
      <c r="T573" s="618"/>
      <c r="U573" s="618"/>
      <c r="V573" s="618"/>
      <c r="W573" s="618"/>
      <c r="X573" s="618"/>
      <c r="Y573" s="618"/>
      <c r="Z573" s="618"/>
      <c r="AA573" s="618"/>
      <c r="AB573" s="618"/>
      <c r="AC573" s="618"/>
      <c r="AD573" s="618"/>
      <c r="AE573" s="618"/>
      <c r="AF573" s="618"/>
      <c r="AG573" s="618"/>
      <c r="AH573" s="618"/>
      <c r="AI573" s="618"/>
      <c r="AJ573" s="618"/>
      <c r="AK573" s="618"/>
      <c r="AL573" s="618"/>
      <c r="AM573" s="3"/>
      <c r="AN573" s="3"/>
      <c r="AO573" s="3"/>
      <c r="AP573" s="3"/>
      <c r="AQ573" s="3"/>
      <c r="AR573" s="3"/>
      <c r="AS573" s="3"/>
      <c r="AT573" s="3"/>
      <c r="AU573" s="3"/>
      <c r="AV573" s="3"/>
      <c r="AW573" s="3"/>
      <c r="AX573" s="3"/>
      <c r="AY573" s="3"/>
      <c r="AZ573" s="3"/>
      <c r="BA573" s="3"/>
      <c r="BB573" s="3"/>
      <c r="BC573" s="3"/>
      <c r="BD573" s="3"/>
      <c r="BE573" s="3"/>
      <c r="BF573" s="3"/>
    </row>
    <row r="574" spans="1:58" ht="14.25" customHeight="1" x14ac:dyDescent="0.45">
      <c r="A574" s="618"/>
      <c r="B574" s="215"/>
      <c r="C574" s="220"/>
      <c r="D574" s="224" t="s">
        <v>340</v>
      </c>
      <c r="E574" s="295">
        <f t="shared" si="23"/>
        <v>2.3300000000000001E-2</v>
      </c>
      <c r="F574" s="295">
        <f t="shared" si="23"/>
        <v>1.9699999999999999E-2</v>
      </c>
      <c r="G574" s="295">
        <f t="shared" si="23"/>
        <v>1.95E-2</v>
      </c>
      <c r="H574" s="295">
        <f t="shared" si="23"/>
        <v>7.0000000000000001E-3</v>
      </c>
      <c r="I574" s="618"/>
      <c r="J574" s="618"/>
      <c r="K574" s="618"/>
      <c r="L574" s="618"/>
      <c r="M574" s="618"/>
      <c r="N574" s="618"/>
      <c r="O574" s="618"/>
      <c r="P574" s="618"/>
      <c r="Q574" s="618"/>
      <c r="R574" s="618"/>
      <c r="S574" s="618"/>
      <c r="T574" s="618"/>
      <c r="U574" s="618"/>
      <c r="V574" s="618"/>
      <c r="W574" s="618"/>
      <c r="X574" s="618"/>
      <c r="Y574" s="618"/>
      <c r="Z574" s="618"/>
      <c r="AA574" s="618"/>
      <c r="AB574" s="618"/>
      <c r="AC574" s="618"/>
      <c r="AD574" s="618"/>
      <c r="AE574" s="618"/>
      <c r="AF574" s="618"/>
      <c r="AG574" s="618"/>
      <c r="AH574" s="618"/>
      <c r="AI574" s="618"/>
      <c r="AJ574" s="618"/>
      <c r="AK574" s="618"/>
      <c r="AL574" s="618"/>
      <c r="AM574" s="3"/>
      <c r="AN574" s="3"/>
      <c r="AO574" s="3"/>
      <c r="AP574" s="3"/>
      <c r="AQ574" s="3"/>
      <c r="AR574" s="3"/>
      <c r="AS574" s="3"/>
      <c r="AT574" s="3"/>
      <c r="AU574" s="3"/>
      <c r="AV574" s="3"/>
      <c r="AW574" s="3"/>
      <c r="AX574" s="3"/>
      <c r="AY574" s="3"/>
      <c r="AZ574" s="3"/>
      <c r="BA574" s="3"/>
      <c r="BB574" s="3"/>
      <c r="BC574" s="3"/>
      <c r="BD574" s="3"/>
      <c r="BE574" s="3"/>
      <c r="BF574" s="3"/>
    </row>
    <row r="575" spans="1:58" ht="14.25" customHeight="1" x14ac:dyDescent="0.45">
      <c r="A575" s="618"/>
      <c r="B575" s="215"/>
      <c r="C575" s="220" t="s">
        <v>222</v>
      </c>
      <c r="D575" s="247" t="s">
        <v>223</v>
      </c>
      <c r="E575" s="306">
        <f t="shared" si="23"/>
        <v>2.3300000000000001E-2</v>
      </c>
      <c r="F575" s="306">
        <f t="shared" si="23"/>
        <v>1.9699999999999999E-2</v>
      </c>
      <c r="G575" s="306">
        <f t="shared" si="23"/>
        <v>1.95E-2</v>
      </c>
      <c r="H575" s="306">
        <f t="shared" si="23"/>
        <v>7.0000000000000001E-3</v>
      </c>
      <c r="I575" s="618"/>
      <c r="J575" s="618"/>
      <c r="K575" s="618"/>
      <c r="L575" s="618"/>
      <c r="M575" s="618"/>
      <c r="N575" s="618"/>
      <c r="O575" s="618"/>
      <c r="P575" s="618"/>
      <c r="Q575" s="618"/>
      <c r="R575" s="618"/>
      <c r="S575" s="618"/>
      <c r="T575" s="618"/>
      <c r="U575" s="618"/>
      <c r="V575" s="618"/>
      <c r="W575" s="618"/>
      <c r="X575" s="618"/>
      <c r="Y575" s="618"/>
      <c r="Z575" s="618"/>
      <c r="AA575" s="618"/>
      <c r="AB575" s="618"/>
      <c r="AC575" s="618"/>
      <c r="AD575" s="618"/>
      <c r="AE575" s="618"/>
      <c r="AF575" s="618"/>
      <c r="AG575" s="618"/>
      <c r="AH575" s="618"/>
      <c r="AI575" s="618"/>
      <c r="AJ575" s="618"/>
      <c r="AK575" s="618"/>
      <c r="AL575" s="618"/>
      <c r="AM575" s="3"/>
      <c r="AN575" s="3"/>
      <c r="AO575" s="3"/>
      <c r="AP575" s="3"/>
      <c r="AQ575" s="3"/>
      <c r="AR575" s="3"/>
      <c r="AS575" s="3"/>
      <c r="AT575" s="3"/>
      <c r="AU575" s="3"/>
      <c r="AV575" s="3"/>
      <c r="AW575" s="3"/>
      <c r="AX575" s="3"/>
      <c r="AY575" s="3"/>
      <c r="AZ575" s="3"/>
      <c r="BA575" s="3"/>
      <c r="BB575" s="3"/>
      <c r="BC575" s="3"/>
      <c r="BD575" s="3"/>
      <c r="BE575" s="3"/>
      <c r="BF575" s="3"/>
    </row>
    <row r="576" spans="1:58" ht="14.25" customHeight="1" x14ac:dyDescent="0.45">
      <c r="A576" s="618"/>
      <c r="B576" s="215"/>
      <c r="C576" s="220"/>
      <c r="D576" s="224" t="s">
        <v>341</v>
      </c>
      <c r="E576" s="295">
        <f t="shared" si="23"/>
        <v>5.8500000000000003E-2</v>
      </c>
      <c r="F576" s="295">
        <f t="shared" si="23"/>
        <v>7.6399999999999996E-2</v>
      </c>
      <c r="G576" s="295">
        <f t="shared" si="23"/>
        <v>7.2700000000000001E-2</v>
      </c>
      <c r="H576" s="295">
        <f t="shared" si="23"/>
        <v>6.8000000000000005E-2</v>
      </c>
      <c r="I576" s="618"/>
      <c r="J576" s="618"/>
      <c r="K576" s="618"/>
      <c r="L576" s="618"/>
      <c r="M576" s="618"/>
      <c r="N576" s="618"/>
      <c r="O576" s="618"/>
      <c r="P576" s="618"/>
      <c r="Q576" s="618"/>
      <c r="R576" s="618"/>
      <c r="S576" s="618"/>
      <c r="T576" s="618"/>
      <c r="U576" s="618"/>
      <c r="V576" s="618"/>
      <c r="W576" s="618"/>
      <c r="X576" s="618"/>
      <c r="Y576" s="618"/>
      <c r="Z576" s="618"/>
      <c r="AA576" s="618"/>
      <c r="AB576" s="618"/>
      <c r="AC576" s="618"/>
      <c r="AD576" s="618"/>
      <c r="AE576" s="618"/>
      <c r="AF576" s="618"/>
      <c r="AG576" s="618"/>
      <c r="AH576" s="618"/>
      <c r="AI576" s="618"/>
      <c r="AJ576" s="618"/>
      <c r="AK576" s="618"/>
      <c r="AL576" s="618"/>
      <c r="AM576" s="3"/>
      <c r="AN576" s="3"/>
      <c r="AO576" s="3"/>
      <c r="AP576" s="3"/>
      <c r="AQ576" s="3"/>
      <c r="AR576" s="3"/>
      <c r="AS576" s="3"/>
      <c r="AT576" s="3"/>
      <c r="AU576" s="3"/>
      <c r="AV576" s="3"/>
      <c r="AW576" s="3"/>
      <c r="AX576" s="3"/>
      <c r="AY576" s="3"/>
      <c r="AZ576" s="3"/>
      <c r="BA576" s="3"/>
      <c r="BB576" s="3"/>
      <c r="BC576" s="3"/>
      <c r="BD576" s="3"/>
      <c r="BE576" s="3"/>
      <c r="BF576" s="3"/>
    </row>
    <row r="577" spans="1:58" ht="14.25" customHeight="1" x14ac:dyDescent="0.45">
      <c r="A577" s="618"/>
      <c r="B577" s="215"/>
      <c r="C577" s="220"/>
      <c r="D577" s="228" t="s">
        <v>224</v>
      </c>
      <c r="E577" s="229">
        <f t="shared" si="23"/>
        <v>5.8500000000000003E-2</v>
      </c>
      <c r="F577" s="229">
        <f t="shared" si="23"/>
        <v>7.6399999999999996E-2</v>
      </c>
      <c r="G577" s="229">
        <f t="shared" si="23"/>
        <v>7.2700000000000001E-2</v>
      </c>
      <c r="H577" s="229">
        <f t="shared" si="23"/>
        <v>6.8000000000000005E-2</v>
      </c>
      <c r="I577" s="618"/>
      <c r="J577" s="618"/>
      <c r="K577" s="618"/>
      <c r="L577" s="618"/>
      <c r="M577" s="618"/>
      <c r="N577" s="618"/>
      <c r="O577" s="618"/>
      <c r="P577" s="618"/>
      <c r="Q577" s="618"/>
      <c r="R577" s="618"/>
      <c r="S577" s="618"/>
      <c r="T577" s="618"/>
      <c r="U577" s="618"/>
      <c r="V577" s="618"/>
      <c r="W577" s="618"/>
      <c r="X577" s="618"/>
      <c r="Y577" s="618"/>
      <c r="Z577" s="618"/>
      <c r="AA577" s="618"/>
      <c r="AB577" s="618"/>
      <c r="AC577" s="618"/>
      <c r="AD577" s="618"/>
      <c r="AE577" s="618"/>
      <c r="AF577" s="618"/>
      <c r="AG577" s="618"/>
      <c r="AH577" s="618"/>
      <c r="AI577" s="618"/>
      <c r="AJ577" s="618"/>
      <c r="AK577" s="618"/>
      <c r="AL577" s="618"/>
      <c r="AM577" s="3"/>
      <c r="AN577" s="3"/>
      <c r="AO577" s="3"/>
      <c r="AP577" s="3"/>
      <c r="AQ577" s="3"/>
      <c r="AR577" s="3"/>
      <c r="AS577" s="3"/>
      <c r="AT577" s="3"/>
      <c r="AU577" s="3"/>
      <c r="AV577" s="3"/>
      <c r="AW577" s="3"/>
      <c r="AX577" s="3"/>
      <c r="AY577" s="3"/>
      <c r="AZ577" s="3"/>
      <c r="BA577" s="3"/>
      <c r="BB577" s="3"/>
      <c r="BC577" s="3"/>
      <c r="BD577" s="3"/>
      <c r="BE577" s="3"/>
      <c r="BF577" s="3"/>
    </row>
    <row r="578" spans="1:58" ht="14.25" customHeight="1" x14ac:dyDescent="0.45">
      <c r="A578" s="618"/>
      <c r="B578" s="215"/>
      <c r="C578" s="220"/>
      <c r="D578" s="247" t="s">
        <v>225</v>
      </c>
      <c r="E578" s="306">
        <f t="shared" si="23"/>
        <v>0</v>
      </c>
      <c r="F578" s="306">
        <f t="shared" si="23"/>
        <v>0</v>
      </c>
      <c r="G578" s="306">
        <f t="shared" si="23"/>
        <v>0</v>
      </c>
      <c r="H578" s="306">
        <f t="shared" si="23"/>
        <v>0</v>
      </c>
      <c r="I578" s="618"/>
      <c r="J578" s="618"/>
      <c r="K578" s="618"/>
      <c r="L578" s="618"/>
      <c r="M578" s="618"/>
      <c r="N578" s="618"/>
      <c r="O578" s="618"/>
      <c r="P578" s="618"/>
      <c r="Q578" s="618"/>
      <c r="R578" s="618"/>
      <c r="S578" s="618"/>
      <c r="T578" s="618"/>
      <c r="U578" s="618"/>
      <c r="V578" s="618"/>
      <c r="W578" s="618"/>
      <c r="X578" s="618"/>
      <c r="Y578" s="618"/>
      <c r="Z578" s="618"/>
      <c r="AA578" s="618"/>
      <c r="AB578" s="618"/>
      <c r="AC578" s="618"/>
      <c r="AD578" s="618"/>
      <c r="AE578" s="618"/>
      <c r="AF578" s="618"/>
      <c r="AG578" s="618"/>
      <c r="AH578" s="618"/>
      <c r="AI578" s="618"/>
      <c r="AJ578" s="618"/>
      <c r="AK578" s="618"/>
      <c r="AL578" s="618"/>
      <c r="AM578" s="3"/>
      <c r="AN578" s="3"/>
      <c r="AO578" s="3"/>
      <c r="AP578" s="3"/>
      <c r="AQ578" s="3"/>
      <c r="AR578" s="3"/>
      <c r="AS578" s="3"/>
      <c r="AT578" s="3"/>
      <c r="AU578" s="3"/>
      <c r="AV578" s="3"/>
      <c r="AW578" s="3"/>
      <c r="AX578" s="3"/>
      <c r="AY578" s="3"/>
      <c r="AZ578" s="3"/>
      <c r="BA578" s="3"/>
      <c r="BB578" s="3"/>
      <c r="BC578" s="3"/>
      <c r="BD578" s="3"/>
      <c r="BE578" s="3"/>
      <c r="BF578" s="3"/>
    </row>
    <row r="579" spans="1:58" ht="14.25" customHeight="1" x14ac:dyDescent="0.45">
      <c r="A579" s="618"/>
      <c r="B579" s="215"/>
      <c r="C579" s="220" t="s">
        <v>226</v>
      </c>
      <c r="D579" s="221" t="s">
        <v>227</v>
      </c>
      <c r="E579" s="232">
        <f t="shared" si="23"/>
        <v>1.7000000000000001E-2</v>
      </c>
      <c r="F579" s="232">
        <f t="shared" si="23"/>
        <v>2.01E-2</v>
      </c>
      <c r="G579" s="232">
        <f t="shared" si="23"/>
        <v>1.7399999999999999E-2</v>
      </c>
      <c r="H579" s="232">
        <f t="shared" si="23"/>
        <v>1.2800000000000001E-2</v>
      </c>
      <c r="I579" s="618"/>
      <c r="J579" s="618"/>
      <c r="K579" s="618"/>
      <c r="L579" s="618"/>
      <c r="M579" s="618"/>
      <c r="N579" s="618"/>
      <c r="O579" s="618"/>
      <c r="P579" s="618"/>
      <c r="Q579" s="618"/>
      <c r="R579" s="618"/>
      <c r="S579" s="618"/>
      <c r="T579" s="618"/>
      <c r="U579" s="618"/>
      <c r="V579" s="618"/>
      <c r="W579" s="618"/>
      <c r="X579" s="618"/>
      <c r="Y579" s="618"/>
      <c r="Z579" s="618"/>
      <c r="AA579" s="618"/>
      <c r="AB579" s="618"/>
      <c r="AC579" s="618"/>
      <c r="AD579" s="618"/>
      <c r="AE579" s="618"/>
      <c r="AF579" s="618"/>
      <c r="AG579" s="618"/>
      <c r="AH579" s="618"/>
      <c r="AI579" s="618"/>
      <c r="AJ579" s="618"/>
      <c r="AK579" s="618"/>
      <c r="AL579" s="618"/>
      <c r="AM579" s="3"/>
      <c r="AN579" s="3"/>
      <c r="AO579" s="3"/>
      <c r="AP579" s="3"/>
      <c r="AQ579" s="3"/>
      <c r="AR579" s="3"/>
      <c r="AS579" s="3"/>
      <c r="AT579" s="3"/>
      <c r="AU579" s="3"/>
      <c r="AV579" s="3"/>
      <c r="AW579" s="3"/>
      <c r="AX579" s="3"/>
      <c r="AY579" s="3"/>
      <c r="AZ579" s="3"/>
      <c r="BA579" s="3"/>
      <c r="BB579" s="3"/>
      <c r="BC579" s="3"/>
      <c r="BD579" s="3"/>
      <c r="BE579" s="3"/>
      <c r="BF579" s="3"/>
    </row>
    <row r="580" spans="1:58" ht="14.25" customHeight="1" x14ac:dyDescent="0.45">
      <c r="A580" s="618"/>
      <c r="B580" s="215"/>
      <c r="C580" s="220" t="s">
        <v>228</v>
      </c>
      <c r="D580" s="221" t="s">
        <v>229</v>
      </c>
      <c r="E580" s="232">
        <f t="shared" si="23"/>
        <v>3.6499999999999998E-2</v>
      </c>
      <c r="F580" s="232">
        <f t="shared" si="23"/>
        <v>4.1000000000000002E-2</v>
      </c>
      <c r="G580" s="232">
        <f t="shared" si="23"/>
        <v>5.4899999999999997E-2</v>
      </c>
      <c r="H580" s="232">
        <f t="shared" si="23"/>
        <v>5.4300000000000001E-2</v>
      </c>
      <c r="I580" s="618"/>
      <c r="J580" s="618"/>
      <c r="K580" s="618"/>
      <c r="L580" s="618"/>
      <c r="M580" s="618"/>
      <c r="N580" s="618"/>
      <c r="O580" s="618"/>
      <c r="P580" s="618"/>
      <c r="Q580" s="618"/>
      <c r="R580" s="618"/>
      <c r="S580" s="618"/>
      <c r="T580" s="618"/>
      <c r="U580" s="618"/>
      <c r="V580" s="618"/>
      <c r="W580" s="618"/>
      <c r="X580" s="618"/>
      <c r="Y580" s="618"/>
      <c r="Z580" s="618"/>
      <c r="AA580" s="618"/>
      <c r="AB580" s="618"/>
      <c r="AC580" s="618"/>
      <c r="AD580" s="618"/>
      <c r="AE580" s="618"/>
      <c r="AF580" s="618"/>
      <c r="AG580" s="618"/>
      <c r="AH580" s="618"/>
      <c r="AI580" s="618"/>
      <c r="AJ580" s="618"/>
      <c r="AK580" s="618"/>
      <c r="AL580" s="618"/>
      <c r="AM580" s="3"/>
      <c r="AN580" s="3"/>
      <c r="AO580" s="3"/>
      <c r="AP580" s="3"/>
      <c r="AQ580" s="3"/>
      <c r="AR580" s="3"/>
      <c r="AS580" s="3"/>
      <c r="AT580" s="3"/>
      <c r="AU580" s="3"/>
      <c r="AV580" s="3"/>
      <c r="AW580" s="3"/>
      <c r="AX580" s="3"/>
      <c r="AY580" s="3"/>
      <c r="AZ580" s="3"/>
      <c r="BA580" s="3"/>
      <c r="BB580" s="3"/>
      <c r="BC580" s="3"/>
      <c r="BD580" s="3"/>
      <c r="BE580" s="3"/>
      <c r="BF580" s="3"/>
    </row>
    <row r="581" spans="1:58" ht="14.25" customHeight="1" x14ac:dyDescent="0.45">
      <c r="A581" s="618"/>
      <c r="B581" s="215"/>
      <c r="C581" s="220"/>
      <c r="D581" s="247" t="s">
        <v>230</v>
      </c>
      <c r="E581" s="306">
        <f t="shared" si="23"/>
        <v>0</v>
      </c>
      <c r="F581" s="306">
        <f t="shared" si="23"/>
        <v>0</v>
      </c>
      <c r="G581" s="306">
        <f t="shared" si="23"/>
        <v>0</v>
      </c>
      <c r="H581" s="306">
        <f t="shared" si="23"/>
        <v>0</v>
      </c>
      <c r="I581" s="618"/>
      <c r="J581" s="618"/>
      <c r="K581" s="618"/>
      <c r="L581" s="618"/>
      <c r="M581" s="618"/>
      <c r="N581" s="618"/>
      <c r="O581" s="618"/>
      <c r="P581" s="618"/>
      <c r="Q581" s="618"/>
      <c r="R581" s="618"/>
      <c r="S581" s="618"/>
      <c r="T581" s="618"/>
      <c r="U581" s="618"/>
      <c r="V581" s="618"/>
      <c r="W581" s="618"/>
      <c r="X581" s="618"/>
      <c r="Y581" s="618"/>
      <c r="Z581" s="618"/>
      <c r="AA581" s="618"/>
      <c r="AB581" s="618"/>
      <c r="AC581" s="618"/>
      <c r="AD581" s="618"/>
      <c r="AE581" s="618"/>
      <c r="AF581" s="618"/>
      <c r="AG581" s="618"/>
      <c r="AH581" s="618"/>
      <c r="AI581" s="618"/>
      <c r="AJ581" s="618"/>
      <c r="AK581" s="618"/>
      <c r="AL581" s="618"/>
      <c r="AM581" s="3"/>
      <c r="AN581" s="3"/>
      <c r="AO581" s="3"/>
      <c r="AP581" s="3"/>
      <c r="AQ581" s="3"/>
      <c r="AR581" s="3"/>
      <c r="AS581" s="3"/>
      <c r="AT581" s="3"/>
      <c r="AU581" s="3"/>
      <c r="AV581" s="3"/>
      <c r="AW581" s="3"/>
      <c r="AX581" s="3"/>
      <c r="AY581" s="3"/>
      <c r="AZ581" s="3"/>
      <c r="BA581" s="3"/>
      <c r="BB581" s="3"/>
      <c r="BC581" s="3"/>
      <c r="BD581" s="3"/>
      <c r="BE581" s="3"/>
      <c r="BF581" s="3"/>
    </row>
    <row r="582" spans="1:58" ht="14.25" customHeight="1" x14ac:dyDescent="0.45">
      <c r="A582" s="618"/>
      <c r="B582" s="215"/>
      <c r="C582" s="220" t="s">
        <v>231</v>
      </c>
      <c r="D582" s="221" t="s">
        <v>227</v>
      </c>
      <c r="E582" s="239">
        <f t="shared" si="23"/>
        <v>4.8999999999999998E-3</v>
      </c>
      <c r="F582" s="239">
        <f t="shared" si="23"/>
        <v>1.5299999999999999E-2</v>
      </c>
      <c r="G582" s="239">
        <f t="shared" si="23"/>
        <v>4.0000000000000002E-4</v>
      </c>
      <c r="H582" s="239">
        <f t="shared" si="23"/>
        <v>8.9999999999999998E-4</v>
      </c>
      <c r="I582" s="618"/>
      <c r="J582" s="618"/>
      <c r="K582" s="618"/>
      <c r="L582" s="618"/>
      <c r="M582" s="618"/>
      <c r="N582" s="618"/>
      <c r="O582" s="618"/>
      <c r="P582" s="618"/>
      <c r="Q582" s="618"/>
      <c r="R582" s="618"/>
      <c r="S582" s="618"/>
      <c r="T582" s="618"/>
      <c r="U582" s="618"/>
      <c r="V582" s="618"/>
      <c r="W582" s="618"/>
      <c r="X582" s="618"/>
      <c r="Y582" s="618"/>
      <c r="Z582" s="618"/>
      <c r="AA582" s="618"/>
      <c r="AB582" s="618"/>
      <c r="AC582" s="618"/>
      <c r="AD582" s="618"/>
      <c r="AE582" s="618"/>
      <c r="AF582" s="618"/>
      <c r="AG582" s="618"/>
      <c r="AH582" s="618"/>
      <c r="AI582" s="618"/>
      <c r="AJ582" s="618"/>
      <c r="AK582" s="618"/>
      <c r="AL582" s="618"/>
      <c r="AM582" s="3"/>
      <c r="AN582" s="3"/>
      <c r="AO582" s="3"/>
      <c r="AP582" s="3"/>
      <c r="AQ582" s="3"/>
      <c r="AR582" s="3"/>
      <c r="AS582" s="3"/>
      <c r="AT582" s="3"/>
      <c r="AU582" s="3"/>
      <c r="AV582" s="3"/>
      <c r="AW582" s="3"/>
      <c r="AX582" s="3"/>
      <c r="AY582" s="3"/>
      <c r="AZ582" s="3"/>
      <c r="BA582" s="3"/>
      <c r="BB582" s="3"/>
      <c r="BC582" s="3"/>
      <c r="BD582" s="3"/>
      <c r="BE582" s="3"/>
      <c r="BF582" s="3"/>
    </row>
    <row r="583" spans="1:58" ht="14.25" customHeight="1" x14ac:dyDescent="0.45">
      <c r="A583" s="618"/>
      <c r="B583" s="215"/>
      <c r="C583" s="220" t="s">
        <v>232</v>
      </c>
      <c r="D583" s="221" t="s">
        <v>229</v>
      </c>
      <c r="E583" s="239">
        <f t="shared" si="23"/>
        <v>0</v>
      </c>
      <c r="F583" s="239">
        <f t="shared" si="23"/>
        <v>0</v>
      </c>
      <c r="G583" s="239">
        <f t="shared" si="23"/>
        <v>0</v>
      </c>
      <c r="H583" s="239">
        <f t="shared" si="23"/>
        <v>0</v>
      </c>
      <c r="I583" s="618"/>
      <c r="J583" s="618"/>
      <c r="K583" s="618"/>
      <c r="L583" s="618"/>
      <c r="M583" s="618"/>
      <c r="N583" s="618"/>
      <c r="O583" s="618"/>
      <c r="P583" s="618"/>
      <c r="Q583" s="618"/>
      <c r="R583" s="618"/>
      <c r="S583" s="618"/>
      <c r="T583" s="618"/>
      <c r="U583" s="618"/>
      <c r="V583" s="618"/>
      <c r="W583" s="618"/>
      <c r="X583" s="618"/>
      <c r="Y583" s="618"/>
      <c r="Z583" s="618"/>
      <c r="AA583" s="618"/>
      <c r="AB583" s="618"/>
      <c r="AC583" s="618"/>
      <c r="AD583" s="618"/>
      <c r="AE583" s="618"/>
      <c r="AF583" s="618"/>
      <c r="AG583" s="618"/>
      <c r="AH583" s="618"/>
      <c r="AI583" s="618"/>
      <c r="AJ583" s="618"/>
      <c r="AK583" s="618"/>
      <c r="AL583" s="618"/>
      <c r="AM583" s="3"/>
      <c r="AN583" s="3"/>
      <c r="AO583" s="3"/>
      <c r="AP583" s="3"/>
      <c r="AQ583" s="3"/>
      <c r="AR583" s="3"/>
      <c r="AS583" s="3"/>
      <c r="AT583" s="3"/>
      <c r="AU583" s="3"/>
      <c r="AV583" s="3"/>
      <c r="AW583" s="3"/>
      <c r="AX583" s="3"/>
      <c r="AY583" s="3"/>
      <c r="AZ583" s="3"/>
      <c r="BA583" s="3"/>
      <c r="BB583" s="3"/>
      <c r="BC583" s="3"/>
      <c r="BD583" s="3"/>
      <c r="BE583" s="3"/>
      <c r="BF583" s="3"/>
    </row>
    <row r="584" spans="1:58" ht="14.25" customHeight="1" x14ac:dyDescent="0.45">
      <c r="A584" s="618"/>
      <c r="B584" s="215"/>
      <c r="C584" s="220"/>
      <c r="D584" s="224" t="s">
        <v>342</v>
      </c>
      <c r="E584" s="295">
        <f t="shared" si="23"/>
        <v>1.18E-2</v>
      </c>
      <c r="F584" s="295">
        <f t="shared" si="23"/>
        <v>1.6E-2</v>
      </c>
      <c r="G584" s="295">
        <f t="shared" si="23"/>
        <v>1.41E-2</v>
      </c>
      <c r="H584" s="295">
        <f t="shared" si="23"/>
        <v>1.2200000000000001E-2</v>
      </c>
      <c r="I584" s="618"/>
      <c r="J584" s="618"/>
      <c r="K584" s="618"/>
      <c r="L584" s="618"/>
      <c r="M584" s="618"/>
      <c r="N584" s="618"/>
      <c r="O584" s="618"/>
      <c r="P584" s="618"/>
      <c r="Q584" s="618"/>
      <c r="R584" s="618"/>
      <c r="S584" s="618"/>
      <c r="T584" s="618"/>
      <c r="U584" s="618"/>
      <c r="V584" s="618"/>
      <c r="W584" s="618"/>
      <c r="X584" s="618"/>
      <c r="Y584" s="618"/>
      <c r="Z584" s="618"/>
      <c r="AA584" s="618"/>
      <c r="AB584" s="618"/>
      <c r="AC584" s="618"/>
      <c r="AD584" s="618"/>
      <c r="AE584" s="618"/>
      <c r="AF584" s="618"/>
      <c r="AG584" s="618"/>
      <c r="AH584" s="618"/>
      <c r="AI584" s="618"/>
      <c r="AJ584" s="618"/>
      <c r="AK584" s="618"/>
      <c r="AL584" s="618"/>
      <c r="AM584" s="3"/>
      <c r="AN584" s="3"/>
      <c r="AO584" s="3"/>
      <c r="AP584" s="3"/>
      <c r="AQ584" s="3"/>
      <c r="AR584" s="3"/>
      <c r="AS584" s="3"/>
      <c r="AT584" s="3"/>
      <c r="AU584" s="3"/>
      <c r="AV584" s="3"/>
      <c r="AW584" s="3"/>
      <c r="AX584" s="3"/>
      <c r="AY584" s="3"/>
      <c r="AZ584" s="3"/>
      <c r="BA584" s="3"/>
      <c r="BB584" s="3"/>
      <c r="BC584" s="3"/>
      <c r="BD584" s="3"/>
      <c r="BE584" s="3"/>
      <c r="BF584" s="3"/>
    </row>
    <row r="585" spans="1:58" ht="14.25" customHeight="1" x14ac:dyDescent="0.45">
      <c r="A585" s="618"/>
      <c r="B585" s="215"/>
      <c r="C585" s="220" t="s">
        <v>233</v>
      </c>
      <c r="D585" s="247" t="s">
        <v>223</v>
      </c>
      <c r="E585" s="307">
        <f t="shared" si="23"/>
        <v>2.7000000000000001E-3</v>
      </c>
      <c r="F585" s="307">
        <f t="shared" si="23"/>
        <v>2.5999999999999999E-3</v>
      </c>
      <c r="G585" s="307">
        <f t="shared" si="23"/>
        <v>2.5999999999999999E-3</v>
      </c>
      <c r="H585" s="307">
        <f t="shared" si="23"/>
        <v>2.5999999999999999E-3</v>
      </c>
      <c r="I585" s="618"/>
      <c r="J585" s="618"/>
      <c r="K585" s="618"/>
      <c r="L585" s="618"/>
      <c r="M585" s="618"/>
      <c r="N585" s="618"/>
      <c r="O585" s="618"/>
      <c r="P585" s="618"/>
      <c r="Q585" s="618"/>
      <c r="R585" s="618"/>
      <c r="S585" s="618"/>
      <c r="T585" s="618"/>
      <c r="U585" s="618"/>
      <c r="V585" s="618"/>
      <c r="W585" s="618"/>
      <c r="X585" s="618"/>
      <c r="Y585" s="618"/>
      <c r="Z585" s="618"/>
      <c r="AA585" s="618"/>
      <c r="AB585" s="618"/>
      <c r="AC585" s="618"/>
      <c r="AD585" s="618"/>
      <c r="AE585" s="618"/>
      <c r="AF585" s="618"/>
      <c r="AG585" s="618"/>
      <c r="AH585" s="618"/>
      <c r="AI585" s="618"/>
      <c r="AJ585" s="618"/>
      <c r="AK585" s="618"/>
      <c r="AL585" s="618"/>
      <c r="AM585" s="3"/>
      <c r="AN585" s="3"/>
      <c r="AO585" s="3"/>
      <c r="AP585" s="3"/>
      <c r="AQ585" s="3"/>
      <c r="AR585" s="3"/>
      <c r="AS585" s="3"/>
      <c r="AT585" s="3"/>
      <c r="AU585" s="3"/>
      <c r="AV585" s="3"/>
      <c r="AW585" s="3"/>
      <c r="AX585" s="3"/>
      <c r="AY585" s="3"/>
      <c r="AZ585" s="3"/>
      <c r="BA585" s="3"/>
      <c r="BB585" s="3"/>
      <c r="BC585" s="3"/>
      <c r="BD585" s="3"/>
      <c r="BE585" s="3"/>
      <c r="BF585" s="3"/>
    </row>
    <row r="586" spans="1:58" ht="14.25" customHeight="1" x14ac:dyDescent="0.45">
      <c r="A586" s="618"/>
      <c r="B586" s="215"/>
      <c r="C586" s="220" t="s">
        <v>234</v>
      </c>
      <c r="D586" s="247" t="s">
        <v>225</v>
      </c>
      <c r="E586" s="307">
        <f t="shared" si="23"/>
        <v>9.1000000000000004E-3</v>
      </c>
      <c r="F586" s="307">
        <f t="shared" si="23"/>
        <v>1.34E-2</v>
      </c>
      <c r="G586" s="307">
        <f t="shared" si="23"/>
        <v>1.14E-2</v>
      </c>
      <c r="H586" s="307">
        <f t="shared" si="23"/>
        <v>9.5999999999999992E-3</v>
      </c>
      <c r="I586" s="618"/>
      <c r="J586" s="618"/>
      <c r="K586" s="618"/>
      <c r="L586" s="618"/>
      <c r="M586" s="618"/>
      <c r="N586" s="618"/>
      <c r="O586" s="618"/>
      <c r="P586" s="618"/>
      <c r="Q586" s="618"/>
      <c r="R586" s="618"/>
      <c r="S586" s="618"/>
      <c r="T586" s="618"/>
      <c r="U586" s="618"/>
      <c r="V586" s="618"/>
      <c r="W586" s="618"/>
      <c r="X586" s="618"/>
      <c r="Y586" s="618"/>
      <c r="Z586" s="618"/>
      <c r="AA586" s="618"/>
      <c r="AB586" s="618"/>
      <c r="AC586" s="618"/>
      <c r="AD586" s="618"/>
      <c r="AE586" s="618"/>
      <c r="AF586" s="618"/>
      <c r="AG586" s="618"/>
      <c r="AH586" s="618"/>
      <c r="AI586" s="618"/>
      <c r="AJ586" s="618"/>
      <c r="AK586" s="618"/>
      <c r="AL586" s="618"/>
      <c r="AM586" s="3"/>
      <c r="AN586" s="3"/>
      <c r="AO586" s="3"/>
      <c r="AP586" s="3"/>
      <c r="AQ586" s="3"/>
      <c r="AR586" s="3"/>
      <c r="AS586" s="3"/>
      <c r="AT586" s="3"/>
      <c r="AU586" s="3"/>
      <c r="AV586" s="3"/>
      <c r="AW586" s="3"/>
      <c r="AX586" s="3"/>
      <c r="AY586" s="3"/>
      <c r="AZ586" s="3"/>
      <c r="BA586" s="3"/>
      <c r="BB586" s="3"/>
      <c r="BC586" s="3"/>
      <c r="BD586" s="3"/>
      <c r="BE586" s="3"/>
      <c r="BF586" s="3"/>
    </row>
    <row r="587" spans="1:58" ht="14.25" customHeight="1" x14ac:dyDescent="0.45">
      <c r="A587" s="618"/>
      <c r="B587" s="215"/>
      <c r="C587" s="220"/>
      <c r="D587" s="224" t="s">
        <v>343</v>
      </c>
      <c r="E587" s="295">
        <f t="shared" si="23"/>
        <v>13.681900000000001</v>
      </c>
      <c r="F587" s="295">
        <f t="shared" si="23"/>
        <v>14.561299999999999</v>
      </c>
      <c r="G587" s="295">
        <f t="shared" si="23"/>
        <v>13.953900000000001</v>
      </c>
      <c r="H587" s="295">
        <f t="shared" si="23"/>
        <v>14.2791</v>
      </c>
      <c r="I587" s="618"/>
      <c r="J587" s="618"/>
      <c r="K587" s="618"/>
      <c r="L587" s="618"/>
      <c r="M587" s="618"/>
      <c r="N587" s="618"/>
      <c r="O587" s="618"/>
      <c r="P587" s="618"/>
      <c r="Q587" s="618"/>
      <c r="R587" s="618"/>
      <c r="S587" s="618"/>
      <c r="T587" s="618"/>
      <c r="U587" s="618"/>
      <c r="V587" s="618"/>
      <c r="W587" s="618"/>
      <c r="X587" s="618"/>
      <c r="Y587" s="618"/>
      <c r="Z587" s="618"/>
      <c r="AA587" s="618"/>
      <c r="AB587" s="618"/>
      <c r="AC587" s="618"/>
      <c r="AD587" s="618"/>
      <c r="AE587" s="618"/>
      <c r="AF587" s="618"/>
      <c r="AG587" s="618"/>
      <c r="AH587" s="618"/>
      <c r="AI587" s="618"/>
      <c r="AJ587" s="618"/>
      <c r="AK587" s="618"/>
      <c r="AL587" s="618"/>
      <c r="AM587" s="3"/>
      <c r="AN587" s="3"/>
      <c r="AO587" s="3"/>
      <c r="AP587" s="3"/>
      <c r="AQ587" s="3"/>
      <c r="AR587" s="3"/>
      <c r="AS587" s="3"/>
      <c r="AT587" s="3"/>
      <c r="AU587" s="3"/>
      <c r="AV587" s="3"/>
      <c r="AW587" s="3"/>
      <c r="AX587" s="3"/>
      <c r="AY587" s="3"/>
      <c r="AZ587" s="3"/>
      <c r="BA587" s="3"/>
      <c r="BB587" s="3"/>
      <c r="BC587" s="3"/>
      <c r="BD587" s="3"/>
      <c r="BE587" s="3"/>
      <c r="BF587" s="3"/>
    </row>
    <row r="588" spans="1:58" ht="14.25" customHeight="1" x14ac:dyDescent="0.45">
      <c r="A588" s="618"/>
      <c r="B588" s="215"/>
      <c r="C588" s="220"/>
      <c r="D588" s="228" t="s">
        <v>180</v>
      </c>
      <c r="E588" s="229">
        <f t="shared" si="23"/>
        <v>12.4421</v>
      </c>
      <c r="F588" s="229">
        <f t="shared" si="23"/>
        <v>13.4063</v>
      </c>
      <c r="G588" s="229">
        <f t="shared" si="23"/>
        <v>12.962899999999999</v>
      </c>
      <c r="H588" s="229">
        <f t="shared" si="23"/>
        <v>13.047599999999999</v>
      </c>
      <c r="I588" s="618"/>
      <c r="J588" s="618"/>
      <c r="K588" s="618"/>
      <c r="L588" s="618"/>
      <c r="M588" s="618"/>
      <c r="N588" s="618"/>
      <c r="O588" s="618"/>
      <c r="P588" s="618"/>
      <c r="Q588" s="618"/>
      <c r="R588" s="618"/>
      <c r="S588" s="618"/>
      <c r="T588" s="618"/>
      <c r="U588" s="618"/>
      <c r="V588" s="618"/>
      <c r="W588" s="618"/>
      <c r="X588" s="618"/>
      <c r="Y588" s="618"/>
      <c r="Z588" s="618"/>
      <c r="AA588" s="618"/>
      <c r="AB588" s="618"/>
      <c r="AC588" s="618"/>
      <c r="AD588" s="618"/>
      <c r="AE588" s="618"/>
      <c r="AF588" s="618"/>
      <c r="AG588" s="618"/>
      <c r="AH588" s="618"/>
      <c r="AI588" s="618"/>
      <c r="AJ588" s="618"/>
      <c r="AK588" s="618"/>
      <c r="AL588" s="618"/>
      <c r="AM588" s="3"/>
      <c r="AN588" s="3"/>
      <c r="AO588" s="3"/>
      <c r="AP588" s="3"/>
      <c r="AQ588" s="3"/>
      <c r="AR588" s="3"/>
      <c r="AS588" s="3"/>
      <c r="AT588" s="3"/>
      <c r="AU588" s="3"/>
      <c r="AV588" s="3"/>
      <c r="AW588" s="3"/>
      <c r="AX588" s="3"/>
      <c r="AY588" s="3"/>
      <c r="AZ588" s="3"/>
      <c r="BA588" s="3"/>
      <c r="BB588" s="3"/>
      <c r="BC588" s="3"/>
      <c r="BD588" s="3"/>
      <c r="BE588" s="3"/>
      <c r="BF588" s="3"/>
    </row>
    <row r="589" spans="1:58" ht="14.25" customHeight="1" x14ac:dyDescent="0.45">
      <c r="A589" s="618"/>
      <c r="B589" s="215"/>
      <c r="C589" s="220"/>
      <c r="D589" s="247" t="s">
        <v>225</v>
      </c>
      <c r="E589" s="306">
        <f t="shared" si="23"/>
        <v>0</v>
      </c>
      <c r="F589" s="306">
        <f t="shared" si="23"/>
        <v>0</v>
      </c>
      <c r="G589" s="306">
        <f t="shared" si="23"/>
        <v>0</v>
      </c>
      <c r="H589" s="306">
        <f t="shared" si="23"/>
        <v>0</v>
      </c>
      <c r="I589" s="618"/>
      <c r="J589" s="618"/>
      <c r="K589" s="618"/>
      <c r="L589" s="618"/>
      <c r="M589" s="618"/>
      <c r="N589" s="618"/>
      <c r="O589" s="618"/>
      <c r="P589" s="618"/>
      <c r="Q589" s="618"/>
      <c r="R589" s="618"/>
      <c r="S589" s="618"/>
      <c r="T589" s="618"/>
      <c r="U589" s="618"/>
      <c r="V589" s="618"/>
      <c r="W589" s="618"/>
      <c r="X589" s="618"/>
      <c r="Y589" s="618"/>
      <c r="Z589" s="618"/>
      <c r="AA589" s="618"/>
      <c r="AB589" s="618"/>
      <c r="AC589" s="618"/>
      <c r="AD589" s="618"/>
      <c r="AE589" s="618"/>
      <c r="AF589" s="618"/>
      <c r="AG589" s="618"/>
      <c r="AH589" s="618"/>
      <c r="AI589" s="618"/>
      <c r="AJ589" s="618"/>
      <c r="AK589" s="618"/>
      <c r="AL589" s="618"/>
      <c r="AM589" s="3"/>
      <c r="AN589" s="3"/>
      <c r="AO589" s="3"/>
      <c r="AP589" s="3"/>
      <c r="AQ589" s="3"/>
      <c r="AR589" s="3"/>
      <c r="AS589" s="3"/>
      <c r="AT589" s="3"/>
      <c r="AU589" s="3"/>
      <c r="AV589" s="3"/>
      <c r="AW589" s="3"/>
      <c r="AX589" s="3"/>
      <c r="AY589" s="3"/>
      <c r="AZ589" s="3"/>
      <c r="BA589" s="3"/>
      <c r="BB589" s="3"/>
      <c r="BC589" s="3"/>
      <c r="BD589" s="3"/>
      <c r="BE589" s="3"/>
      <c r="BF589" s="3"/>
    </row>
    <row r="590" spans="1:58" ht="14.25" customHeight="1" x14ac:dyDescent="0.45">
      <c r="A590" s="618"/>
      <c r="B590" s="215"/>
      <c r="C590" s="220" t="s">
        <v>235</v>
      </c>
      <c r="D590" s="221" t="s">
        <v>236</v>
      </c>
      <c r="E590" s="232">
        <f t="shared" si="23"/>
        <v>0.42830000000000001</v>
      </c>
      <c r="F590" s="232">
        <f t="shared" si="23"/>
        <v>0.38700000000000001</v>
      </c>
      <c r="G590" s="232">
        <f t="shared" si="23"/>
        <v>0.42609999999999998</v>
      </c>
      <c r="H590" s="232">
        <f t="shared" si="23"/>
        <v>5.3600000000000002E-2</v>
      </c>
      <c r="I590" s="618"/>
      <c r="J590" s="618"/>
      <c r="K590" s="618"/>
      <c r="L590" s="618"/>
      <c r="M590" s="618"/>
      <c r="N590" s="618"/>
      <c r="O590" s="618"/>
      <c r="P590" s="618"/>
      <c r="Q590" s="618"/>
      <c r="R590" s="618"/>
      <c r="S590" s="618"/>
      <c r="T590" s="618"/>
      <c r="U590" s="618"/>
      <c r="V590" s="618"/>
      <c r="W590" s="618"/>
      <c r="X590" s="618"/>
      <c r="Y590" s="618"/>
      <c r="Z590" s="618"/>
      <c r="AA590" s="618"/>
      <c r="AB590" s="618"/>
      <c r="AC590" s="618"/>
      <c r="AD590" s="618"/>
      <c r="AE590" s="618"/>
      <c r="AF590" s="618"/>
      <c r="AG590" s="618"/>
      <c r="AH590" s="618"/>
      <c r="AI590" s="618"/>
      <c r="AJ590" s="618"/>
      <c r="AK590" s="618"/>
      <c r="AL590" s="618"/>
      <c r="AM590" s="3"/>
      <c r="AN590" s="3"/>
      <c r="AO590" s="3"/>
      <c r="AP590" s="3"/>
      <c r="AQ590" s="3"/>
      <c r="AR590" s="3"/>
      <c r="AS590" s="3"/>
      <c r="AT590" s="3"/>
      <c r="AU590" s="3"/>
      <c r="AV590" s="3"/>
      <c r="AW590" s="3"/>
      <c r="AX590" s="3"/>
      <c r="AY590" s="3"/>
      <c r="AZ590" s="3"/>
      <c r="BA590" s="3"/>
      <c r="BB590" s="3"/>
      <c r="BC590" s="3"/>
      <c r="BD590" s="3"/>
      <c r="BE590" s="3"/>
      <c r="BF590" s="3"/>
    </row>
    <row r="591" spans="1:58" ht="14.25" customHeight="1" x14ac:dyDescent="0.45">
      <c r="A591" s="618"/>
      <c r="B591" s="215"/>
      <c r="C591" s="220"/>
      <c r="D591" s="247" t="s">
        <v>223</v>
      </c>
      <c r="E591" s="306">
        <f t="shared" si="23"/>
        <v>0</v>
      </c>
      <c r="F591" s="306">
        <f t="shared" si="23"/>
        <v>0</v>
      </c>
      <c r="G591" s="306">
        <f t="shared" si="23"/>
        <v>0</v>
      </c>
      <c r="H591" s="306">
        <f t="shared" si="23"/>
        <v>0</v>
      </c>
      <c r="I591" s="618"/>
      <c r="J591" s="618"/>
      <c r="K591" s="618"/>
      <c r="L591" s="618"/>
      <c r="M591" s="618"/>
      <c r="N591" s="618"/>
      <c r="O591" s="618"/>
      <c r="P591" s="618"/>
      <c r="Q591" s="618"/>
      <c r="R591" s="618"/>
      <c r="S591" s="618"/>
      <c r="T591" s="618"/>
      <c r="U591" s="618"/>
      <c r="V591" s="618"/>
      <c r="W591" s="618"/>
      <c r="X591" s="618"/>
      <c r="Y591" s="618"/>
      <c r="Z591" s="618"/>
      <c r="AA591" s="618"/>
      <c r="AB591" s="618"/>
      <c r="AC591" s="618"/>
      <c r="AD591" s="618"/>
      <c r="AE591" s="618"/>
      <c r="AF591" s="618"/>
      <c r="AG591" s="618"/>
      <c r="AH591" s="618"/>
      <c r="AI591" s="618"/>
      <c r="AJ591" s="618"/>
      <c r="AK591" s="618"/>
      <c r="AL591" s="618"/>
      <c r="AM591" s="3"/>
      <c r="AN591" s="3"/>
      <c r="AO591" s="3"/>
      <c r="AP591" s="3"/>
      <c r="AQ591" s="3"/>
      <c r="AR591" s="3"/>
      <c r="AS591" s="3"/>
      <c r="AT591" s="3"/>
      <c r="AU591" s="3"/>
      <c r="AV591" s="3"/>
      <c r="AW591" s="3"/>
      <c r="AX591" s="3"/>
      <c r="AY591" s="3"/>
      <c r="AZ591" s="3"/>
      <c r="BA591" s="3"/>
      <c r="BB591" s="3"/>
      <c r="BC591" s="3"/>
      <c r="BD591" s="3"/>
      <c r="BE591" s="3"/>
      <c r="BF591" s="3"/>
    </row>
    <row r="592" spans="1:58" ht="14.25" customHeight="1" x14ac:dyDescent="0.45">
      <c r="A592" s="618"/>
      <c r="B592" s="215"/>
      <c r="C592" s="220" t="s">
        <v>237</v>
      </c>
      <c r="D592" s="221" t="s">
        <v>236</v>
      </c>
      <c r="E592" s="232">
        <f t="shared" si="23"/>
        <v>0.16569999999999999</v>
      </c>
      <c r="F592" s="232">
        <f t="shared" si="23"/>
        <v>0.1709</v>
      </c>
      <c r="G592" s="232">
        <f t="shared" si="23"/>
        <v>0.15</v>
      </c>
      <c r="H592" s="232">
        <f t="shared" si="23"/>
        <v>0.16569999999999999</v>
      </c>
      <c r="I592" s="618"/>
      <c r="J592" s="618"/>
      <c r="K592" s="618"/>
      <c r="L592" s="618"/>
      <c r="M592" s="618"/>
      <c r="N592" s="618"/>
      <c r="O592" s="618"/>
      <c r="P592" s="618"/>
      <c r="Q592" s="618"/>
      <c r="R592" s="618"/>
      <c r="S592" s="618"/>
      <c r="T592" s="618"/>
      <c r="U592" s="618"/>
      <c r="V592" s="618"/>
      <c r="W592" s="618"/>
      <c r="X592" s="618"/>
      <c r="Y592" s="618"/>
      <c r="Z592" s="618"/>
      <c r="AA592" s="618"/>
      <c r="AB592" s="618"/>
      <c r="AC592" s="618"/>
      <c r="AD592" s="618"/>
      <c r="AE592" s="618"/>
      <c r="AF592" s="618"/>
      <c r="AG592" s="618"/>
      <c r="AH592" s="618"/>
      <c r="AI592" s="618"/>
      <c r="AJ592" s="618"/>
      <c r="AK592" s="618"/>
      <c r="AL592" s="618"/>
      <c r="AM592" s="3"/>
      <c r="AN592" s="3"/>
      <c r="AO592" s="3"/>
      <c r="AP592" s="3"/>
      <c r="AQ592" s="3"/>
      <c r="AR592" s="3"/>
      <c r="AS592" s="3"/>
      <c r="AT592" s="3"/>
      <c r="AU592" s="3"/>
      <c r="AV592" s="3"/>
      <c r="AW592" s="3"/>
      <c r="AX592" s="3"/>
      <c r="AY592" s="3"/>
      <c r="AZ592" s="3"/>
      <c r="BA592" s="3"/>
      <c r="BB592" s="3"/>
      <c r="BC592" s="3"/>
      <c r="BD592" s="3"/>
      <c r="BE592" s="3"/>
      <c r="BF592" s="3"/>
    </row>
    <row r="593" spans="1:58" ht="14.25" customHeight="1" x14ac:dyDescent="0.45">
      <c r="A593" s="618"/>
      <c r="B593" s="215"/>
      <c r="C593" s="220"/>
      <c r="D593" s="247" t="s">
        <v>238</v>
      </c>
      <c r="E593" s="306">
        <f t="shared" ref="E593:H610" si="24">IFERROR(ROUND($F$529*$E$529*0.0036*E412*E69*$G$529,4),0)</f>
        <v>0</v>
      </c>
      <c r="F593" s="306">
        <f t="shared" si="24"/>
        <v>0</v>
      </c>
      <c r="G593" s="306">
        <f t="shared" si="24"/>
        <v>0</v>
      </c>
      <c r="H593" s="306">
        <f t="shared" si="24"/>
        <v>0</v>
      </c>
      <c r="I593" s="618"/>
      <c r="J593" s="618"/>
      <c r="K593" s="618"/>
      <c r="L593" s="618"/>
      <c r="M593" s="618"/>
      <c r="N593" s="618"/>
      <c r="O593" s="618"/>
      <c r="P593" s="618"/>
      <c r="Q593" s="618"/>
      <c r="R593" s="618"/>
      <c r="S593" s="618"/>
      <c r="T593" s="618"/>
      <c r="U593" s="618"/>
      <c r="V593" s="618"/>
      <c r="W593" s="618"/>
      <c r="X593" s="618"/>
      <c r="Y593" s="618"/>
      <c r="Z593" s="618"/>
      <c r="AA593" s="618"/>
      <c r="AB593" s="618"/>
      <c r="AC593" s="618"/>
      <c r="AD593" s="618"/>
      <c r="AE593" s="618"/>
      <c r="AF593" s="618"/>
      <c r="AG593" s="618"/>
      <c r="AH593" s="618"/>
      <c r="AI593" s="618"/>
      <c r="AJ593" s="618"/>
      <c r="AK593" s="618"/>
      <c r="AL593" s="618"/>
      <c r="AM593" s="3"/>
      <c r="AN593" s="3"/>
      <c r="AO593" s="3"/>
      <c r="AP593" s="3"/>
      <c r="AQ593" s="3"/>
      <c r="AR593" s="3"/>
      <c r="AS593" s="3"/>
      <c r="AT593" s="3"/>
      <c r="AU593" s="3"/>
      <c r="AV593" s="3"/>
      <c r="AW593" s="3"/>
      <c r="AX593" s="3"/>
      <c r="AY593" s="3"/>
      <c r="AZ593" s="3"/>
      <c r="BA593" s="3"/>
      <c r="BB593" s="3"/>
      <c r="BC593" s="3"/>
      <c r="BD593" s="3"/>
      <c r="BE593" s="3"/>
      <c r="BF593" s="3"/>
    </row>
    <row r="594" spans="1:58" ht="14.25" customHeight="1" x14ac:dyDescent="0.45">
      <c r="A594" s="618"/>
      <c r="B594" s="215"/>
      <c r="C594" s="220" t="s">
        <v>239</v>
      </c>
      <c r="D594" s="221" t="s">
        <v>240</v>
      </c>
      <c r="E594" s="309">
        <f t="shared" si="24"/>
        <v>6.1117999999999997</v>
      </c>
      <c r="F594" s="309">
        <f t="shared" si="24"/>
        <v>6.0220000000000002</v>
      </c>
      <c r="G594" s="310">
        <f t="shared" si="24"/>
        <v>5.8303000000000003</v>
      </c>
      <c r="H594" s="310">
        <f t="shared" si="24"/>
        <v>6.18</v>
      </c>
      <c r="I594" s="618"/>
      <c r="J594" s="618"/>
      <c r="K594" s="618"/>
      <c r="L594" s="618"/>
      <c r="M594" s="618"/>
      <c r="N594" s="618"/>
      <c r="O594" s="618"/>
      <c r="P594" s="618"/>
      <c r="Q594" s="618"/>
      <c r="R594" s="618"/>
      <c r="S594" s="618"/>
      <c r="T594" s="618"/>
      <c r="U594" s="618"/>
      <c r="V594" s="618"/>
      <c r="W594" s="618"/>
      <c r="X594" s="618"/>
      <c r="Y594" s="618"/>
      <c r="Z594" s="618"/>
      <c r="AA594" s="618"/>
      <c r="AB594" s="618"/>
      <c r="AC594" s="618"/>
      <c r="AD594" s="618"/>
      <c r="AE594" s="618"/>
      <c r="AF594" s="618"/>
      <c r="AG594" s="618"/>
      <c r="AH594" s="618"/>
      <c r="AI594" s="618"/>
      <c r="AJ594" s="618"/>
      <c r="AK594" s="618"/>
      <c r="AL594" s="618"/>
      <c r="AM594" s="3"/>
      <c r="AN594" s="3"/>
      <c r="AO594" s="3"/>
      <c r="AP594" s="3"/>
      <c r="AQ594" s="3"/>
      <c r="AR594" s="3"/>
      <c r="AS594" s="3"/>
      <c r="AT594" s="3"/>
      <c r="AU594" s="3"/>
      <c r="AV594" s="3"/>
      <c r="AW594" s="3"/>
      <c r="AX594" s="3"/>
      <c r="AY594" s="3"/>
      <c r="AZ594" s="3"/>
      <c r="BA594" s="3"/>
      <c r="BB594" s="3"/>
      <c r="BC594" s="3"/>
      <c r="BD594" s="3"/>
      <c r="BE594" s="3"/>
      <c r="BF594" s="3"/>
    </row>
    <row r="595" spans="1:58" ht="14.25" customHeight="1" x14ac:dyDescent="0.45">
      <c r="A595" s="618"/>
      <c r="B595" s="215"/>
      <c r="C595" s="220" t="s">
        <v>241</v>
      </c>
      <c r="D595" s="221" t="s">
        <v>236</v>
      </c>
      <c r="E595" s="309">
        <f t="shared" si="24"/>
        <v>3.3464</v>
      </c>
      <c r="F595" s="309">
        <f t="shared" si="24"/>
        <v>4.5650000000000004</v>
      </c>
      <c r="G595" s="311">
        <f t="shared" si="24"/>
        <v>4.3478000000000003</v>
      </c>
      <c r="H595" s="309">
        <f t="shared" si="24"/>
        <v>4.2096</v>
      </c>
      <c r="I595" s="618"/>
      <c r="J595" s="618"/>
      <c r="K595" s="618"/>
      <c r="L595" s="618"/>
      <c r="M595" s="618"/>
      <c r="N595" s="618"/>
      <c r="O595" s="618"/>
      <c r="P595" s="618"/>
      <c r="Q595" s="618"/>
      <c r="R595" s="618"/>
      <c r="S595" s="618"/>
      <c r="T595" s="618"/>
      <c r="U595" s="618"/>
      <c r="V595" s="618"/>
      <c r="W595" s="618"/>
      <c r="X595" s="618"/>
      <c r="Y595" s="618"/>
      <c r="Z595" s="618"/>
      <c r="AA595" s="618"/>
      <c r="AB595" s="618"/>
      <c r="AC595" s="618"/>
      <c r="AD595" s="618"/>
      <c r="AE595" s="618"/>
      <c r="AF595" s="618"/>
      <c r="AG595" s="618"/>
      <c r="AH595" s="618"/>
      <c r="AI595" s="618"/>
      <c r="AJ595" s="618"/>
      <c r="AK595" s="618"/>
      <c r="AL595" s="618"/>
      <c r="AM595" s="3"/>
      <c r="AN595" s="3"/>
      <c r="AO595" s="3"/>
      <c r="AP595" s="3"/>
      <c r="AQ595" s="3"/>
      <c r="AR595" s="3"/>
      <c r="AS595" s="3"/>
      <c r="AT595" s="3"/>
      <c r="AU595" s="3"/>
      <c r="AV595" s="3"/>
      <c r="AW595" s="3"/>
      <c r="AX595" s="3"/>
      <c r="AY595" s="3"/>
      <c r="AZ595" s="3"/>
      <c r="BA595" s="3"/>
      <c r="BB595" s="3"/>
      <c r="BC595" s="3"/>
      <c r="BD595" s="3"/>
      <c r="BE595" s="3"/>
      <c r="BF595" s="3"/>
    </row>
    <row r="596" spans="1:58" ht="14.25" customHeight="1" x14ac:dyDescent="0.45">
      <c r="A596" s="618"/>
      <c r="B596" s="215"/>
      <c r="C596" s="220" t="s">
        <v>242</v>
      </c>
      <c r="D596" s="221" t="s">
        <v>243</v>
      </c>
      <c r="E596" s="309">
        <f t="shared" si="24"/>
        <v>0.25490000000000002</v>
      </c>
      <c r="F596" s="309">
        <f t="shared" si="24"/>
        <v>0.23549999999999999</v>
      </c>
      <c r="G596" s="309">
        <f t="shared" si="24"/>
        <v>0.24729999999999999</v>
      </c>
      <c r="H596" s="309">
        <f t="shared" si="24"/>
        <v>0.25280000000000002</v>
      </c>
      <c r="I596" s="618"/>
      <c r="J596" s="618"/>
      <c r="K596" s="618"/>
      <c r="L596" s="618"/>
      <c r="M596" s="618"/>
      <c r="N596" s="618"/>
      <c r="O596" s="618"/>
      <c r="P596" s="618"/>
      <c r="Q596" s="618"/>
      <c r="R596" s="618"/>
      <c r="S596" s="618"/>
      <c r="T596" s="618"/>
      <c r="U596" s="618"/>
      <c r="V596" s="618"/>
      <c r="W596" s="618"/>
      <c r="X596" s="618"/>
      <c r="Y596" s="618"/>
      <c r="Z596" s="618"/>
      <c r="AA596" s="618"/>
      <c r="AB596" s="618"/>
      <c r="AC596" s="618"/>
      <c r="AD596" s="618"/>
      <c r="AE596" s="618"/>
      <c r="AF596" s="618"/>
      <c r="AG596" s="618"/>
      <c r="AH596" s="618"/>
      <c r="AI596" s="618"/>
      <c r="AJ596" s="618"/>
      <c r="AK596" s="618"/>
      <c r="AL596" s="618"/>
      <c r="AM596" s="3"/>
      <c r="AN596" s="3"/>
      <c r="AO596" s="3"/>
      <c r="AP596" s="3"/>
      <c r="AQ596" s="3"/>
      <c r="AR596" s="3"/>
      <c r="AS596" s="3"/>
      <c r="AT596" s="3"/>
      <c r="AU596" s="3"/>
      <c r="AV596" s="3"/>
      <c r="AW596" s="3"/>
      <c r="AX596" s="3"/>
      <c r="AY596" s="3"/>
      <c r="AZ596" s="3"/>
      <c r="BA596" s="3"/>
      <c r="BB596" s="3"/>
      <c r="BC596" s="3"/>
      <c r="BD596" s="3"/>
      <c r="BE596" s="3"/>
      <c r="BF596" s="3"/>
    </row>
    <row r="597" spans="1:58" ht="14.25" customHeight="1" x14ac:dyDescent="0.45">
      <c r="A597" s="618"/>
      <c r="B597" s="215"/>
      <c r="C597" s="220" t="s">
        <v>244</v>
      </c>
      <c r="D597" s="221" t="s">
        <v>245</v>
      </c>
      <c r="E597" s="309">
        <f t="shared" si="24"/>
        <v>2.1347999999999998</v>
      </c>
      <c r="F597" s="309">
        <f t="shared" si="24"/>
        <v>2.0259999999999998</v>
      </c>
      <c r="G597" s="310">
        <f t="shared" si="24"/>
        <v>1.9598</v>
      </c>
      <c r="H597" s="310">
        <f t="shared" si="24"/>
        <v>2.1863999999999999</v>
      </c>
      <c r="I597" s="618"/>
      <c r="J597" s="618"/>
      <c r="K597" s="618"/>
      <c r="L597" s="618"/>
      <c r="M597" s="618"/>
      <c r="N597" s="618"/>
      <c r="O597" s="618"/>
      <c r="P597" s="618"/>
      <c r="Q597" s="618"/>
      <c r="R597" s="618"/>
      <c r="S597" s="618"/>
      <c r="T597" s="618"/>
      <c r="U597" s="618"/>
      <c r="V597" s="618"/>
      <c r="W597" s="618"/>
      <c r="X597" s="618"/>
      <c r="Y597" s="618"/>
      <c r="Z597" s="618"/>
      <c r="AA597" s="618"/>
      <c r="AB597" s="618"/>
      <c r="AC597" s="618"/>
      <c r="AD597" s="618"/>
      <c r="AE597" s="618"/>
      <c r="AF597" s="618"/>
      <c r="AG597" s="618"/>
      <c r="AH597" s="618"/>
      <c r="AI597" s="618"/>
      <c r="AJ597" s="618"/>
      <c r="AK597" s="618"/>
      <c r="AL597" s="618"/>
      <c r="AM597" s="3"/>
      <c r="AN597" s="3"/>
      <c r="AO597" s="3"/>
      <c r="AP597" s="3"/>
      <c r="AQ597" s="3"/>
      <c r="AR597" s="3"/>
      <c r="AS597" s="3"/>
      <c r="AT597" s="3"/>
      <c r="AU597" s="3"/>
      <c r="AV597" s="3"/>
      <c r="AW597" s="3"/>
      <c r="AX597" s="3"/>
      <c r="AY597" s="3"/>
      <c r="AZ597" s="3"/>
      <c r="BA597" s="3"/>
      <c r="BB597" s="3"/>
      <c r="BC597" s="3"/>
      <c r="BD597" s="3"/>
      <c r="BE597" s="3"/>
      <c r="BF597" s="3"/>
    </row>
    <row r="598" spans="1:58" ht="14.25" customHeight="1" x14ac:dyDescent="0.45">
      <c r="A598" s="618"/>
      <c r="B598" s="215"/>
      <c r="C598" s="220"/>
      <c r="D598" s="228" t="s">
        <v>188</v>
      </c>
      <c r="E598" s="312">
        <f t="shared" si="24"/>
        <v>1.1349</v>
      </c>
      <c r="F598" s="312">
        <f t="shared" si="24"/>
        <v>1.0580000000000001</v>
      </c>
      <c r="G598" s="312">
        <f t="shared" si="24"/>
        <v>0.97450000000000003</v>
      </c>
      <c r="H598" s="312">
        <f t="shared" si="24"/>
        <v>1.1298999999999999</v>
      </c>
      <c r="I598" s="618"/>
      <c r="J598" s="618"/>
      <c r="K598" s="618"/>
      <c r="L598" s="618"/>
      <c r="M598" s="618"/>
      <c r="N598" s="618"/>
      <c r="O598" s="618"/>
      <c r="P598" s="618"/>
      <c r="Q598" s="618"/>
      <c r="R598" s="618"/>
      <c r="S598" s="618"/>
      <c r="T598" s="618"/>
      <c r="U598" s="618"/>
      <c r="V598" s="618"/>
      <c r="W598" s="618"/>
      <c r="X598" s="618"/>
      <c r="Y598" s="618"/>
      <c r="Z598" s="618"/>
      <c r="AA598" s="618"/>
      <c r="AB598" s="618"/>
      <c r="AC598" s="618"/>
      <c r="AD598" s="618"/>
      <c r="AE598" s="618"/>
      <c r="AF598" s="618"/>
      <c r="AG598" s="618"/>
      <c r="AH598" s="618"/>
      <c r="AI598" s="618"/>
      <c r="AJ598" s="618"/>
      <c r="AK598" s="618"/>
      <c r="AL598" s="618"/>
      <c r="AM598" s="3"/>
      <c r="AN598" s="3"/>
      <c r="AO598" s="3"/>
      <c r="AP598" s="3"/>
      <c r="AQ598" s="3"/>
      <c r="AR598" s="3"/>
      <c r="AS598" s="3"/>
      <c r="AT598" s="3"/>
      <c r="AU598" s="3"/>
      <c r="AV598" s="3"/>
      <c r="AW598" s="3"/>
      <c r="AX598" s="3"/>
      <c r="AY598" s="3"/>
      <c r="AZ598" s="3"/>
      <c r="BA598" s="3"/>
      <c r="BB598" s="3"/>
      <c r="BC598" s="3"/>
      <c r="BD598" s="3"/>
      <c r="BE598" s="3"/>
      <c r="BF598" s="3"/>
    </row>
    <row r="599" spans="1:58" ht="14.25" customHeight="1" x14ac:dyDescent="0.45">
      <c r="A599" s="618"/>
      <c r="B599" s="215"/>
      <c r="C599" s="220"/>
      <c r="D599" s="247" t="s">
        <v>238</v>
      </c>
      <c r="E599" s="313">
        <f t="shared" si="24"/>
        <v>0</v>
      </c>
      <c r="F599" s="313">
        <f t="shared" si="24"/>
        <v>0</v>
      </c>
      <c r="G599" s="313">
        <f t="shared" si="24"/>
        <v>0</v>
      </c>
      <c r="H599" s="313">
        <f t="shared" si="24"/>
        <v>0</v>
      </c>
      <c r="I599" s="618"/>
      <c r="J599" s="618"/>
      <c r="K599" s="618"/>
      <c r="L599" s="618"/>
      <c r="M599" s="618"/>
      <c r="N599" s="618"/>
      <c r="O599" s="618"/>
      <c r="P599" s="618"/>
      <c r="Q599" s="618"/>
      <c r="R599" s="618"/>
      <c r="S599" s="618"/>
      <c r="T599" s="618"/>
      <c r="U599" s="618"/>
      <c r="V599" s="618"/>
      <c r="W599" s="618"/>
      <c r="X599" s="618"/>
      <c r="Y599" s="618"/>
      <c r="Z599" s="618"/>
      <c r="AA599" s="618"/>
      <c r="AB599" s="618"/>
      <c r="AC599" s="618"/>
      <c r="AD599" s="618"/>
      <c r="AE599" s="618"/>
      <c r="AF599" s="618"/>
      <c r="AG599" s="618"/>
      <c r="AH599" s="618"/>
      <c r="AI599" s="618"/>
      <c r="AJ599" s="618"/>
      <c r="AK599" s="618"/>
      <c r="AL599" s="618"/>
      <c r="AM599" s="3"/>
      <c r="AN599" s="3"/>
      <c r="AO599" s="3"/>
      <c r="AP599" s="3"/>
      <c r="AQ599" s="3"/>
      <c r="AR599" s="3"/>
      <c r="AS599" s="3"/>
      <c r="AT599" s="3"/>
      <c r="AU599" s="3"/>
      <c r="AV599" s="3"/>
      <c r="AW599" s="3"/>
      <c r="AX599" s="3"/>
      <c r="AY599" s="3"/>
      <c r="AZ599" s="3"/>
      <c r="BA599" s="3"/>
      <c r="BB599" s="3"/>
      <c r="BC599" s="3"/>
      <c r="BD599" s="3"/>
      <c r="BE599" s="3"/>
      <c r="BF599" s="3"/>
    </row>
    <row r="600" spans="1:58" ht="14.25" customHeight="1" x14ac:dyDescent="0.45">
      <c r="A600" s="618"/>
      <c r="B600" s="215"/>
      <c r="C600" s="220" t="s">
        <v>246</v>
      </c>
      <c r="D600" s="221" t="s">
        <v>236</v>
      </c>
      <c r="E600" s="43">
        <f t="shared" si="24"/>
        <v>0.55889999999999995</v>
      </c>
      <c r="F600" s="43">
        <f t="shared" si="24"/>
        <v>0.54859999999999998</v>
      </c>
      <c r="G600" s="44">
        <f t="shared" si="24"/>
        <v>0.48880000000000001</v>
      </c>
      <c r="H600" s="45">
        <f t="shared" si="24"/>
        <v>0.4985</v>
      </c>
      <c r="I600" s="618"/>
      <c r="J600" s="618"/>
      <c r="K600" s="618"/>
      <c r="L600" s="618"/>
      <c r="M600" s="618"/>
      <c r="N600" s="618"/>
      <c r="O600" s="618"/>
      <c r="P600" s="618"/>
      <c r="Q600" s="618"/>
      <c r="R600" s="618"/>
      <c r="S600" s="618"/>
      <c r="T600" s="618"/>
      <c r="U600" s="618"/>
      <c r="V600" s="618"/>
      <c r="W600" s="618"/>
      <c r="X600" s="618"/>
      <c r="Y600" s="618"/>
      <c r="Z600" s="618"/>
      <c r="AA600" s="618"/>
      <c r="AB600" s="618"/>
      <c r="AC600" s="618"/>
      <c r="AD600" s="618"/>
      <c r="AE600" s="618"/>
      <c r="AF600" s="618"/>
      <c r="AG600" s="618"/>
      <c r="AH600" s="618"/>
      <c r="AI600" s="618"/>
      <c r="AJ600" s="618"/>
      <c r="AK600" s="618"/>
      <c r="AL600" s="618"/>
      <c r="AM600" s="3"/>
      <c r="AN600" s="3"/>
      <c r="AO600" s="3"/>
      <c r="AP600" s="3"/>
      <c r="AQ600" s="3"/>
      <c r="AR600" s="3"/>
      <c r="AS600" s="3"/>
      <c r="AT600" s="3"/>
      <c r="AU600" s="3"/>
      <c r="AV600" s="3"/>
      <c r="AW600" s="3"/>
      <c r="AX600" s="3"/>
      <c r="AY600" s="3"/>
      <c r="AZ600" s="3"/>
      <c r="BA600" s="3"/>
      <c r="BB600" s="3"/>
      <c r="BC600" s="3"/>
      <c r="BD600" s="3"/>
      <c r="BE600" s="3"/>
      <c r="BF600" s="3"/>
    </row>
    <row r="601" spans="1:58" ht="14.25" customHeight="1" x14ac:dyDescent="0.45">
      <c r="A601" s="618"/>
      <c r="B601" s="215"/>
      <c r="C601" s="220" t="s">
        <v>247</v>
      </c>
      <c r="D601" s="221" t="s">
        <v>248</v>
      </c>
      <c r="E601" s="43">
        <f t="shared" si="24"/>
        <v>0.53010000000000002</v>
      </c>
      <c r="F601" s="43">
        <f t="shared" si="24"/>
        <v>0.48280000000000001</v>
      </c>
      <c r="G601" s="44">
        <f t="shared" si="24"/>
        <v>0.46179999999999999</v>
      </c>
      <c r="H601" s="46">
        <f t="shared" si="24"/>
        <v>0.62470000000000003</v>
      </c>
      <c r="I601" s="618"/>
      <c r="J601" s="618"/>
      <c r="K601" s="618"/>
      <c r="L601" s="618"/>
      <c r="M601" s="618"/>
      <c r="N601" s="618"/>
      <c r="O601" s="618"/>
      <c r="P601" s="618"/>
      <c r="Q601" s="618"/>
      <c r="R601" s="618"/>
      <c r="S601" s="618"/>
      <c r="T601" s="618"/>
      <c r="U601" s="618"/>
      <c r="V601" s="618"/>
      <c r="W601" s="618"/>
      <c r="X601" s="618"/>
      <c r="Y601" s="618"/>
      <c r="Z601" s="618"/>
      <c r="AA601" s="618"/>
      <c r="AB601" s="618"/>
      <c r="AC601" s="618"/>
      <c r="AD601" s="618"/>
      <c r="AE601" s="618"/>
      <c r="AF601" s="618"/>
      <c r="AG601" s="618"/>
      <c r="AH601" s="618"/>
      <c r="AI601" s="618"/>
      <c r="AJ601" s="618"/>
      <c r="AK601" s="618"/>
      <c r="AL601" s="618"/>
      <c r="AM601" s="3"/>
      <c r="AN601" s="3"/>
      <c r="AO601" s="3"/>
      <c r="AP601" s="3"/>
      <c r="AQ601" s="3"/>
      <c r="AR601" s="3"/>
      <c r="AS601" s="3"/>
      <c r="AT601" s="3"/>
      <c r="AU601" s="3"/>
      <c r="AV601" s="3"/>
      <c r="AW601" s="3"/>
      <c r="AX601" s="3"/>
      <c r="AY601" s="3"/>
      <c r="AZ601" s="3"/>
      <c r="BA601" s="3"/>
      <c r="BB601" s="3"/>
      <c r="BC601" s="3"/>
      <c r="BD601" s="3"/>
      <c r="BE601" s="3"/>
      <c r="BF601" s="3"/>
    </row>
    <row r="602" spans="1:58" ht="14.25" customHeight="1" x14ac:dyDescent="0.45">
      <c r="A602" s="618"/>
      <c r="B602" s="215"/>
      <c r="C602" s="220" t="s">
        <v>249</v>
      </c>
      <c r="D602" s="221" t="s">
        <v>240</v>
      </c>
      <c r="E602" s="43">
        <f t="shared" si="24"/>
        <v>4.58E-2</v>
      </c>
      <c r="F602" s="43">
        <f t="shared" si="24"/>
        <v>2.6700000000000002E-2</v>
      </c>
      <c r="G602" s="44">
        <f t="shared" si="24"/>
        <v>2.3699999999999999E-2</v>
      </c>
      <c r="H602" s="46">
        <f t="shared" si="24"/>
        <v>6.8999999999999999E-3</v>
      </c>
      <c r="I602" s="618"/>
      <c r="J602" s="618"/>
      <c r="K602" s="618"/>
      <c r="L602" s="618"/>
      <c r="M602" s="618"/>
      <c r="N602" s="618"/>
      <c r="O602" s="618"/>
      <c r="P602" s="618"/>
      <c r="Q602" s="618"/>
      <c r="R602" s="618"/>
      <c r="S602" s="618"/>
      <c r="T602" s="618"/>
      <c r="U602" s="618"/>
      <c r="V602" s="618"/>
      <c r="W602" s="618"/>
      <c r="X602" s="618"/>
      <c r="Y602" s="618"/>
      <c r="Z602" s="618"/>
      <c r="AA602" s="618"/>
      <c r="AB602" s="618"/>
      <c r="AC602" s="618"/>
      <c r="AD602" s="618"/>
      <c r="AE602" s="618"/>
      <c r="AF602" s="618"/>
      <c r="AG602" s="618"/>
      <c r="AH602" s="618"/>
      <c r="AI602" s="618"/>
      <c r="AJ602" s="618"/>
      <c r="AK602" s="618"/>
      <c r="AL602" s="618"/>
      <c r="AM602" s="3"/>
      <c r="AN602" s="3"/>
      <c r="AO602" s="3"/>
      <c r="AP602" s="3"/>
      <c r="AQ602" s="3"/>
      <c r="AR602" s="3"/>
      <c r="AS602" s="3"/>
      <c r="AT602" s="3"/>
      <c r="AU602" s="3"/>
      <c r="AV602" s="3"/>
      <c r="AW602" s="3"/>
      <c r="AX602" s="3"/>
      <c r="AY602" s="3"/>
      <c r="AZ602" s="3"/>
      <c r="BA602" s="3"/>
      <c r="BB602" s="3"/>
      <c r="BC602" s="3"/>
      <c r="BD602" s="3"/>
      <c r="BE602" s="3"/>
      <c r="BF602" s="3"/>
    </row>
    <row r="603" spans="1:58" ht="14.25" customHeight="1" x14ac:dyDescent="0.45">
      <c r="A603" s="618"/>
      <c r="B603" s="215"/>
      <c r="C603" s="220"/>
      <c r="D603" s="228" t="s">
        <v>193</v>
      </c>
      <c r="E603" s="229">
        <f t="shared" si="24"/>
        <v>0.1047</v>
      </c>
      <c r="F603" s="229">
        <f t="shared" si="24"/>
        <v>9.6500000000000002E-2</v>
      </c>
      <c r="G603" s="229">
        <f t="shared" si="24"/>
        <v>1.7999999999999999E-2</v>
      </c>
      <c r="H603" s="229">
        <f t="shared" si="24"/>
        <v>9.98E-2</v>
      </c>
      <c r="I603" s="618"/>
      <c r="J603" s="618"/>
      <c r="K603" s="618"/>
      <c r="L603" s="618"/>
      <c r="M603" s="618"/>
      <c r="N603" s="618"/>
      <c r="O603" s="618"/>
      <c r="P603" s="618"/>
      <c r="Q603" s="618"/>
      <c r="R603" s="618"/>
      <c r="S603" s="618"/>
      <c r="T603" s="618"/>
      <c r="U603" s="618"/>
      <c r="V603" s="618"/>
      <c r="W603" s="618"/>
      <c r="X603" s="618"/>
      <c r="Y603" s="618"/>
      <c r="Z603" s="618"/>
      <c r="AA603" s="618"/>
      <c r="AB603" s="618"/>
      <c r="AC603" s="618"/>
      <c r="AD603" s="618"/>
      <c r="AE603" s="618"/>
      <c r="AF603" s="618"/>
      <c r="AG603" s="618"/>
      <c r="AH603" s="618"/>
      <c r="AI603" s="618"/>
      <c r="AJ603" s="618"/>
      <c r="AK603" s="618"/>
      <c r="AL603" s="618"/>
      <c r="AM603" s="3"/>
      <c r="AN603" s="3"/>
      <c r="AO603" s="3"/>
      <c r="AP603" s="3"/>
      <c r="AQ603" s="3"/>
      <c r="AR603" s="3"/>
      <c r="AS603" s="3"/>
      <c r="AT603" s="3"/>
      <c r="AU603" s="3"/>
      <c r="AV603" s="3"/>
      <c r="AW603" s="3"/>
      <c r="AX603" s="3"/>
      <c r="AY603" s="3"/>
      <c r="AZ603" s="3"/>
      <c r="BA603" s="3"/>
      <c r="BB603" s="3"/>
      <c r="BC603" s="3"/>
      <c r="BD603" s="3"/>
      <c r="BE603" s="3"/>
      <c r="BF603" s="3"/>
    </row>
    <row r="604" spans="1:58" ht="14.25" customHeight="1" x14ac:dyDescent="0.45">
      <c r="A604" s="618"/>
      <c r="B604" s="215"/>
      <c r="C604" s="220"/>
      <c r="D604" s="247" t="s">
        <v>225</v>
      </c>
      <c r="E604" s="306">
        <f t="shared" si="24"/>
        <v>0</v>
      </c>
      <c r="F604" s="306">
        <f t="shared" si="24"/>
        <v>0</v>
      </c>
      <c r="G604" s="306">
        <f t="shared" si="24"/>
        <v>0</v>
      </c>
      <c r="H604" s="306">
        <f t="shared" si="24"/>
        <v>0</v>
      </c>
      <c r="I604" s="618"/>
      <c r="J604" s="618"/>
      <c r="K604" s="618"/>
      <c r="L604" s="618"/>
      <c r="M604" s="618"/>
      <c r="N604" s="618"/>
      <c r="O604" s="618"/>
      <c r="P604" s="618"/>
      <c r="Q604" s="618"/>
      <c r="R604" s="618"/>
      <c r="S604" s="618"/>
      <c r="T604" s="618"/>
      <c r="U604" s="618"/>
      <c r="V604" s="618"/>
      <c r="W604" s="618"/>
      <c r="X604" s="618"/>
      <c r="Y604" s="618"/>
      <c r="Z604" s="618"/>
      <c r="AA604" s="618"/>
      <c r="AB604" s="618"/>
      <c r="AC604" s="618"/>
      <c r="AD604" s="618"/>
      <c r="AE604" s="618"/>
      <c r="AF604" s="618"/>
      <c r="AG604" s="618"/>
      <c r="AH604" s="618"/>
      <c r="AI604" s="618"/>
      <c r="AJ604" s="618"/>
      <c r="AK604" s="618"/>
      <c r="AL604" s="618"/>
      <c r="AM604" s="3"/>
      <c r="AN604" s="3"/>
      <c r="AO604" s="3"/>
      <c r="AP604" s="3"/>
      <c r="AQ604" s="3"/>
      <c r="AR604" s="3"/>
      <c r="AS604" s="3"/>
      <c r="AT604" s="3"/>
      <c r="AU604" s="3"/>
      <c r="AV604" s="3"/>
      <c r="AW604" s="3"/>
      <c r="AX604" s="3"/>
      <c r="AY604" s="3"/>
      <c r="AZ604" s="3"/>
      <c r="BA604" s="3"/>
      <c r="BB604" s="3"/>
      <c r="BC604" s="3"/>
      <c r="BD604" s="3"/>
      <c r="BE604" s="3"/>
      <c r="BF604" s="3"/>
    </row>
    <row r="605" spans="1:58" ht="14.25" customHeight="1" x14ac:dyDescent="0.45">
      <c r="A605" s="618"/>
      <c r="B605" s="215"/>
      <c r="C605" s="220" t="s">
        <v>250</v>
      </c>
      <c r="D605" s="221" t="s">
        <v>236</v>
      </c>
      <c r="E605" s="47">
        <f t="shared" si="24"/>
        <v>0</v>
      </c>
      <c r="F605" s="47">
        <f t="shared" si="24"/>
        <v>0</v>
      </c>
      <c r="G605" s="47">
        <f t="shared" si="24"/>
        <v>0</v>
      </c>
      <c r="H605" s="48">
        <f t="shared" si="24"/>
        <v>0</v>
      </c>
      <c r="I605" s="618"/>
      <c r="J605" s="618"/>
      <c r="K605" s="618"/>
      <c r="L605" s="618"/>
      <c r="M605" s="618"/>
      <c r="N605" s="618"/>
      <c r="O605" s="618"/>
      <c r="P605" s="618"/>
      <c r="Q605" s="618"/>
      <c r="R605" s="618"/>
      <c r="S605" s="618"/>
      <c r="T605" s="618"/>
      <c r="U605" s="618"/>
      <c r="V605" s="618"/>
      <c r="W605" s="618"/>
      <c r="X605" s="618"/>
      <c r="Y605" s="618"/>
      <c r="Z605" s="618"/>
      <c r="AA605" s="618"/>
      <c r="AB605" s="618"/>
      <c r="AC605" s="618"/>
      <c r="AD605" s="618"/>
      <c r="AE605" s="618"/>
      <c r="AF605" s="618"/>
      <c r="AG605" s="618"/>
      <c r="AH605" s="618"/>
      <c r="AI605" s="618"/>
      <c r="AJ605" s="618"/>
      <c r="AK605" s="618"/>
      <c r="AL605" s="618"/>
      <c r="AM605" s="3"/>
      <c r="AN605" s="3"/>
      <c r="AO605" s="3"/>
      <c r="AP605" s="3"/>
      <c r="AQ605" s="3"/>
      <c r="AR605" s="3"/>
      <c r="AS605" s="3"/>
      <c r="AT605" s="3"/>
      <c r="AU605" s="3"/>
      <c r="AV605" s="3"/>
      <c r="AW605" s="3"/>
      <c r="AX605" s="3"/>
      <c r="AY605" s="3"/>
      <c r="AZ605" s="3"/>
      <c r="BA605" s="3"/>
      <c r="BB605" s="3"/>
      <c r="BC605" s="3"/>
      <c r="BD605" s="3"/>
      <c r="BE605" s="3"/>
      <c r="BF605" s="3"/>
    </row>
    <row r="606" spans="1:58" ht="14.25" customHeight="1" x14ac:dyDescent="0.45">
      <c r="A606" s="618"/>
      <c r="B606" s="215"/>
      <c r="C606" s="220"/>
      <c r="D606" s="247" t="s">
        <v>230</v>
      </c>
      <c r="E606" s="306">
        <f t="shared" si="24"/>
        <v>0</v>
      </c>
      <c r="F606" s="306">
        <f t="shared" si="24"/>
        <v>0</v>
      </c>
      <c r="G606" s="306">
        <f t="shared" si="24"/>
        <v>0</v>
      </c>
      <c r="H606" s="306">
        <f t="shared" si="24"/>
        <v>0</v>
      </c>
      <c r="I606" s="618"/>
      <c r="J606" s="618"/>
      <c r="K606" s="618"/>
      <c r="L606" s="618"/>
      <c r="M606" s="618"/>
      <c r="N606" s="618"/>
      <c r="O606" s="618"/>
      <c r="P606" s="618"/>
      <c r="Q606" s="618"/>
      <c r="R606" s="618"/>
      <c r="S606" s="618"/>
      <c r="T606" s="618"/>
      <c r="U606" s="618"/>
      <c r="V606" s="618"/>
      <c r="W606" s="618"/>
      <c r="X606" s="618"/>
      <c r="Y606" s="618"/>
      <c r="Z606" s="618"/>
      <c r="AA606" s="618"/>
      <c r="AB606" s="618"/>
      <c r="AC606" s="618"/>
      <c r="AD606" s="618"/>
      <c r="AE606" s="618"/>
      <c r="AF606" s="618"/>
      <c r="AG606" s="618"/>
      <c r="AH606" s="618"/>
      <c r="AI606" s="618"/>
      <c r="AJ606" s="618"/>
      <c r="AK606" s="618"/>
      <c r="AL606" s="618"/>
      <c r="AM606" s="3"/>
      <c r="AN606" s="3"/>
      <c r="AO606" s="3"/>
      <c r="AP606" s="3"/>
      <c r="AQ606" s="3"/>
      <c r="AR606" s="3"/>
      <c r="AS606" s="3"/>
      <c r="AT606" s="3"/>
      <c r="AU606" s="3"/>
      <c r="AV606" s="3"/>
      <c r="AW606" s="3"/>
      <c r="AX606" s="3"/>
      <c r="AY606" s="3"/>
      <c r="AZ606" s="3"/>
      <c r="BA606" s="3"/>
      <c r="BB606" s="3"/>
      <c r="BC606" s="3"/>
      <c r="BD606" s="3"/>
      <c r="BE606" s="3"/>
      <c r="BF606" s="3"/>
    </row>
    <row r="607" spans="1:58" ht="14.25" customHeight="1" x14ac:dyDescent="0.45">
      <c r="A607" s="618"/>
      <c r="B607" s="215"/>
      <c r="C607" s="220" t="s">
        <v>251</v>
      </c>
      <c r="D607" s="221" t="s">
        <v>236</v>
      </c>
      <c r="E607" s="218">
        <f t="shared" si="24"/>
        <v>1E-4</v>
      </c>
      <c r="F607" s="218">
        <f t="shared" si="24"/>
        <v>0</v>
      </c>
      <c r="G607" s="218">
        <f t="shared" si="24"/>
        <v>0</v>
      </c>
      <c r="H607" s="218">
        <f t="shared" si="24"/>
        <v>0</v>
      </c>
      <c r="I607" s="618"/>
      <c r="J607" s="618"/>
      <c r="K607" s="618"/>
      <c r="L607" s="618"/>
      <c r="M607" s="618"/>
      <c r="N607" s="618"/>
      <c r="O607" s="618"/>
      <c r="P607" s="618"/>
      <c r="Q607" s="618"/>
      <c r="R607" s="618"/>
      <c r="S607" s="618"/>
      <c r="T607" s="618"/>
      <c r="U607" s="618"/>
      <c r="V607" s="618"/>
      <c r="W607" s="618"/>
      <c r="X607" s="618"/>
      <c r="Y607" s="618"/>
      <c r="Z607" s="618"/>
      <c r="AA607" s="618"/>
      <c r="AB607" s="618"/>
      <c r="AC607" s="618"/>
      <c r="AD607" s="618"/>
      <c r="AE607" s="618"/>
      <c r="AF607" s="618"/>
      <c r="AG607" s="618"/>
      <c r="AH607" s="618"/>
      <c r="AI607" s="618"/>
      <c r="AJ607" s="618"/>
      <c r="AK607" s="618"/>
      <c r="AL607" s="618"/>
      <c r="AM607" s="3"/>
      <c r="AN607" s="3"/>
      <c r="AO607" s="3"/>
      <c r="AP607" s="3"/>
      <c r="AQ607" s="3"/>
      <c r="AR607" s="3"/>
      <c r="AS607" s="3"/>
      <c r="AT607" s="3"/>
      <c r="AU607" s="3"/>
      <c r="AV607" s="3"/>
      <c r="AW607" s="3"/>
      <c r="AX607" s="3"/>
      <c r="AY607" s="3"/>
      <c r="AZ607" s="3"/>
      <c r="BA607" s="3"/>
      <c r="BB607" s="3"/>
      <c r="BC607" s="3"/>
      <c r="BD607" s="3"/>
      <c r="BE607" s="3"/>
      <c r="BF607" s="3"/>
    </row>
    <row r="608" spans="1:58" ht="14.25" customHeight="1" x14ac:dyDescent="0.45">
      <c r="A608" s="618"/>
      <c r="B608" s="215"/>
      <c r="C608" s="220"/>
      <c r="D608" s="247" t="s">
        <v>238</v>
      </c>
      <c r="E608" s="306">
        <f t="shared" si="24"/>
        <v>0</v>
      </c>
      <c r="F608" s="306">
        <f t="shared" si="24"/>
        <v>0</v>
      </c>
      <c r="G608" s="306">
        <f t="shared" si="24"/>
        <v>0</v>
      </c>
      <c r="H608" s="306">
        <f t="shared" si="24"/>
        <v>0</v>
      </c>
      <c r="I608" s="618"/>
      <c r="J608" s="618"/>
      <c r="K608" s="618"/>
      <c r="L608" s="618"/>
      <c r="M608" s="618"/>
      <c r="N608" s="618"/>
      <c r="O608" s="618"/>
      <c r="P608" s="618"/>
      <c r="Q608" s="618"/>
      <c r="R608" s="618"/>
      <c r="S608" s="618"/>
      <c r="T608" s="618"/>
      <c r="U608" s="618"/>
      <c r="V608" s="618"/>
      <c r="W608" s="618"/>
      <c r="X608" s="618"/>
      <c r="Y608" s="618"/>
      <c r="Z608" s="618"/>
      <c r="AA608" s="618"/>
      <c r="AB608" s="618"/>
      <c r="AC608" s="618"/>
      <c r="AD608" s="618"/>
      <c r="AE608" s="618"/>
      <c r="AF608" s="618"/>
      <c r="AG608" s="618"/>
      <c r="AH608" s="618"/>
      <c r="AI608" s="618"/>
      <c r="AJ608" s="618"/>
      <c r="AK608" s="618"/>
      <c r="AL608" s="618"/>
      <c r="AM608" s="3"/>
      <c r="AN608" s="3"/>
      <c r="AO608" s="3"/>
      <c r="AP608" s="3"/>
      <c r="AQ608" s="3"/>
      <c r="AR608" s="3"/>
      <c r="AS608" s="3"/>
      <c r="AT608" s="3"/>
      <c r="AU608" s="3"/>
      <c r="AV608" s="3"/>
      <c r="AW608" s="3"/>
      <c r="AX608" s="3"/>
      <c r="AY608" s="3"/>
      <c r="AZ608" s="3"/>
      <c r="BA608" s="3"/>
      <c r="BB608" s="3"/>
      <c r="BC608" s="3"/>
      <c r="BD608" s="3"/>
      <c r="BE608" s="3"/>
      <c r="BF608" s="3"/>
    </row>
    <row r="609" spans="1:58" ht="14.25" customHeight="1" x14ac:dyDescent="0.45">
      <c r="A609" s="618"/>
      <c r="B609" s="215"/>
      <c r="C609" s="220" t="s">
        <v>252</v>
      </c>
      <c r="D609" s="221" t="s">
        <v>245</v>
      </c>
      <c r="E609" s="232">
        <f t="shared" si="24"/>
        <v>0.1046</v>
      </c>
      <c r="F609" s="232">
        <f t="shared" si="24"/>
        <v>9.6500000000000002E-2</v>
      </c>
      <c r="G609" s="232">
        <f t="shared" si="24"/>
        <v>1.7999999999999999E-2</v>
      </c>
      <c r="H609" s="232">
        <f t="shared" si="24"/>
        <v>9.98E-2</v>
      </c>
      <c r="I609" s="618"/>
      <c r="J609" s="618"/>
      <c r="K609" s="618"/>
      <c r="L609" s="618"/>
      <c r="M609" s="618"/>
      <c r="N609" s="618"/>
      <c r="O609" s="618"/>
      <c r="P609" s="618"/>
      <c r="Q609" s="618"/>
      <c r="R609" s="618"/>
      <c r="S609" s="618"/>
      <c r="T609" s="618"/>
      <c r="U609" s="618"/>
      <c r="V609" s="618"/>
      <c r="W609" s="618"/>
      <c r="X609" s="618"/>
      <c r="Y609" s="618"/>
      <c r="Z609" s="618"/>
      <c r="AA609" s="618"/>
      <c r="AB609" s="618"/>
      <c r="AC609" s="618"/>
      <c r="AD609" s="618"/>
      <c r="AE609" s="618"/>
      <c r="AF609" s="618"/>
      <c r="AG609" s="618"/>
      <c r="AH609" s="618"/>
      <c r="AI609" s="618"/>
      <c r="AJ609" s="618"/>
      <c r="AK609" s="618"/>
      <c r="AL609" s="618"/>
      <c r="AM609" s="3"/>
      <c r="AN609" s="3"/>
      <c r="AO609" s="3"/>
      <c r="AP609" s="3"/>
      <c r="AQ609" s="3"/>
      <c r="AR609" s="3"/>
      <c r="AS609" s="3"/>
      <c r="AT609" s="3"/>
      <c r="AU609" s="3"/>
      <c r="AV609" s="3"/>
      <c r="AW609" s="3"/>
      <c r="AX609" s="3"/>
      <c r="AY609" s="3"/>
      <c r="AZ609" s="3"/>
      <c r="BA609" s="3"/>
      <c r="BB609" s="3"/>
      <c r="BC609" s="3"/>
      <c r="BD609" s="3"/>
      <c r="BE609" s="3"/>
      <c r="BF609" s="3"/>
    </row>
    <row r="610" spans="1:58" ht="14.25" customHeight="1" x14ac:dyDescent="0.45">
      <c r="A610" s="618"/>
      <c r="B610" s="215"/>
      <c r="C610" s="220"/>
      <c r="D610" s="224" t="s">
        <v>347</v>
      </c>
      <c r="E610" s="295">
        <f t="shared" si="24"/>
        <v>0</v>
      </c>
      <c r="F610" s="295">
        <f t="shared" si="24"/>
        <v>0</v>
      </c>
      <c r="G610" s="295">
        <f t="shared" si="24"/>
        <v>0</v>
      </c>
      <c r="H610" s="295">
        <f t="shared" si="24"/>
        <v>0</v>
      </c>
      <c r="I610" s="618"/>
      <c r="J610" s="618"/>
      <c r="K610" s="618"/>
      <c r="L610" s="618"/>
      <c r="M610" s="618"/>
      <c r="N610" s="618"/>
      <c r="O610" s="618"/>
      <c r="P610" s="618"/>
      <c r="Q610" s="618"/>
      <c r="R610" s="618"/>
      <c r="S610" s="618"/>
      <c r="T610" s="618"/>
      <c r="U610" s="618"/>
      <c r="V610" s="618"/>
      <c r="W610" s="618"/>
      <c r="X610" s="618"/>
      <c r="Y610" s="618"/>
      <c r="Z610" s="618"/>
      <c r="AA610" s="618"/>
      <c r="AB610" s="618"/>
      <c r="AC610" s="618"/>
      <c r="AD610" s="618"/>
      <c r="AE610" s="618"/>
      <c r="AF610" s="618"/>
      <c r="AG610" s="618"/>
      <c r="AH610" s="618"/>
      <c r="AI610" s="618"/>
      <c r="AJ610" s="618"/>
      <c r="AK610" s="618"/>
      <c r="AL610" s="618"/>
      <c r="AM610" s="3"/>
      <c r="AN610" s="3"/>
      <c r="AO610" s="3"/>
      <c r="AP610" s="3"/>
      <c r="AQ610" s="3"/>
      <c r="AR610" s="3"/>
      <c r="AS610" s="3"/>
      <c r="AT610" s="3"/>
      <c r="AU610" s="3"/>
      <c r="AV610" s="3"/>
      <c r="AW610" s="3"/>
      <c r="AX610" s="3"/>
      <c r="AY610" s="3"/>
      <c r="AZ610" s="3"/>
      <c r="BA610" s="3"/>
      <c r="BB610" s="3"/>
      <c r="BC610" s="3"/>
      <c r="BD610" s="3"/>
      <c r="BE610" s="3"/>
      <c r="BF610" s="3"/>
    </row>
    <row r="611" spans="1:58" ht="14.25" customHeight="1" x14ac:dyDescent="0.45">
      <c r="A611" s="618"/>
      <c r="B611" s="215"/>
      <c r="C611" s="220"/>
      <c r="D611" s="243"/>
      <c r="E611" s="243"/>
      <c r="F611" s="243"/>
      <c r="G611" s="243"/>
      <c r="H611" s="305"/>
      <c r="I611" s="618"/>
      <c r="J611" s="618"/>
      <c r="K611" s="618"/>
      <c r="L611" s="618"/>
      <c r="M611" s="618"/>
      <c r="N611" s="618"/>
      <c r="O611" s="618"/>
      <c r="P611" s="618"/>
      <c r="Q611" s="618"/>
      <c r="R611" s="618"/>
      <c r="S611" s="618"/>
      <c r="T611" s="618"/>
      <c r="U611" s="618"/>
      <c r="V611" s="618"/>
      <c r="W611" s="618"/>
      <c r="X611" s="618"/>
      <c r="Y611" s="618"/>
      <c r="Z611" s="618"/>
      <c r="AA611" s="618"/>
      <c r="AB611" s="618"/>
      <c r="AC611" s="618"/>
      <c r="AD611" s="618"/>
      <c r="AE611" s="618"/>
      <c r="AF611" s="618"/>
      <c r="AG611" s="618"/>
      <c r="AH611" s="618"/>
      <c r="AI611" s="618"/>
      <c r="AJ611" s="618"/>
      <c r="AK611" s="618"/>
      <c r="AL611" s="618"/>
      <c r="AM611" s="3"/>
      <c r="AN611" s="3"/>
      <c r="AO611" s="3"/>
      <c r="AP611" s="3"/>
      <c r="AQ611" s="3"/>
      <c r="AR611" s="3"/>
      <c r="AS611" s="3"/>
      <c r="AT611" s="3"/>
      <c r="AU611" s="3"/>
      <c r="AV611" s="3"/>
      <c r="AW611" s="3"/>
      <c r="AX611" s="3"/>
      <c r="AY611" s="3"/>
      <c r="AZ611" s="3"/>
      <c r="BA611" s="3"/>
      <c r="BB611" s="3"/>
      <c r="BC611" s="3"/>
      <c r="BD611" s="3"/>
      <c r="BE611" s="3"/>
      <c r="BF611" s="3"/>
    </row>
    <row r="612" spans="1:58" ht="14.25" customHeight="1" x14ac:dyDescent="0.45">
      <c r="A612" s="618"/>
      <c r="B612" s="618"/>
      <c r="C612" s="618"/>
      <c r="D612" s="5" t="s">
        <v>412</v>
      </c>
      <c r="E612" s="52"/>
      <c r="F612" s="52"/>
      <c r="G612" s="52"/>
      <c r="H612" s="53"/>
      <c r="I612" s="1"/>
      <c r="J612" s="618"/>
      <c r="K612" s="618"/>
      <c r="L612" s="618"/>
      <c r="M612" s="618"/>
      <c r="N612" s="618"/>
      <c r="O612" s="618"/>
      <c r="P612" s="618"/>
      <c r="Q612" s="618"/>
      <c r="R612" s="618"/>
      <c r="S612" s="618"/>
      <c r="T612" s="618"/>
      <c r="U612" s="618"/>
      <c r="V612" s="618"/>
      <c r="W612" s="618"/>
      <c r="X612" s="618"/>
      <c r="Y612" s="618"/>
      <c r="Z612" s="618"/>
      <c r="AA612" s="618"/>
      <c r="AB612" s="618"/>
      <c r="AC612" s="618"/>
      <c r="AD612" s="618"/>
      <c r="AE612" s="618"/>
      <c r="AF612" s="618"/>
      <c r="AG612" s="618"/>
      <c r="AH612" s="618"/>
      <c r="AI612" s="618"/>
      <c r="AJ612" s="618"/>
      <c r="AK612" s="618"/>
      <c r="AL612" s="618"/>
      <c r="AM612" s="3"/>
      <c r="AN612" s="3"/>
      <c r="AO612" s="3"/>
      <c r="AP612" s="3"/>
      <c r="AQ612" s="3"/>
      <c r="AR612" s="3"/>
      <c r="AS612" s="3"/>
      <c r="AT612" s="3"/>
      <c r="AU612" s="3"/>
      <c r="AV612" s="3"/>
      <c r="AW612" s="3"/>
      <c r="AX612" s="3"/>
      <c r="AY612" s="3"/>
      <c r="AZ612" s="3"/>
      <c r="BA612" s="3"/>
      <c r="BB612" s="3"/>
      <c r="BC612" s="3"/>
      <c r="BD612" s="3"/>
      <c r="BE612" s="3"/>
      <c r="BF612" s="3"/>
    </row>
    <row r="613" spans="1:58" ht="14.25" customHeight="1" x14ac:dyDescent="0.45">
      <c r="A613" s="618"/>
      <c r="B613" s="618"/>
      <c r="C613" s="618"/>
      <c r="D613" s="5"/>
      <c r="E613" s="24"/>
      <c r="F613" s="24"/>
      <c r="G613" s="24"/>
      <c r="H613" s="25"/>
      <c r="I613" s="618"/>
      <c r="J613" s="618"/>
      <c r="K613" s="618"/>
      <c r="L613" s="618"/>
      <c r="M613" s="618"/>
      <c r="N613" s="618"/>
      <c r="O613" s="618"/>
      <c r="P613" s="618"/>
      <c r="Q613" s="618"/>
      <c r="R613" s="618"/>
      <c r="S613" s="618"/>
      <c r="T613" s="618"/>
      <c r="U613" s="618"/>
      <c r="V613" s="618"/>
      <c r="W613" s="618"/>
      <c r="X613" s="618"/>
      <c r="Y613" s="618"/>
      <c r="Z613" s="618"/>
      <c r="AA613" s="618"/>
      <c r="AB613" s="618"/>
      <c r="AC613" s="618"/>
      <c r="AD613" s="618"/>
      <c r="AE613" s="618"/>
      <c r="AF613" s="618"/>
      <c r="AG613" s="618"/>
      <c r="AH613" s="618"/>
      <c r="AI613" s="618"/>
      <c r="AJ613" s="618"/>
      <c r="AK613" s="618"/>
      <c r="AL613" s="618"/>
      <c r="AM613" s="3"/>
      <c r="AN613" s="3"/>
      <c r="AO613" s="3"/>
      <c r="AP613" s="3"/>
      <c r="AQ613" s="3"/>
      <c r="AR613" s="3"/>
      <c r="AS613" s="3"/>
      <c r="AT613" s="3"/>
      <c r="AU613" s="3"/>
      <c r="AV613" s="3"/>
      <c r="AW613" s="3"/>
      <c r="AX613" s="3"/>
      <c r="AY613" s="3"/>
      <c r="AZ613" s="3"/>
      <c r="BA613" s="3"/>
      <c r="BB613" s="3"/>
      <c r="BC613" s="3"/>
      <c r="BD613" s="3"/>
      <c r="BE613" s="3"/>
      <c r="BF613" s="3"/>
    </row>
    <row r="614" spans="1:58" ht="14.25" customHeight="1" x14ac:dyDescent="0.45">
      <c r="A614" s="618"/>
      <c r="B614" s="618"/>
      <c r="C614" s="3"/>
      <c r="D614" s="14" t="s">
        <v>138</v>
      </c>
      <c r="E614" s="6"/>
      <c r="F614" s="6"/>
      <c r="G614" s="6"/>
      <c r="H614" s="6"/>
      <c r="I614" s="618"/>
      <c r="J614" s="618"/>
      <c r="K614" s="618"/>
      <c r="L614" s="618"/>
      <c r="M614" s="618"/>
      <c r="N614" s="618"/>
      <c r="O614" s="618"/>
      <c r="P614" s="618"/>
      <c r="Q614" s="618"/>
      <c r="R614" s="618"/>
      <c r="S614" s="618"/>
      <c r="T614" s="618"/>
      <c r="U614" s="618"/>
      <c r="V614" s="618"/>
      <c r="W614" s="618"/>
      <c r="X614" s="618"/>
      <c r="Y614" s="618"/>
      <c r="Z614" s="618"/>
      <c r="AA614" s="618"/>
      <c r="AB614" s="618"/>
      <c r="AC614" s="618"/>
      <c r="AD614" s="618"/>
      <c r="AE614" s="618"/>
      <c r="AF614" s="618"/>
      <c r="AG614" s="618"/>
      <c r="AH614" s="618"/>
      <c r="AI614" s="618"/>
      <c r="AJ614" s="618"/>
      <c r="AK614" s="618"/>
      <c r="AL614" s="618"/>
      <c r="AM614" s="3"/>
      <c r="AN614" s="3"/>
      <c r="AO614" s="3"/>
      <c r="AP614" s="3"/>
      <c r="AQ614" s="3"/>
      <c r="AR614" s="3"/>
      <c r="AS614" s="3"/>
      <c r="AT614" s="3"/>
      <c r="AU614" s="3"/>
      <c r="AV614" s="3"/>
      <c r="AW614" s="3"/>
      <c r="AX614" s="3"/>
      <c r="AY614" s="3"/>
      <c r="AZ614" s="3"/>
      <c r="BA614" s="3"/>
      <c r="BB614" s="3"/>
      <c r="BC614" s="3"/>
      <c r="BD614" s="3"/>
      <c r="BE614" s="3"/>
      <c r="BF614" s="3"/>
    </row>
    <row r="615" spans="1:58" ht="14.25" customHeight="1" x14ac:dyDescent="0.45">
      <c r="A615" s="618"/>
      <c r="B615" s="618"/>
      <c r="C615" s="3"/>
      <c r="D615" s="5"/>
      <c r="E615" s="6"/>
      <c r="F615" s="6"/>
      <c r="G615" s="6"/>
      <c r="H615" s="6"/>
      <c r="I615" s="618"/>
      <c r="J615" s="618"/>
      <c r="K615" s="618"/>
      <c r="L615" s="618"/>
      <c r="M615" s="618"/>
      <c r="N615" s="618"/>
      <c r="O615" s="618"/>
      <c r="P615" s="618"/>
      <c r="Q615" s="618"/>
      <c r="R615" s="618"/>
      <c r="S615" s="618"/>
      <c r="T615" s="618"/>
      <c r="U615" s="618"/>
      <c r="V615" s="618"/>
      <c r="W615" s="618"/>
      <c r="X615" s="618"/>
      <c r="Y615" s="618"/>
      <c r="Z615" s="618"/>
      <c r="AA615" s="618"/>
      <c r="AB615" s="618"/>
      <c r="AC615" s="618"/>
      <c r="AD615" s="618"/>
      <c r="AE615" s="618"/>
      <c r="AF615" s="618"/>
      <c r="AG615" s="618"/>
      <c r="AH615" s="618"/>
      <c r="AI615" s="618"/>
      <c r="AJ615" s="618"/>
      <c r="AK615" s="618"/>
      <c r="AL615" s="618"/>
      <c r="AM615" s="3"/>
      <c r="AN615" s="3"/>
      <c r="AO615" s="3"/>
      <c r="AP615" s="3"/>
      <c r="AQ615" s="3"/>
      <c r="AR615" s="3"/>
      <c r="AS615" s="3"/>
      <c r="AT615" s="3"/>
      <c r="AU615" s="3"/>
      <c r="AV615" s="3"/>
      <c r="AW615" s="3"/>
      <c r="AX615" s="3"/>
      <c r="AY615" s="3"/>
      <c r="AZ615" s="3"/>
      <c r="BA615" s="3"/>
      <c r="BB615" s="3"/>
      <c r="BC615" s="3"/>
      <c r="BD615" s="3"/>
      <c r="BE615" s="3"/>
      <c r="BF615" s="3"/>
    </row>
    <row r="616" spans="1:58" ht="19.5" customHeight="1" x14ac:dyDescent="0.45">
      <c r="A616" s="618"/>
      <c r="B616" s="618"/>
      <c r="C616" s="3"/>
      <c r="D616" s="198" t="s">
        <v>413</v>
      </c>
      <c r="E616" s="202">
        <f>(G616*I616*K616*M616)/(I617*K617*M617)</f>
        <v>0.61960000000000004</v>
      </c>
      <c r="F616" s="200" t="s">
        <v>140</v>
      </c>
      <c r="G616" s="16">
        <v>1</v>
      </c>
      <c r="H616" s="201" t="s">
        <v>414</v>
      </c>
      <c r="I616" s="16">
        <v>1000000</v>
      </c>
      <c r="J616" s="6" t="s">
        <v>415</v>
      </c>
      <c r="K616" s="17">
        <v>0.61960000000000004</v>
      </c>
      <c r="L616" s="618" t="s">
        <v>150</v>
      </c>
      <c r="M616" s="618">
        <v>1</v>
      </c>
      <c r="N616" s="618" t="s">
        <v>140</v>
      </c>
      <c r="O616" s="618"/>
      <c r="P616" s="618"/>
      <c r="Q616" s="618"/>
      <c r="R616" s="618"/>
      <c r="S616" s="618"/>
      <c r="T616" s="618"/>
      <c r="U616" s="618"/>
      <c r="V616" s="618"/>
      <c r="W616" s="618"/>
      <c r="X616" s="618"/>
      <c r="Y616" s="618"/>
      <c r="Z616" s="618"/>
      <c r="AA616" s="618"/>
      <c r="AB616" s="618"/>
      <c r="AC616" s="618"/>
      <c r="AD616" s="618"/>
      <c r="AE616" s="618"/>
      <c r="AF616" s="618"/>
      <c r="AG616" s="618"/>
      <c r="AH616" s="618"/>
      <c r="AI616" s="618"/>
      <c r="AJ616" s="618"/>
      <c r="AK616" s="618"/>
      <c r="AL616" s="618"/>
      <c r="AM616" s="3"/>
      <c r="AN616" s="3"/>
      <c r="AO616" s="3"/>
      <c r="AP616" s="3"/>
      <c r="AQ616" s="3"/>
      <c r="AR616" s="3"/>
      <c r="AS616" s="3"/>
      <c r="AT616" s="3"/>
      <c r="AU616" s="3"/>
      <c r="AV616" s="3"/>
      <c r="AW616" s="3"/>
      <c r="AX616" s="3"/>
      <c r="AY616" s="3"/>
      <c r="AZ616" s="3"/>
      <c r="BA616" s="3"/>
      <c r="BB616" s="3"/>
      <c r="BC616" s="3"/>
      <c r="BD616" s="3"/>
      <c r="BE616" s="3"/>
      <c r="BF616" s="3"/>
    </row>
    <row r="617" spans="1:58" ht="14.25" customHeight="1" x14ac:dyDescent="0.45">
      <c r="A617" s="618"/>
      <c r="B617" s="618"/>
      <c r="C617" s="3"/>
      <c r="D617" s="5"/>
      <c r="E617" s="3"/>
      <c r="F617" s="3"/>
      <c r="G617" s="6"/>
      <c r="H617" s="6"/>
      <c r="I617" s="16">
        <v>1</v>
      </c>
      <c r="J617" s="6" t="s">
        <v>414</v>
      </c>
      <c r="K617" s="618">
        <v>1000</v>
      </c>
      <c r="L617" s="6" t="s">
        <v>415</v>
      </c>
      <c r="M617" s="618">
        <v>1000</v>
      </c>
      <c r="N617" s="618" t="s">
        <v>150</v>
      </c>
      <c r="O617" s="618"/>
      <c r="P617" s="618"/>
      <c r="Q617" s="618"/>
      <c r="R617" s="618"/>
      <c r="S617" s="618"/>
      <c r="T617" s="618"/>
      <c r="U617" s="618"/>
      <c r="V617" s="618"/>
      <c r="W617" s="618"/>
      <c r="X617" s="618"/>
      <c r="Y617" s="618"/>
      <c r="Z617" s="618"/>
      <c r="AA617" s="618"/>
      <c r="AB617" s="618"/>
      <c r="AC617" s="618"/>
      <c r="AD617" s="618"/>
      <c r="AE617" s="618"/>
      <c r="AF617" s="618"/>
      <c r="AG617" s="618"/>
      <c r="AH617" s="618"/>
      <c r="AI617" s="618"/>
      <c r="AJ617" s="618"/>
      <c r="AK617" s="618"/>
      <c r="AL617" s="618"/>
      <c r="AM617" s="3"/>
      <c r="AN617" s="3"/>
      <c r="AO617" s="3"/>
      <c r="AP617" s="3"/>
      <c r="AQ617" s="3"/>
      <c r="AR617" s="3"/>
      <c r="AS617" s="3"/>
      <c r="AT617" s="3"/>
      <c r="AU617" s="3"/>
      <c r="AV617" s="3"/>
      <c r="AW617" s="3"/>
      <c r="AX617" s="3"/>
      <c r="AY617" s="3"/>
      <c r="AZ617" s="3"/>
      <c r="BA617" s="3"/>
      <c r="BB617" s="3"/>
      <c r="BC617" s="3"/>
      <c r="BD617" s="3"/>
      <c r="BE617" s="3"/>
      <c r="BF617" s="3"/>
    </row>
    <row r="618" spans="1:58" ht="14.25" customHeight="1" x14ac:dyDescent="0.45">
      <c r="A618" s="618"/>
      <c r="B618" s="618"/>
      <c r="C618" s="618"/>
      <c r="D618" s="5"/>
      <c r="E618" s="24"/>
      <c r="F618" s="24"/>
      <c r="G618" s="24"/>
      <c r="H618" s="25"/>
      <c r="I618" s="618"/>
      <c r="J618" s="618"/>
      <c r="K618" s="618"/>
      <c r="L618" s="618"/>
      <c r="M618" s="618"/>
      <c r="N618" s="618"/>
      <c r="O618" s="618"/>
      <c r="P618" s="618"/>
      <c r="Q618" s="618"/>
      <c r="R618" s="618"/>
      <c r="S618" s="618"/>
      <c r="T618" s="618"/>
      <c r="U618" s="618"/>
      <c r="V618" s="618"/>
      <c r="W618" s="618"/>
      <c r="X618" s="618"/>
      <c r="Y618" s="618"/>
      <c r="Z618" s="618"/>
      <c r="AA618" s="618"/>
      <c r="AB618" s="618"/>
      <c r="AC618" s="618"/>
      <c r="AD618" s="618"/>
      <c r="AE618" s="618"/>
      <c r="AF618" s="618"/>
      <c r="AG618" s="618"/>
      <c r="AH618" s="618"/>
      <c r="AI618" s="618"/>
      <c r="AJ618" s="618"/>
      <c r="AK618" s="618"/>
      <c r="AL618" s="618"/>
      <c r="AM618" s="3"/>
      <c r="AN618" s="3"/>
      <c r="AO618" s="3"/>
      <c r="AP618" s="3"/>
      <c r="AQ618" s="3"/>
      <c r="AR618" s="3"/>
      <c r="AS618" s="3"/>
      <c r="AT618" s="3"/>
      <c r="AU618" s="3"/>
      <c r="AV618" s="3"/>
      <c r="AW618" s="3"/>
      <c r="AX618" s="3"/>
      <c r="AY618" s="3"/>
      <c r="AZ618" s="3"/>
      <c r="BA618" s="3"/>
      <c r="BB618" s="3"/>
      <c r="BC618" s="3"/>
      <c r="BD618" s="3"/>
      <c r="BE618" s="3"/>
      <c r="BF618" s="3"/>
    </row>
    <row r="619" spans="1:58" ht="18" customHeight="1" x14ac:dyDescent="0.45">
      <c r="A619" s="618"/>
      <c r="B619" s="618"/>
      <c r="C619" s="618"/>
      <c r="D619" s="198" t="s">
        <v>151</v>
      </c>
      <c r="E619" s="202">
        <f>(G619*I619*K619*M619*O619)/(I620*K620*M620*O620)</f>
        <v>5.8065553845323302E-3</v>
      </c>
      <c r="F619" s="200" t="s">
        <v>152</v>
      </c>
      <c r="G619" s="16">
        <v>1</v>
      </c>
      <c r="H619" s="201" t="s">
        <v>140</v>
      </c>
      <c r="I619" s="16">
        <v>1000</v>
      </c>
      <c r="J619" s="6" t="s">
        <v>150</v>
      </c>
      <c r="K619" s="16">
        <v>1</v>
      </c>
      <c r="L619" s="6" t="s">
        <v>153</v>
      </c>
      <c r="M619" s="203">
        <v>41.84</v>
      </c>
      <c r="N619" s="6" t="s">
        <v>154</v>
      </c>
      <c r="O619" s="16">
        <v>1</v>
      </c>
      <c r="P619" s="6" t="s">
        <v>152</v>
      </c>
      <c r="Q619" s="618"/>
      <c r="R619" s="618"/>
      <c r="S619" s="618"/>
      <c r="T619" s="618"/>
      <c r="U619" s="618"/>
      <c r="V619" s="618"/>
      <c r="W619" s="618"/>
      <c r="X619" s="618"/>
      <c r="Y619" s="618"/>
      <c r="Z619" s="618"/>
      <c r="AA619" s="618"/>
      <c r="AB619" s="618"/>
      <c r="AC619" s="618"/>
      <c r="AD619" s="618"/>
      <c r="AE619" s="618"/>
      <c r="AF619" s="618"/>
      <c r="AG619" s="618"/>
      <c r="AH619" s="618"/>
      <c r="AI619" s="618"/>
      <c r="AJ619" s="618"/>
      <c r="AK619" s="618"/>
      <c r="AL619" s="618"/>
      <c r="AM619" s="3"/>
      <c r="AN619" s="3"/>
      <c r="AO619" s="3"/>
      <c r="AP619" s="3"/>
      <c r="AQ619" s="3"/>
      <c r="AR619" s="3"/>
      <c r="AS619" s="3"/>
      <c r="AT619" s="3"/>
      <c r="AU619" s="3"/>
      <c r="AV619" s="3"/>
      <c r="AW619" s="3"/>
      <c r="AX619" s="3"/>
      <c r="AY619" s="3"/>
      <c r="AZ619" s="3"/>
      <c r="BA619" s="3"/>
      <c r="BB619" s="3"/>
      <c r="BC619" s="3"/>
      <c r="BD619" s="3"/>
      <c r="BE619" s="3"/>
      <c r="BF619" s="3"/>
    </row>
    <row r="620" spans="1:58" ht="14.25" customHeight="1" x14ac:dyDescent="0.45">
      <c r="A620" s="618"/>
      <c r="B620" s="618"/>
      <c r="C620" s="618"/>
      <c r="D620" s="5"/>
      <c r="E620" s="3"/>
      <c r="F620" s="3"/>
      <c r="G620" s="3"/>
      <c r="H620" s="3"/>
      <c r="I620" s="16">
        <v>1</v>
      </c>
      <c r="J620" s="6" t="s">
        <v>140</v>
      </c>
      <c r="K620" s="204">
        <v>7.2056490000000002</v>
      </c>
      <c r="L620" s="6" t="s">
        <v>150</v>
      </c>
      <c r="M620" s="16">
        <v>1000</v>
      </c>
      <c r="N620" s="6" t="s">
        <v>153</v>
      </c>
      <c r="O620" s="16">
        <v>1000</v>
      </c>
      <c r="P620" s="6" t="s">
        <v>154</v>
      </c>
      <c r="Q620" s="618"/>
      <c r="R620" s="618"/>
      <c r="S620" s="618"/>
      <c r="T620" s="618"/>
      <c r="U620" s="618"/>
      <c r="V620" s="618"/>
      <c r="W620" s="618"/>
      <c r="X620" s="618"/>
      <c r="Y620" s="618"/>
      <c r="Z620" s="618"/>
      <c r="AA620" s="618"/>
      <c r="AB620" s="618"/>
      <c r="AC620" s="618"/>
      <c r="AD620" s="618"/>
      <c r="AE620" s="618"/>
      <c r="AF620" s="618"/>
      <c r="AG620" s="618"/>
      <c r="AH620" s="618"/>
      <c r="AI620" s="618"/>
      <c r="AJ620" s="618"/>
      <c r="AK620" s="618"/>
      <c r="AL620" s="618"/>
      <c r="AM620" s="3"/>
      <c r="AN620" s="3"/>
      <c r="AO620" s="3"/>
      <c r="AP620" s="3"/>
      <c r="AQ620" s="3"/>
      <c r="AR620" s="3"/>
      <c r="AS620" s="3"/>
      <c r="AT620" s="3"/>
      <c r="AU620" s="3"/>
      <c r="AV620" s="3"/>
      <c r="AW620" s="3"/>
      <c r="AX620" s="3"/>
      <c r="AY620" s="3"/>
      <c r="AZ620" s="3"/>
      <c r="BA620" s="3"/>
      <c r="BB620" s="3"/>
      <c r="BC620" s="3"/>
      <c r="BD620" s="3"/>
      <c r="BE620" s="3"/>
      <c r="BF620" s="3"/>
    </row>
    <row r="621" spans="1:58" ht="14.25" customHeight="1" x14ac:dyDescent="0.45">
      <c r="A621" s="618"/>
      <c r="B621" s="618"/>
      <c r="C621" s="618"/>
      <c r="D621" s="5"/>
      <c r="E621" s="24">
        <f>E616*E619</f>
        <v>3.5977417162562321E-3</v>
      </c>
      <c r="F621" s="24"/>
      <c r="G621" s="24"/>
      <c r="H621" s="25"/>
      <c r="I621" s="618"/>
      <c r="J621" s="618"/>
      <c r="K621" s="618"/>
      <c r="L621" s="618"/>
      <c r="M621" s="618"/>
      <c r="N621" s="618"/>
      <c r="O621" s="618"/>
      <c r="P621" s="618"/>
      <c r="Q621" s="618"/>
      <c r="R621" s="618"/>
      <c r="S621" s="618"/>
      <c r="T621" s="618"/>
      <c r="U621" s="618"/>
      <c r="V621" s="618"/>
      <c r="W621" s="618"/>
      <c r="X621" s="618"/>
      <c r="Y621" s="618"/>
      <c r="Z621" s="618"/>
      <c r="AA621" s="618"/>
      <c r="AB621" s="618"/>
      <c r="AC621" s="618"/>
      <c r="AD621" s="618"/>
      <c r="AE621" s="618"/>
      <c r="AF621" s="618"/>
      <c r="AG621" s="618"/>
      <c r="AH621" s="618"/>
      <c r="AI621" s="618"/>
      <c r="AJ621" s="618"/>
      <c r="AK621" s="618"/>
      <c r="AL621" s="618"/>
      <c r="AM621" s="3"/>
      <c r="AN621" s="3"/>
      <c r="AO621" s="3"/>
      <c r="AP621" s="3"/>
      <c r="AQ621" s="3"/>
      <c r="AR621" s="3"/>
      <c r="AS621" s="3"/>
      <c r="AT621" s="3"/>
      <c r="AU621" s="3"/>
      <c r="AV621" s="3"/>
      <c r="AW621" s="3"/>
      <c r="AX621" s="3"/>
      <c r="AY621" s="3"/>
      <c r="AZ621" s="3"/>
      <c r="BA621" s="3"/>
      <c r="BB621" s="3"/>
      <c r="BC621" s="3"/>
      <c r="BD621" s="3"/>
      <c r="BE621" s="3"/>
      <c r="BF621" s="3"/>
    </row>
    <row r="622" spans="1:58" ht="14.25" customHeight="1" x14ac:dyDescent="0.45">
      <c r="A622" s="618"/>
      <c r="B622" s="618"/>
      <c r="C622" s="618"/>
      <c r="D622" s="5"/>
      <c r="E622" s="24"/>
      <c r="F622" s="24"/>
      <c r="G622" s="24"/>
      <c r="H622" s="25"/>
      <c r="I622" s="618"/>
      <c r="J622" s="618"/>
      <c r="K622" s="618"/>
      <c r="L622" s="618"/>
      <c r="M622" s="618"/>
      <c r="N622" s="618"/>
      <c r="O622" s="618"/>
      <c r="P622" s="618"/>
      <c r="Q622" s="618"/>
      <c r="R622" s="618"/>
      <c r="S622" s="618"/>
      <c r="T622" s="618"/>
      <c r="U622" s="618"/>
      <c r="V622" s="618"/>
      <c r="W622" s="618"/>
      <c r="X622" s="618"/>
      <c r="Y622" s="618"/>
      <c r="Z622" s="618"/>
      <c r="AA622" s="618"/>
      <c r="AB622" s="618"/>
      <c r="AC622" s="618"/>
      <c r="AD622" s="618"/>
      <c r="AE622" s="618"/>
      <c r="AF622" s="618"/>
      <c r="AG622" s="618"/>
      <c r="AH622" s="618"/>
      <c r="AI622" s="618"/>
      <c r="AJ622" s="618"/>
      <c r="AK622" s="618"/>
      <c r="AL622" s="618"/>
      <c r="AM622" s="3"/>
      <c r="AN622" s="3"/>
      <c r="AO622" s="3"/>
      <c r="AP622" s="3"/>
      <c r="AQ622" s="3"/>
      <c r="AR622" s="3"/>
      <c r="AS622" s="3"/>
      <c r="AT622" s="3"/>
      <c r="AU622" s="3"/>
      <c r="AV622" s="3"/>
      <c r="AW622" s="3"/>
      <c r="AX622" s="3"/>
      <c r="AY622" s="3"/>
      <c r="AZ622" s="3"/>
      <c r="BA622" s="3"/>
      <c r="BB622" s="3"/>
      <c r="BC622" s="3"/>
      <c r="BD622" s="3"/>
      <c r="BE622" s="3"/>
      <c r="BF622" s="3"/>
    </row>
    <row r="623" spans="1:58" ht="14.25" customHeight="1" x14ac:dyDescent="0.45">
      <c r="A623" s="618"/>
      <c r="B623" s="618"/>
      <c r="C623" s="618"/>
      <c r="D623" s="5"/>
      <c r="E623" s="24"/>
      <c r="F623" s="24"/>
      <c r="G623" s="24"/>
      <c r="H623" s="25"/>
      <c r="I623" s="618"/>
      <c r="J623" s="618"/>
      <c r="K623" s="618"/>
      <c r="L623" s="618"/>
      <c r="M623" s="618"/>
      <c r="N623" s="618"/>
      <c r="O623" s="618"/>
      <c r="P623" s="618"/>
      <c r="Q623" s="618"/>
      <c r="R623" s="618"/>
      <c r="S623" s="618"/>
      <c r="T623" s="618"/>
      <c r="U623" s="618"/>
      <c r="V623" s="618"/>
      <c r="W623" s="618"/>
      <c r="X623" s="618"/>
      <c r="Y623" s="618"/>
      <c r="Z623" s="618"/>
      <c r="AA623" s="618"/>
      <c r="AB623" s="618"/>
      <c r="AC623" s="618"/>
      <c r="AD623" s="618"/>
      <c r="AE623" s="618"/>
      <c r="AF623" s="618"/>
      <c r="AG623" s="618"/>
      <c r="AH623" s="618"/>
      <c r="AI623" s="618"/>
      <c r="AJ623" s="618"/>
      <c r="AK623" s="618"/>
      <c r="AL623" s="618"/>
      <c r="AM623" s="3"/>
      <c r="AN623" s="3"/>
      <c r="AO623" s="3"/>
      <c r="AP623" s="3"/>
      <c r="AQ623" s="3"/>
      <c r="AR623" s="3"/>
      <c r="AS623" s="3"/>
      <c r="AT623" s="3"/>
      <c r="AU623" s="3"/>
      <c r="AV623" s="3"/>
      <c r="AW623" s="3"/>
      <c r="AX623" s="3"/>
      <c r="AY623" s="3"/>
      <c r="AZ623" s="3"/>
      <c r="BA623" s="3"/>
      <c r="BB623" s="3"/>
      <c r="BC623" s="3"/>
      <c r="BD623" s="3"/>
      <c r="BE623" s="3"/>
      <c r="BF623" s="3"/>
    </row>
    <row r="624" spans="1:58" ht="14.25" customHeight="1" x14ac:dyDescent="0.45">
      <c r="A624" s="618"/>
      <c r="B624" s="618"/>
      <c r="C624" s="618"/>
      <c r="D624" s="5"/>
      <c r="E624" s="24"/>
      <c r="F624" s="24"/>
      <c r="G624" s="24"/>
      <c r="H624" s="25"/>
      <c r="I624" s="618"/>
      <c r="J624" s="618"/>
      <c r="K624" s="618"/>
      <c r="L624" s="618"/>
      <c r="M624" s="618"/>
      <c r="N624" s="618"/>
      <c r="O624" s="618"/>
      <c r="P624" s="618"/>
      <c r="Q624" s="618"/>
      <c r="R624" s="618"/>
      <c r="S624" s="618"/>
      <c r="T624" s="618"/>
      <c r="U624" s="618"/>
      <c r="V624" s="618"/>
      <c r="W624" s="618"/>
      <c r="X624" s="618"/>
      <c r="Y624" s="618"/>
      <c r="Z624" s="618"/>
      <c r="AA624" s="618"/>
      <c r="AB624" s="618"/>
      <c r="AC624" s="618"/>
      <c r="AD624" s="618"/>
      <c r="AE624" s="618"/>
      <c r="AF624" s="618"/>
      <c r="AG624" s="618"/>
      <c r="AH624" s="618"/>
      <c r="AI624" s="618"/>
      <c r="AJ624" s="618"/>
      <c r="AK624" s="618"/>
      <c r="AL624" s="618"/>
      <c r="AM624" s="3"/>
      <c r="AN624" s="3"/>
      <c r="AO624" s="3"/>
      <c r="AP624" s="3"/>
      <c r="AQ624" s="3"/>
      <c r="AR624" s="3"/>
      <c r="AS624" s="3"/>
      <c r="AT624" s="3"/>
      <c r="AU624" s="3"/>
      <c r="AV624" s="3"/>
      <c r="AW624" s="3"/>
      <c r="AX624" s="3"/>
      <c r="AY624" s="3"/>
      <c r="AZ624" s="3"/>
      <c r="BA624" s="3"/>
      <c r="BB624" s="3"/>
      <c r="BC624" s="3"/>
      <c r="BD624" s="3"/>
      <c r="BE624" s="3"/>
      <c r="BF624" s="3"/>
    </row>
    <row r="625" spans="1:58" ht="14.25" customHeight="1" x14ac:dyDescent="0.45">
      <c r="A625" s="618"/>
      <c r="B625" s="618"/>
      <c r="C625" s="618">
        <v>1</v>
      </c>
      <c r="D625" s="5">
        <v>2</v>
      </c>
      <c r="E625" s="24">
        <v>3</v>
      </c>
      <c r="F625" s="618">
        <v>4</v>
      </c>
      <c r="G625" s="5">
        <v>5</v>
      </c>
      <c r="H625" s="24">
        <v>6</v>
      </c>
      <c r="I625" s="618">
        <v>7</v>
      </c>
      <c r="J625" s="5">
        <v>8</v>
      </c>
      <c r="K625" s="24">
        <v>9</v>
      </c>
      <c r="L625" s="618">
        <v>10</v>
      </c>
      <c r="M625" s="5">
        <v>11</v>
      </c>
      <c r="N625" s="24">
        <v>12</v>
      </c>
      <c r="O625" s="618">
        <v>13</v>
      </c>
      <c r="P625" s="5">
        <v>14</v>
      </c>
      <c r="Q625" s="24">
        <v>15</v>
      </c>
      <c r="R625" s="618">
        <v>16</v>
      </c>
      <c r="S625" s="5">
        <v>17</v>
      </c>
      <c r="T625" s="24">
        <v>18</v>
      </c>
      <c r="U625" s="618">
        <v>19</v>
      </c>
      <c r="V625" s="5">
        <v>20</v>
      </c>
      <c r="W625" s="24">
        <v>21</v>
      </c>
      <c r="X625" s="618">
        <v>22</v>
      </c>
      <c r="Y625" s="5">
        <v>23</v>
      </c>
      <c r="Z625" s="24">
        <v>24</v>
      </c>
      <c r="AA625" s="618">
        <v>25</v>
      </c>
      <c r="AB625" s="5">
        <v>26</v>
      </c>
      <c r="AC625" s="24">
        <v>27</v>
      </c>
      <c r="AD625" s="618">
        <v>28</v>
      </c>
      <c r="AE625" s="5">
        <v>29</v>
      </c>
      <c r="AF625" s="24">
        <v>30</v>
      </c>
      <c r="AG625" s="618">
        <v>31</v>
      </c>
      <c r="AH625" s="5">
        <v>32</v>
      </c>
      <c r="AI625" s="24">
        <v>33</v>
      </c>
      <c r="AJ625" s="618">
        <v>34</v>
      </c>
      <c r="AK625" s="5">
        <v>35</v>
      </c>
      <c r="AL625" s="24">
        <v>36</v>
      </c>
      <c r="AM625" s="618">
        <v>37</v>
      </c>
      <c r="AN625" s="5">
        <v>38</v>
      </c>
      <c r="AO625" s="24">
        <v>39</v>
      </c>
      <c r="AP625" s="618">
        <v>40</v>
      </c>
      <c r="AQ625" s="5">
        <v>41</v>
      </c>
      <c r="AR625" s="24">
        <v>42</v>
      </c>
      <c r="AS625" s="618">
        <v>43</v>
      </c>
      <c r="AT625" s="5">
        <v>44</v>
      </c>
      <c r="AU625" s="24">
        <v>45</v>
      </c>
      <c r="AV625" s="618">
        <v>46</v>
      </c>
      <c r="AW625" s="5">
        <v>47</v>
      </c>
      <c r="AX625" s="24">
        <v>48</v>
      </c>
      <c r="AY625" s="618">
        <v>49</v>
      </c>
      <c r="AZ625" s="618">
        <v>50</v>
      </c>
      <c r="BA625" s="5">
        <v>51</v>
      </c>
      <c r="BB625" s="24">
        <v>52</v>
      </c>
      <c r="BC625" s="618">
        <v>53</v>
      </c>
      <c r="BD625" s="618">
        <v>54</v>
      </c>
      <c r="BE625" s="5">
        <v>55</v>
      </c>
      <c r="BF625" s="24">
        <v>56</v>
      </c>
    </row>
    <row r="626" spans="1:58" ht="14.25" customHeight="1" x14ac:dyDescent="0.45">
      <c r="A626" s="618"/>
      <c r="B626" s="618"/>
      <c r="C626" s="618"/>
      <c r="D626" s="5"/>
      <c r="E626" s="24"/>
      <c r="F626" s="24"/>
      <c r="G626" s="24"/>
      <c r="H626" s="25"/>
      <c r="I626" s="618"/>
      <c r="J626" s="618"/>
      <c r="K626" s="618"/>
      <c r="L626" s="618"/>
      <c r="M626" s="618"/>
      <c r="N626" s="618"/>
      <c r="O626" s="618"/>
      <c r="P626" s="618"/>
      <c r="Q626" s="618"/>
      <c r="R626" s="618"/>
      <c r="S626" s="618"/>
      <c r="T626" s="618"/>
      <c r="U626" s="618"/>
      <c r="V626" s="618"/>
      <c r="W626" s="618"/>
      <c r="X626" s="618"/>
      <c r="Y626" s="618"/>
      <c r="Z626" s="618"/>
      <c r="AA626" s="618"/>
      <c r="AB626" s="618"/>
      <c r="AC626" s="618"/>
      <c r="AD626" s="618"/>
      <c r="AE626" s="618"/>
      <c r="AF626" s="618"/>
      <c r="AG626" s="618"/>
      <c r="AH626" s="618"/>
      <c r="AI626" s="618"/>
      <c r="AJ626" s="618"/>
      <c r="AK626" s="618"/>
      <c r="AL626" s="618"/>
      <c r="AM626" s="3"/>
      <c r="AN626" s="3"/>
      <c r="AO626" s="3"/>
      <c r="AP626" s="3"/>
      <c r="AQ626" s="3"/>
      <c r="AR626" s="3"/>
      <c r="AS626" s="3"/>
      <c r="AT626" s="3"/>
      <c r="AU626" s="3"/>
      <c r="AV626" s="3"/>
      <c r="AW626" s="3"/>
      <c r="AX626" s="3"/>
      <c r="AY626" s="3"/>
      <c r="AZ626" s="3"/>
      <c r="BA626" s="3"/>
      <c r="BB626" s="3"/>
      <c r="BC626" s="3"/>
      <c r="BD626" s="3"/>
      <c r="BE626" s="3"/>
      <c r="BF626" s="3"/>
    </row>
    <row r="627" spans="1:58" ht="14.25" customHeight="1" x14ac:dyDescent="0.45">
      <c r="A627" s="618"/>
      <c r="B627" s="618"/>
      <c r="C627" s="618"/>
      <c r="D627" s="5"/>
      <c r="E627" s="24"/>
      <c r="F627" s="24"/>
      <c r="G627" s="24"/>
      <c r="H627" s="25"/>
      <c r="I627" s="618"/>
      <c r="J627" s="618"/>
      <c r="K627" s="618"/>
      <c r="L627" s="618"/>
      <c r="M627" s="618"/>
      <c r="N627" s="618"/>
      <c r="O627" s="618"/>
      <c r="P627" s="618"/>
      <c r="Q627" s="618"/>
      <c r="R627" s="618"/>
      <c r="S627" s="618"/>
      <c r="T627" s="618"/>
      <c r="U627" s="618"/>
      <c r="V627" s="618"/>
      <c r="W627" s="618"/>
      <c r="X627" s="618"/>
      <c r="Y627" s="618"/>
      <c r="Z627" s="618"/>
      <c r="AA627" s="618"/>
      <c r="AB627" s="618"/>
      <c r="AC627" s="618"/>
      <c r="AD627" s="618"/>
      <c r="AE627" s="618"/>
      <c r="AF627" s="618"/>
      <c r="AG627" s="618"/>
      <c r="AH627" s="618"/>
      <c r="AI627" s="618"/>
      <c r="AJ627" s="618"/>
      <c r="AK627" s="618"/>
      <c r="AL627" s="618"/>
      <c r="AM627" s="3"/>
      <c r="AN627" s="3"/>
      <c r="AO627" s="3"/>
      <c r="AP627" s="3"/>
      <c r="AQ627" s="3"/>
      <c r="AR627" s="3"/>
      <c r="AS627" s="3"/>
      <c r="AT627" s="3"/>
      <c r="AU627" s="3"/>
      <c r="AV627" s="3"/>
      <c r="AW627" s="3"/>
      <c r="AX627" s="3"/>
      <c r="AY627" s="3"/>
      <c r="AZ627" s="3"/>
      <c r="BA627" s="3"/>
      <c r="BB627" s="3"/>
      <c r="BC627" s="3"/>
      <c r="BD627" s="3"/>
      <c r="BE627" s="3"/>
      <c r="BF627" s="3"/>
    </row>
    <row r="628" spans="1:58" ht="14.25" customHeight="1" x14ac:dyDescent="0.45">
      <c r="A628" s="618"/>
      <c r="B628" s="618"/>
      <c r="C628" s="618"/>
      <c r="D628" s="5"/>
      <c r="E628" s="24"/>
      <c r="F628" s="24"/>
      <c r="G628" s="24"/>
      <c r="H628" s="25"/>
      <c r="I628" s="618"/>
      <c r="J628" s="618"/>
      <c r="K628" s="618"/>
      <c r="L628" s="618"/>
      <c r="M628" s="618"/>
      <c r="N628" s="618"/>
      <c r="O628" s="618"/>
      <c r="P628" s="618"/>
      <c r="Q628" s="618"/>
      <c r="R628" s="618"/>
      <c r="S628" s="618"/>
      <c r="T628" s="618"/>
      <c r="U628" s="618"/>
      <c r="V628" s="618"/>
      <c r="W628" s="618"/>
      <c r="X628" s="618"/>
      <c r="Y628" s="618"/>
      <c r="Z628" s="618"/>
      <c r="AA628" s="618"/>
      <c r="AB628" s="618"/>
      <c r="AC628" s="618"/>
      <c r="AD628" s="618"/>
      <c r="AE628" s="618"/>
      <c r="AF628" s="618"/>
      <c r="AG628" s="618"/>
      <c r="AH628" s="618"/>
      <c r="AI628" s="618"/>
      <c r="AJ628" s="618"/>
      <c r="AK628" s="618"/>
      <c r="AL628" s="618"/>
      <c r="AM628" s="3"/>
      <c r="AN628" s="3"/>
      <c r="AO628" s="3"/>
      <c r="AP628" s="3"/>
      <c r="AQ628" s="3"/>
      <c r="AR628" s="3"/>
      <c r="AS628" s="3"/>
      <c r="AT628" s="3"/>
      <c r="AU628" s="3"/>
      <c r="AV628" s="3"/>
      <c r="AW628" s="3"/>
      <c r="AX628" s="3"/>
      <c r="AY628" s="3"/>
      <c r="AZ628" s="3"/>
      <c r="BA628" s="3"/>
      <c r="BB628" s="3"/>
      <c r="BC628" s="3"/>
      <c r="BD628" s="3"/>
      <c r="BE628" s="3"/>
      <c r="BF628" s="3"/>
    </row>
    <row r="629" spans="1:58" ht="14.25" customHeight="1" x14ac:dyDescent="0.45">
      <c r="A629" s="618"/>
      <c r="B629" s="618"/>
      <c r="C629" s="618"/>
      <c r="D629" s="5"/>
      <c r="E629" s="24"/>
      <c r="F629" s="24"/>
      <c r="G629" s="24"/>
      <c r="H629" s="25"/>
      <c r="I629" s="618"/>
      <c r="J629" s="618"/>
      <c r="K629" s="618"/>
      <c r="L629" s="618"/>
      <c r="M629" s="618"/>
      <c r="N629" s="618"/>
      <c r="O629" s="618"/>
      <c r="P629" s="618"/>
      <c r="Q629" s="618"/>
      <c r="R629" s="618"/>
      <c r="S629" s="618"/>
      <c r="T629" s="618"/>
      <c r="U629" s="618"/>
      <c r="V629" s="618"/>
      <c r="W629" s="618"/>
      <c r="X629" s="618"/>
      <c r="Y629" s="618"/>
      <c r="Z629" s="618"/>
      <c r="AA629" s="618"/>
      <c r="AB629" s="618"/>
      <c r="AC629" s="618"/>
      <c r="AD629" s="618"/>
      <c r="AE629" s="618"/>
      <c r="AF629" s="618"/>
      <c r="AG629" s="618"/>
      <c r="AH629" s="618"/>
      <c r="AI629" s="618"/>
      <c r="AJ629" s="618"/>
      <c r="AK629" s="618"/>
      <c r="AL629" s="618"/>
      <c r="AM629" s="3"/>
      <c r="AN629" s="3"/>
      <c r="AO629" s="3"/>
      <c r="AP629" s="3"/>
      <c r="AQ629" s="3"/>
      <c r="AR629" s="3"/>
      <c r="AS629" s="3"/>
      <c r="AT629" s="3"/>
      <c r="AU629" s="3"/>
      <c r="AV629" s="3"/>
      <c r="AW629" s="3"/>
      <c r="AX629" s="3"/>
      <c r="AY629" s="3"/>
      <c r="AZ629" s="3"/>
      <c r="BA629" s="3"/>
      <c r="BB629" s="3"/>
      <c r="BC629" s="3"/>
      <c r="BD629" s="3"/>
      <c r="BE629" s="3"/>
      <c r="BF629" s="3"/>
    </row>
    <row r="630" spans="1:58" ht="14.25" customHeight="1" x14ac:dyDescent="0.45">
      <c r="A630" s="618"/>
      <c r="B630" s="618"/>
      <c r="C630" s="618"/>
      <c r="D630" s="5"/>
      <c r="E630" s="24"/>
      <c r="F630" s="24"/>
      <c r="G630" s="24"/>
      <c r="H630" s="25"/>
      <c r="I630" s="618"/>
      <c r="J630" s="618"/>
      <c r="K630" s="618"/>
      <c r="L630" s="618"/>
      <c r="M630" s="618"/>
      <c r="N630" s="618"/>
      <c r="O630" s="618"/>
      <c r="P630" s="618"/>
      <c r="Q630" s="618"/>
      <c r="R630" s="618"/>
      <c r="S630" s="618"/>
      <c r="T630" s="618"/>
      <c r="U630" s="618"/>
      <c r="V630" s="618"/>
      <c r="W630" s="618"/>
      <c r="X630" s="618"/>
      <c r="Y630" s="618"/>
      <c r="Z630" s="618"/>
      <c r="AA630" s="618"/>
      <c r="AB630" s="618"/>
      <c r="AC630" s="618"/>
      <c r="AD630" s="618"/>
      <c r="AE630" s="618"/>
      <c r="AF630" s="618"/>
      <c r="AG630" s="618"/>
      <c r="AH630" s="618"/>
      <c r="AI630" s="618"/>
      <c r="AJ630" s="618"/>
      <c r="AK630" s="618"/>
      <c r="AL630" s="618"/>
      <c r="AM630" s="3"/>
      <c r="AN630" s="3"/>
      <c r="AO630" s="3"/>
      <c r="AP630" s="3"/>
      <c r="AQ630" s="3"/>
      <c r="AR630" s="3"/>
      <c r="AS630" s="3"/>
      <c r="AT630" s="3"/>
      <c r="AU630" s="3"/>
      <c r="AV630" s="3"/>
      <c r="AW630" s="3"/>
      <c r="AX630" s="3"/>
      <c r="AY630" s="3"/>
      <c r="AZ630" s="3"/>
      <c r="BA630" s="3"/>
      <c r="BB630" s="3"/>
      <c r="BC630" s="3"/>
      <c r="BD630" s="3"/>
      <c r="BE630" s="3"/>
      <c r="BF630" s="3"/>
    </row>
    <row r="631" spans="1:58" ht="14.25" customHeight="1" x14ac:dyDescent="0.45">
      <c r="A631" s="618"/>
      <c r="B631" s="618"/>
      <c r="C631" s="618"/>
      <c r="D631" s="5"/>
      <c r="E631" s="24"/>
      <c r="F631" s="24"/>
      <c r="G631" s="24"/>
      <c r="H631" s="25"/>
      <c r="I631" s="618"/>
      <c r="J631" s="618"/>
      <c r="K631" s="618"/>
      <c r="L631" s="618"/>
      <c r="M631" s="618"/>
      <c r="N631" s="618"/>
      <c r="O631" s="618"/>
      <c r="P631" s="618"/>
      <c r="Q631" s="618"/>
      <c r="R631" s="618"/>
      <c r="S631" s="618"/>
      <c r="T631" s="618"/>
      <c r="U631" s="618"/>
      <c r="V631" s="618"/>
      <c r="W631" s="618"/>
      <c r="X631" s="618"/>
      <c r="Y631" s="618"/>
      <c r="Z631" s="618"/>
      <c r="AA631" s="618"/>
      <c r="AB631" s="618"/>
      <c r="AC631" s="618"/>
      <c r="AD631" s="618"/>
      <c r="AE631" s="618"/>
      <c r="AF631" s="618"/>
      <c r="AG631" s="618"/>
      <c r="AH631" s="618"/>
      <c r="AI631" s="618"/>
      <c r="AJ631" s="618"/>
      <c r="AK631" s="618"/>
      <c r="AL631" s="618"/>
      <c r="AM631" s="3"/>
      <c r="AN631" s="3"/>
      <c r="AO631" s="3"/>
      <c r="AP631" s="3"/>
      <c r="AQ631" s="3"/>
      <c r="AR631" s="3"/>
      <c r="AS631" s="3"/>
      <c r="AT631" s="3"/>
      <c r="AU631" s="3"/>
      <c r="AV631" s="3"/>
      <c r="AW631" s="3"/>
      <c r="AX631" s="3"/>
      <c r="AY631" s="3"/>
      <c r="AZ631" s="3"/>
      <c r="BA631" s="3"/>
      <c r="BB631" s="3"/>
      <c r="BC631" s="3"/>
      <c r="BD631" s="3"/>
      <c r="BE631" s="3"/>
      <c r="BF631" s="3"/>
    </row>
    <row r="632" spans="1:58" ht="14.25" customHeight="1" x14ac:dyDescent="0.45">
      <c r="A632" s="618"/>
      <c r="B632" s="618"/>
      <c r="C632" s="618"/>
      <c r="D632" s="5"/>
      <c r="E632" s="24"/>
      <c r="F632" s="24"/>
      <c r="G632" s="24"/>
      <c r="H632" s="25"/>
      <c r="I632" s="618"/>
      <c r="J632" s="618"/>
      <c r="K632" s="618"/>
      <c r="L632" s="618"/>
      <c r="M632" s="618"/>
      <c r="N632" s="618"/>
      <c r="O632" s="618"/>
      <c r="P632" s="618"/>
      <c r="Q632" s="618"/>
      <c r="R632" s="618"/>
      <c r="S632" s="618"/>
      <c r="T632" s="618"/>
      <c r="U632" s="618"/>
      <c r="V632" s="618"/>
      <c r="W632" s="618"/>
      <c r="X632" s="618"/>
      <c r="Y632" s="618"/>
      <c r="Z632" s="618"/>
      <c r="AA632" s="618"/>
      <c r="AB632" s="618"/>
      <c r="AC632" s="618"/>
      <c r="AD632" s="618"/>
      <c r="AE632" s="618"/>
      <c r="AF632" s="618"/>
      <c r="AG632" s="618"/>
      <c r="AH632" s="618"/>
      <c r="AI632" s="618"/>
      <c r="AJ632" s="618"/>
      <c r="AK632" s="618"/>
      <c r="AL632" s="618"/>
      <c r="AM632" s="3"/>
      <c r="AN632" s="3"/>
      <c r="AO632" s="3"/>
      <c r="AP632" s="3"/>
      <c r="AQ632" s="3"/>
      <c r="AR632" s="3"/>
      <c r="AS632" s="3"/>
      <c r="AT632" s="3"/>
      <c r="AU632" s="3"/>
      <c r="AV632" s="3"/>
      <c r="AW632" s="3"/>
      <c r="AX632" s="3"/>
      <c r="AY632" s="3"/>
      <c r="AZ632" s="3"/>
      <c r="BA632" s="3"/>
      <c r="BB632" s="3"/>
      <c r="BC632" s="3"/>
      <c r="BD632" s="3"/>
      <c r="BE632" s="3"/>
      <c r="BF632" s="3"/>
    </row>
    <row r="633" spans="1:58" ht="14.25" customHeight="1" x14ac:dyDescent="0.45">
      <c r="A633" s="618"/>
      <c r="B633" s="618"/>
      <c r="C633" s="618"/>
      <c r="D633" s="5"/>
      <c r="E633" s="24"/>
      <c r="F633" s="24"/>
      <c r="G633" s="24"/>
      <c r="H633" s="25"/>
      <c r="I633" s="618"/>
      <c r="J633" s="618"/>
      <c r="K633" s="618"/>
      <c r="L633" s="618"/>
      <c r="M633" s="618"/>
      <c r="N633" s="618"/>
      <c r="O633" s="618"/>
      <c r="P633" s="618"/>
      <c r="Q633" s="618"/>
      <c r="R633" s="618"/>
      <c r="S633" s="618"/>
      <c r="T633" s="618"/>
      <c r="U633" s="618"/>
      <c r="V633" s="618"/>
      <c r="W633" s="618"/>
      <c r="X633" s="618"/>
      <c r="Y633" s="618"/>
      <c r="Z633" s="618"/>
      <c r="AA633" s="618"/>
      <c r="AB633" s="618"/>
      <c r="AC633" s="618"/>
      <c r="AD633" s="618"/>
      <c r="AE633" s="618"/>
      <c r="AF633" s="618"/>
      <c r="AG633" s="618"/>
      <c r="AH633" s="618"/>
      <c r="AI633" s="618"/>
      <c r="AJ633" s="618"/>
      <c r="AK633" s="618"/>
      <c r="AL633" s="618"/>
      <c r="AM633" s="3"/>
      <c r="AN633" s="3"/>
      <c r="AO633" s="3"/>
      <c r="AP633" s="3"/>
      <c r="AQ633" s="3"/>
      <c r="AR633" s="3"/>
      <c r="AS633" s="3"/>
      <c r="AT633" s="3"/>
      <c r="AU633" s="3"/>
      <c r="AV633" s="3"/>
      <c r="AW633" s="3"/>
      <c r="AX633" s="3"/>
      <c r="AY633" s="3"/>
      <c r="AZ633" s="3"/>
      <c r="BA633" s="3"/>
      <c r="BB633" s="3"/>
      <c r="BC633" s="3"/>
      <c r="BD633" s="3"/>
      <c r="BE633" s="3"/>
      <c r="BF633" s="3"/>
    </row>
    <row r="634" spans="1:58" ht="14.25" customHeight="1" x14ac:dyDescent="0.45">
      <c r="A634" s="618"/>
      <c r="B634" s="618"/>
      <c r="C634" s="618"/>
      <c r="D634" s="5"/>
      <c r="E634" s="24"/>
      <c r="F634" s="24"/>
      <c r="G634" s="24"/>
      <c r="H634" s="25"/>
      <c r="I634" s="618"/>
      <c r="J634" s="618"/>
      <c r="K634" s="618"/>
      <c r="L634" s="618"/>
      <c r="M634" s="618"/>
      <c r="N634" s="618"/>
      <c r="O634" s="618"/>
      <c r="P634" s="618"/>
      <c r="Q634" s="618"/>
      <c r="R634" s="618"/>
      <c r="S634" s="618"/>
      <c r="T634" s="618"/>
      <c r="U634" s="618"/>
      <c r="V634" s="618"/>
      <c r="W634" s="618"/>
      <c r="X634" s="618"/>
      <c r="Y634" s="618"/>
      <c r="Z634" s="618"/>
      <c r="AA634" s="618"/>
      <c r="AB634" s="618"/>
      <c r="AC634" s="618"/>
      <c r="AD634" s="618"/>
      <c r="AE634" s="618"/>
      <c r="AF634" s="618"/>
      <c r="AG634" s="618"/>
      <c r="AH634" s="618"/>
      <c r="AI634" s="618"/>
      <c r="AJ634" s="618"/>
      <c r="AK634" s="618"/>
      <c r="AL634" s="618"/>
      <c r="AM634" s="3"/>
      <c r="AN634" s="3"/>
      <c r="AO634" s="3"/>
      <c r="AP634" s="3"/>
      <c r="AQ634" s="3"/>
      <c r="AR634" s="3"/>
      <c r="AS634" s="3"/>
      <c r="AT634" s="3"/>
      <c r="AU634" s="3"/>
      <c r="AV634" s="3"/>
      <c r="AW634" s="3"/>
      <c r="AX634" s="3"/>
      <c r="AY634" s="3"/>
      <c r="AZ634" s="3"/>
      <c r="BA634" s="3"/>
      <c r="BB634" s="3"/>
      <c r="BC634" s="3"/>
      <c r="BD634" s="3"/>
      <c r="BE634" s="3"/>
      <c r="BF634" s="3"/>
    </row>
    <row r="635" spans="1:58" ht="14.25" customHeight="1" x14ac:dyDescent="0.45">
      <c r="A635" s="618"/>
      <c r="B635" s="618"/>
      <c r="C635" s="618"/>
      <c r="D635" s="5"/>
      <c r="E635" s="24"/>
      <c r="F635" s="24"/>
      <c r="G635" s="24"/>
      <c r="H635" s="25"/>
      <c r="I635" s="618"/>
      <c r="J635" s="618"/>
      <c r="K635" s="618"/>
      <c r="L635" s="618"/>
      <c r="M635" s="618"/>
      <c r="N635" s="618"/>
      <c r="O635" s="618"/>
      <c r="P635" s="618"/>
      <c r="Q635" s="618"/>
      <c r="R635" s="618"/>
      <c r="S635" s="618"/>
      <c r="T635" s="618"/>
      <c r="U635" s="618"/>
      <c r="V635" s="618"/>
      <c r="W635" s="618"/>
      <c r="X635" s="618"/>
      <c r="Y635" s="618"/>
      <c r="Z635" s="618"/>
      <c r="AA635" s="618"/>
      <c r="AB635" s="618"/>
      <c r="AC635" s="618"/>
      <c r="AD635" s="618"/>
      <c r="AE635" s="618"/>
      <c r="AF635" s="618"/>
      <c r="AG635" s="618"/>
      <c r="AH635" s="618"/>
      <c r="AI635" s="618"/>
      <c r="AJ635" s="618"/>
      <c r="AK635" s="618"/>
      <c r="AL635" s="618"/>
      <c r="AM635" s="3"/>
      <c r="AN635" s="3"/>
      <c r="AO635" s="3"/>
      <c r="AP635" s="3"/>
      <c r="AQ635" s="3"/>
      <c r="AR635" s="3"/>
      <c r="AS635" s="3"/>
      <c r="AT635" s="3"/>
      <c r="AU635" s="3"/>
      <c r="AV635" s="3"/>
      <c r="AW635" s="3"/>
      <c r="AX635" s="3"/>
      <c r="AY635" s="3"/>
      <c r="AZ635" s="3"/>
      <c r="BA635" s="3"/>
      <c r="BB635" s="3"/>
      <c r="BC635" s="3"/>
      <c r="BD635" s="3"/>
      <c r="BE635" s="3"/>
      <c r="BF635" s="3"/>
    </row>
    <row r="636" spans="1:58" ht="14.25" customHeight="1" x14ac:dyDescent="0.45">
      <c r="A636" s="618"/>
      <c r="B636" s="618"/>
      <c r="C636" s="618"/>
      <c r="D636" s="5"/>
      <c r="E636" s="24"/>
      <c r="F636" s="24"/>
      <c r="G636" s="24"/>
      <c r="H636" s="25"/>
      <c r="I636" s="618"/>
      <c r="J636" s="618"/>
      <c r="K636" s="618"/>
      <c r="L636" s="618"/>
      <c r="M636" s="618"/>
      <c r="N636" s="618"/>
      <c r="O636" s="618"/>
      <c r="P636" s="618"/>
      <c r="Q636" s="618"/>
      <c r="R636" s="618"/>
      <c r="S636" s="618"/>
      <c r="T636" s="618"/>
      <c r="U636" s="618"/>
      <c r="V636" s="618"/>
      <c r="W636" s="618"/>
      <c r="X636" s="618"/>
      <c r="Y636" s="618"/>
      <c r="Z636" s="618"/>
      <c r="AA636" s="618"/>
      <c r="AB636" s="618"/>
      <c r="AC636" s="618"/>
      <c r="AD636" s="618"/>
      <c r="AE636" s="618"/>
      <c r="AF636" s="618"/>
      <c r="AG636" s="618"/>
      <c r="AH636" s="618"/>
      <c r="AI636" s="618"/>
      <c r="AJ636" s="618"/>
      <c r="AK636" s="618"/>
      <c r="AL636" s="618"/>
      <c r="AM636" s="3"/>
      <c r="AN636" s="3"/>
      <c r="AO636" s="3"/>
      <c r="AP636" s="3"/>
      <c r="AQ636" s="3"/>
      <c r="AR636" s="3"/>
      <c r="AS636" s="3"/>
      <c r="AT636" s="3"/>
      <c r="AU636" s="3"/>
      <c r="AV636" s="3"/>
      <c r="AW636" s="3"/>
      <c r="AX636" s="3"/>
      <c r="AY636" s="3"/>
      <c r="AZ636" s="3"/>
      <c r="BA636" s="3"/>
      <c r="BB636" s="3"/>
      <c r="BC636" s="3"/>
      <c r="BD636" s="3"/>
      <c r="BE636" s="3"/>
      <c r="BF636" s="3"/>
    </row>
    <row r="637" spans="1:58" ht="14.25" customHeight="1" x14ac:dyDescent="0.45">
      <c r="A637" s="618"/>
      <c r="B637" s="618"/>
      <c r="C637" s="618"/>
      <c r="D637" s="5"/>
      <c r="E637" s="24"/>
      <c r="F637" s="24"/>
      <c r="G637" s="24"/>
      <c r="H637" s="25"/>
      <c r="I637" s="618"/>
      <c r="J637" s="618"/>
      <c r="K637" s="618"/>
      <c r="L637" s="618"/>
      <c r="M637" s="618"/>
      <c r="N637" s="618"/>
      <c r="O637" s="618"/>
      <c r="P637" s="618"/>
      <c r="Q637" s="618"/>
      <c r="R637" s="618"/>
      <c r="S637" s="618"/>
      <c r="T637" s="618"/>
      <c r="U637" s="618"/>
      <c r="V637" s="618"/>
      <c r="W637" s="618"/>
      <c r="X637" s="618"/>
      <c r="Y637" s="618"/>
      <c r="Z637" s="618"/>
      <c r="AA637" s="618"/>
      <c r="AB637" s="618"/>
      <c r="AC637" s="618"/>
      <c r="AD637" s="618"/>
      <c r="AE637" s="618"/>
      <c r="AF637" s="618"/>
      <c r="AG637" s="618"/>
      <c r="AH637" s="618"/>
      <c r="AI637" s="618"/>
      <c r="AJ637" s="618"/>
      <c r="AK637" s="618"/>
      <c r="AL637" s="618"/>
      <c r="AM637" s="3"/>
      <c r="AN637" s="3"/>
      <c r="AO637" s="3"/>
      <c r="AP637" s="3"/>
      <c r="AQ637" s="3"/>
      <c r="AR637" s="3"/>
      <c r="AS637" s="3"/>
      <c r="AT637" s="3"/>
      <c r="AU637" s="3"/>
      <c r="AV637" s="3"/>
      <c r="AW637" s="3"/>
      <c r="AX637" s="3"/>
      <c r="AY637" s="3"/>
      <c r="AZ637" s="3"/>
      <c r="BA637" s="3"/>
      <c r="BB637" s="3"/>
      <c r="BC637" s="3"/>
      <c r="BD637" s="3"/>
      <c r="BE637" s="3"/>
      <c r="BF637" s="3"/>
    </row>
    <row r="638" spans="1:58" ht="14.25" customHeight="1" x14ac:dyDescent="0.45">
      <c r="A638" s="618"/>
      <c r="B638" s="618"/>
      <c r="C638" s="618"/>
      <c r="D638" s="5"/>
      <c r="E638" s="24"/>
      <c r="F638" s="24"/>
      <c r="G638" s="24"/>
      <c r="H638" s="25"/>
      <c r="I638" s="618"/>
      <c r="J638" s="618"/>
      <c r="K638" s="618"/>
      <c r="L638" s="618"/>
      <c r="M638" s="618"/>
      <c r="N638" s="618"/>
      <c r="O638" s="618"/>
      <c r="P638" s="618"/>
      <c r="Q638" s="618"/>
      <c r="R638" s="618"/>
      <c r="S638" s="618"/>
      <c r="T638" s="618"/>
      <c r="U638" s="618"/>
      <c r="V638" s="618"/>
      <c r="W638" s="618"/>
      <c r="X638" s="618"/>
      <c r="Y638" s="618"/>
      <c r="Z638" s="618"/>
      <c r="AA638" s="618"/>
      <c r="AB638" s="618"/>
      <c r="AC638" s="618"/>
      <c r="AD638" s="618"/>
      <c r="AE638" s="618"/>
      <c r="AF638" s="618"/>
      <c r="AG638" s="618"/>
      <c r="AH638" s="618"/>
      <c r="AI638" s="618"/>
      <c r="AJ638" s="618"/>
      <c r="AK638" s="618"/>
      <c r="AL638" s="618"/>
      <c r="AM638" s="3"/>
      <c r="AN638" s="3"/>
      <c r="AO638" s="3"/>
      <c r="AP638" s="3"/>
      <c r="AQ638" s="3"/>
      <c r="AR638" s="3"/>
      <c r="AS638" s="3"/>
      <c r="AT638" s="3"/>
      <c r="AU638" s="3"/>
      <c r="AV638" s="3"/>
      <c r="AW638" s="3"/>
      <c r="AX638" s="3"/>
      <c r="AY638" s="3"/>
      <c r="AZ638" s="3"/>
      <c r="BA638" s="3"/>
      <c r="BB638" s="3"/>
      <c r="BC638" s="3"/>
      <c r="BD638" s="3"/>
      <c r="BE638" s="3"/>
      <c r="BF638" s="3"/>
    </row>
    <row r="639" spans="1:58" ht="14.25" customHeight="1" x14ac:dyDescent="0.45">
      <c r="A639" s="618"/>
      <c r="B639" s="618"/>
      <c r="C639" s="618"/>
      <c r="D639" s="5"/>
      <c r="E639" s="24"/>
      <c r="F639" s="24"/>
      <c r="G639" s="24"/>
      <c r="H639" s="25"/>
      <c r="I639" s="618"/>
      <c r="J639" s="618"/>
      <c r="K639" s="618"/>
      <c r="L639" s="618"/>
      <c r="M639" s="618"/>
      <c r="N639" s="618"/>
      <c r="O639" s="618"/>
      <c r="P639" s="618"/>
      <c r="Q639" s="618"/>
      <c r="R639" s="618"/>
      <c r="S639" s="618"/>
      <c r="T639" s="618"/>
      <c r="U639" s="618"/>
      <c r="V639" s="618"/>
      <c r="W639" s="618"/>
      <c r="X639" s="618"/>
      <c r="Y639" s="618"/>
      <c r="Z639" s="618"/>
      <c r="AA639" s="618"/>
      <c r="AB639" s="618"/>
      <c r="AC639" s="618"/>
      <c r="AD639" s="618"/>
      <c r="AE639" s="618"/>
      <c r="AF639" s="618"/>
      <c r="AG639" s="618"/>
      <c r="AH639" s="618"/>
      <c r="AI639" s="618"/>
      <c r="AJ639" s="618"/>
      <c r="AK639" s="618"/>
      <c r="AL639" s="618"/>
      <c r="AM639" s="3"/>
      <c r="AN639" s="3"/>
      <c r="AO639" s="3"/>
      <c r="AP639" s="3"/>
      <c r="AQ639" s="3"/>
      <c r="AR639" s="3"/>
      <c r="AS639" s="3"/>
      <c r="AT639" s="3"/>
      <c r="AU639" s="3"/>
      <c r="AV639" s="3"/>
      <c r="AW639" s="3"/>
      <c r="AX639" s="3"/>
      <c r="AY639" s="3"/>
      <c r="AZ639" s="3"/>
      <c r="BA639" s="3"/>
      <c r="BB639" s="3"/>
      <c r="BC639" s="3"/>
      <c r="BD639" s="3"/>
      <c r="BE639" s="3"/>
      <c r="BF639" s="3"/>
    </row>
    <row r="640" spans="1:58" ht="14.25" customHeight="1" x14ac:dyDescent="0.45">
      <c r="A640" s="618"/>
      <c r="B640" s="618"/>
      <c r="C640" s="618"/>
      <c r="D640" s="5"/>
      <c r="E640" s="24"/>
      <c r="F640" s="24"/>
      <c r="G640" s="24"/>
      <c r="H640" s="25"/>
      <c r="I640" s="618"/>
      <c r="J640" s="618"/>
      <c r="K640" s="618"/>
      <c r="L640" s="618"/>
      <c r="M640" s="618"/>
      <c r="N640" s="618"/>
      <c r="O640" s="618"/>
      <c r="P640" s="618"/>
      <c r="Q640" s="618"/>
      <c r="R640" s="618"/>
      <c r="S640" s="618"/>
      <c r="T640" s="618"/>
      <c r="U640" s="618"/>
      <c r="V640" s="618"/>
      <c r="W640" s="618"/>
      <c r="X640" s="618"/>
      <c r="Y640" s="618"/>
      <c r="Z640" s="618"/>
      <c r="AA640" s="618"/>
      <c r="AB640" s="618"/>
      <c r="AC640" s="618"/>
      <c r="AD640" s="618"/>
      <c r="AE640" s="618"/>
      <c r="AF640" s="618"/>
      <c r="AG640" s="618"/>
      <c r="AH640" s="618"/>
      <c r="AI640" s="618"/>
      <c r="AJ640" s="618"/>
      <c r="AK640" s="618"/>
      <c r="AL640" s="618"/>
      <c r="AM640" s="3"/>
      <c r="AN640" s="3"/>
      <c r="AO640" s="3"/>
      <c r="AP640" s="3"/>
      <c r="AQ640" s="3"/>
      <c r="AR640" s="3"/>
      <c r="AS640" s="3"/>
      <c r="AT640" s="3"/>
      <c r="AU640" s="3"/>
      <c r="AV640" s="3"/>
      <c r="AW640" s="3"/>
      <c r="AX640" s="3"/>
      <c r="AY640" s="3"/>
      <c r="AZ640" s="3"/>
      <c r="BA640" s="3"/>
      <c r="BB640" s="3"/>
      <c r="BC640" s="3"/>
      <c r="BD640" s="3"/>
      <c r="BE640" s="3"/>
      <c r="BF640" s="3"/>
    </row>
    <row r="641" spans="1:58" ht="14.25" customHeight="1" x14ac:dyDescent="0.45">
      <c r="A641" s="618"/>
      <c r="B641" s="618"/>
      <c r="C641" s="618"/>
      <c r="D641" s="5"/>
      <c r="E641" s="24"/>
      <c r="F641" s="24"/>
      <c r="G641" s="24"/>
      <c r="H641" s="25"/>
      <c r="I641" s="618"/>
      <c r="J641" s="618"/>
      <c r="K641" s="618"/>
      <c r="L641" s="618"/>
      <c r="M641" s="618"/>
      <c r="N641" s="618"/>
      <c r="O641" s="618"/>
      <c r="P641" s="618"/>
      <c r="Q641" s="618"/>
      <c r="R641" s="618"/>
      <c r="S641" s="618"/>
      <c r="T641" s="618"/>
      <c r="U641" s="618"/>
      <c r="V641" s="618"/>
      <c r="W641" s="618"/>
      <c r="X641" s="618"/>
      <c r="Y641" s="618"/>
      <c r="Z641" s="618"/>
      <c r="AA641" s="618"/>
      <c r="AB641" s="618"/>
      <c r="AC641" s="618"/>
      <c r="AD641" s="618"/>
      <c r="AE641" s="618"/>
      <c r="AF641" s="618"/>
      <c r="AG641" s="618"/>
      <c r="AH641" s="618"/>
      <c r="AI641" s="618"/>
      <c r="AJ641" s="618"/>
      <c r="AK641" s="618"/>
      <c r="AL641" s="618"/>
      <c r="AM641" s="3"/>
      <c r="AN641" s="3"/>
      <c r="AO641" s="3"/>
      <c r="AP641" s="3"/>
      <c r="AQ641" s="3"/>
      <c r="AR641" s="3"/>
      <c r="AS641" s="3"/>
      <c r="AT641" s="3"/>
      <c r="AU641" s="3"/>
      <c r="AV641" s="3"/>
      <c r="AW641" s="3"/>
      <c r="AX641" s="3"/>
      <c r="AY641" s="3"/>
      <c r="AZ641" s="3"/>
      <c r="BA641" s="3"/>
      <c r="BB641" s="3"/>
      <c r="BC641" s="3"/>
      <c r="BD641" s="3"/>
      <c r="BE641" s="3"/>
      <c r="BF641" s="3"/>
    </row>
    <row r="642" spans="1:58" ht="14.25" customHeight="1" x14ac:dyDescent="0.45">
      <c r="A642" s="618"/>
      <c r="B642" s="618"/>
      <c r="C642" s="618"/>
      <c r="D642" s="5"/>
      <c r="E642" s="24"/>
      <c r="F642" s="24"/>
      <c r="G642" s="24"/>
      <c r="H642" s="25"/>
      <c r="I642" s="618"/>
      <c r="J642" s="618"/>
      <c r="K642" s="618"/>
      <c r="L642" s="618"/>
      <c r="M642" s="618"/>
      <c r="N642" s="618"/>
      <c r="O642" s="618"/>
      <c r="P642" s="618"/>
      <c r="Q642" s="618"/>
      <c r="R642" s="618"/>
      <c r="S642" s="618"/>
      <c r="T642" s="618"/>
      <c r="U642" s="618"/>
      <c r="V642" s="618"/>
      <c r="W642" s="618"/>
      <c r="X642" s="618"/>
      <c r="Y642" s="618"/>
      <c r="Z642" s="618"/>
      <c r="AA642" s="618"/>
      <c r="AB642" s="618"/>
      <c r="AC642" s="618"/>
      <c r="AD642" s="618"/>
      <c r="AE642" s="618"/>
      <c r="AF642" s="618"/>
      <c r="AG642" s="618"/>
      <c r="AH642" s="618"/>
      <c r="AI642" s="618"/>
      <c r="AJ642" s="618"/>
      <c r="AK642" s="618"/>
      <c r="AL642" s="618"/>
      <c r="AM642" s="3"/>
      <c r="AN642" s="3"/>
      <c r="AO642" s="3"/>
      <c r="AP642" s="3"/>
      <c r="AQ642" s="3"/>
      <c r="AR642" s="3"/>
      <c r="AS642" s="3"/>
      <c r="AT642" s="3"/>
      <c r="AU642" s="3"/>
      <c r="AV642" s="3"/>
      <c r="AW642" s="3"/>
      <c r="AX642" s="3"/>
      <c r="AY642" s="3"/>
      <c r="AZ642" s="3"/>
      <c r="BA642" s="3"/>
      <c r="BB642" s="3"/>
      <c r="BC642" s="3"/>
      <c r="BD642" s="3"/>
      <c r="BE642" s="3"/>
      <c r="BF642" s="3"/>
    </row>
    <row r="643" spans="1:58" ht="14.25" customHeight="1" x14ac:dyDescent="0.45">
      <c r="A643" s="618"/>
      <c r="B643" s="618"/>
      <c r="C643" s="618"/>
      <c r="D643" s="5"/>
      <c r="E643" s="24"/>
      <c r="F643" s="24"/>
      <c r="G643" s="24"/>
      <c r="H643" s="25"/>
      <c r="I643" s="618"/>
      <c r="J643" s="618"/>
      <c r="K643" s="618"/>
      <c r="L643" s="618"/>
      <c r="M643" s="618"/>
      <c r="N643" s="618"/>
      <c r="O643" s="618"/>
      <c r="P643" s="618"/>
      <c r="Q643" s="618"/>
      <c r="R643" s="618"/>
      <c r="S643" s="618"/>
      <c r="T643" s="618"/>
      <c r="U643" s="618"/>
      <c r="V643" s="618"/>
      <c r="W643" s="618"/>
      <c r="X643" s="618"/>
      <c r="Y643" s="618"/>
      <c r="Z643" s="618"/>
      <c r="AA643" s="618"/>
      <c r="AB643" s="618"/>
      <c r="AC643" s="618"/>
      <c r="AD643" s="618"/>
      <c r="AE643" s="618"/>
      <c r="AF643" s="618"/>
      <c r="AG643" s="618"/>
      <c r="AH643" s="618"/>
      <c r="AI643" s="618"/>
      <c r="AJ643" s="618"/>
      <c r="AK643" s="618"/>
      <c r="AL643" s="618"/>
      <c r="AM643" s="3"/>
      <c r="AN643" s="3"/>
      <c r="AO643" s="3"/>
      <c r="AP643" s="3"/>
      <c r="AQ643" s="3"/>
      <c r="AR643" s="3"/>
      <c r="AS643" s="3"/>
      <c r="AT643" s="3"/>
      <c r="AU643" s="3"/>
      <c r="AV643" s="3"/>
      <c r="AW643" s="3"/>
      <c r="AX643" s="3"/>
      <c r="AY643" s="3"/>
      <c r="AZ643" s="3"/>
      <c r="BA643" s="3"/>
      <c r="BB643" s="3"/>
      <c r="BC643" s="3"/>
      <c r="BD643" s="3"/>
      <c r="BE643" s="3"/>
      <c r="BF643" s="3"/>
    </row>
    <row r="644" spans="1:58" ht="14.25" customHeight="1" x14ac:dyDescent="0.45">
      <c r="A644" s="618"/>
      <c r="B644" s="618"/>
      <c r="C644" s="618"/>
      <c r="D644" s="5"/>
      <c r="E644" s="24"/>
      <c r="F644" s="24"/>
      <c r="G644" s="24"/>
      <c r="H644" s="25"/>
      <c r="I644" s="618"/>
      <c r="J644" s="618"/>
      <c r="K644" s="618"/>
      <c r="L644" s="618"/>
      <c r="M644" s="618"/>
      <c r="N644" s="618"/>
      <c r="O644" s="618"/>
      <c r="P644" s="618"/>
      <c r="Q644" s="618"/>
      <c r="R644" s="618"/>
      <c r="S644" s="618"/>
      <c r="T644" s="618"/>
      <c r="U644" s="618"/>
      <c r="V644" s="618"/>
      <c r="W644" s="618"/>
      <c r="X644" s="618"/>
      <c r="Y644" s="618"/>
      <c r="Z644" s="618"/>
      <c r="AA644" s="618"/>
      <c r="AB644" s="618"/>
      <c r="AC644" s="618"/>
      <c r="AD644" s="618"/>
      <c r="AE644" s="618"/>
      <c r="AF644" s="618"/>
      <c r="AG644" s="618"/>
      <c r="AH644" s="618"/>
      <c r="AI644" s="618"/>
      <c r="AJ644" s="618"/>
      <c r="AK644" s="618"/>
      <c r="AL644" s="618"/>
      <c r="AM644" s="3"/>
      <c r="AN644" s="3"/>
      <c r="AO644" s="3"/>
      <c r="AP644" s="3"/>
      <c r="AQ644" s="3"/>
      <c r="AR644" s="3"/>
      <c r="AS644" s="3"/>
      <c r="AT644" s="3"/>
      <c r="AU644" s="3"/>
      <c r="AV644" s="3"/>
      <c r="AW644" s="3"/>
      <c r="AX644" s="3"/>
      <c r="AY644" s="3"/>
      <c r="AZ644" s="3"/>
      <c r="BA644" s="3"/>
      <c r="BB644" s="3"/>
      <c r="BC644" s="3"/>
      <c r="BD644" s="3"/>
      <c r="BE644" s="3"/>
      <c r="BF644" s="3"/>
    </row>
    <row r="645" spans="1:58" ht="14.25" customHeight="1" x14ac:dyDescent="0.45">
      <c r="A645" s="618"/>
      <c r="B645" s="618"/>
      <c r="C645" s="618"/>
      <c r="D645" s="5"/>
      <c r="E645" s="24"/>
      <c r="F645" s="24"/>
      <c r="G645" s="24"/>
      <c r="H645" s="25"/>
      <c r="I645" s="618"/>
      <c r="J645" s="618"/>
      <c r="K645" s="618"/>
      <c r="L645" s="618"/>
      <c r="M645" s="618"/>
      <c r="N645" s="618"/>
      <c r="O645" s="618"/>
      <c r="P645" s="618"/>
      <c r="Q645" s="618"/>
      <c r="R645" s="618"/>
      <c r="S645" s="618"/>
      <c r="T645" s="618"/>
      <c r="U645" s="618"/>
      <c r="V645" s="618"/>
      <c r="W645" s="618"/>
      <c r="X645" s="618"/>
      <c r="Y645" s="618"/>
      <c r="Z645" s="618"/>
      <c r="AA645" s="618"/>
      <c r="AB645" s="618"/>
      <c r="AC645" s="618"/>
      <c r="AD645" s="618"/>
      <c r="AE645" s="618"/>
      <c r="AF645" s="618"/>
      <c r="AG645" s="618"/>
      <c r="AH645" s="618"/>
      <c r="AI645" s="618"/>
      <c r="AJ645" s="618"/>
      <c r="AK645" s="618"/>
      <c r="AL645" s="618"/>
      <c r="AM645" s="3"/>
      <c r="AN645" s="3"/>
      <c r="AO645" s="3"/>
      <c r="AP645" s="3"/>
      <c r="AQ645" s="3"/>
      <c r="AR645" s="3"/>
      <c r="AS645" s="3"/>
      <c r="AT645" s="3"/>
      <c r="AU645" s="3"/>
      <c r="AV645" s="3"/>
      <c r="AW645" s="3"/>
      <c r="AX645" s="3"/>
      <c r="AY645" s="3"/>
      <c r="AZ645" s="3"/>
      <c r="BA645" s="3"/>
      <c r="BB645" s="3"/>
      <c r="BC645" s="3"/>
      <c r="BD645" s="3"/>
      <c r="BE645" s="3"/>
      <c r="BF645" s="3"/>
    </row>
    <row r="646" spans="1:58" ht="14.25" customHeight="1" x14ac:dyDescent="0.45">
      <c r="A646" s="618"/>
      <c r="B646" s="618"/>
      <c r="C646" s="618"/>
      <c r="D646" s="5"/>
      <c r="E646" s="24"/>
      <c r="F646" s="24"/>
      <c r="G646" s="24"/>
      <c r="H646" s="25"/>
      <c r="I646" s="618"/>
      <c r="J646" s="618"/>
      <c r="K646" s="618"/>
      <c r="L646" s="618"/>
      <c r="M646" s="618"/>
      <c r="N646" s="618"/>
      <c r="O646" s="618"/>
      <c r="P646" s="618"/>
      <c r="Q646" s="618"/>
      <c r="R646" s="618"/>
      <c r="S646" s="618"/>
      <c r="T646" s="618"/>
      <c r="U646" s="618"/>
      <c r="V646" s="618"/>
      <c r="W646" s="618"/>
      <c r="X646" s="618"/>
      <c r="Y646" s="618"/>
      <c r="Z646" s="618"/>
      <c r="AA646" s="618"/>
      <c r="AB646" s="618"/>
      <c r="AC646" s="618"/>
      <c r="AD646" s="618"/>
      <c r="AE646" s="618"/>
      <c r="AF646" s="618"/>
      <c r="AG646" s="618"/>
      <c r="AH646" s="618"/>
      <c r="AI646" s="618"/>
      <c r="AJ646" s="618"/>
      <c r="AK646" s="618"/>
      <c r="AL646" s="618"/>
      <c r="AM646" s="3"/>
      <c r="AN646" s="3"/>
      <c r="AO646" s="3"/>
      <c r="AP646" s="3"/>
      <c r="AQ646" s="3"/>
      <c r="AR646" s="3"/>
      <c r="AS646" s="3"/>
      <c r="AT646" s="3"/>
      <c r="AU646" s="3"/>
      <c r="AV646" s="3"/>
      <c r="AW646" s="3"/>
      <c r="AX646" s="3"/>
      <c r="AY646" s="3"/>
      <c r="AZ646" s="3"/>
      <c r="BA646" s="3"/>
      <c r="BB646" s="3"/>
      <c r="BC646" s="3"/>
      <c r="BD646" s="3"/>
      <c r="BE646" s="3"/>
      <c r="BF646" s="3"/>
    </row>
    <row r="647" spans="1:58" ht="14.25" customHeight="1" x14ac:dyDescent="0.45">
      <c r="A647" s="618"/>
      <c r="B647" s="618"/>
      <c r="C647" s="618"/>
      <c r="D647" s="5"/>
      <c r="E647" s="24"/>
      <c r="F647" s="24"/>
      <c r="G647" s="24"/>
      <c r="H647" s="25"/>
      <c r="I647" s="618"/>
      <c r="J647" s="618"/>
      <c r="K647" s="618"/>
      <c r="L647" s="618"/>
      <c r="M647" s="618"/>
      <c r="N647" s="618"/>
      <c r="O647" s="618"/>
      <c r="P647" s="618"/>
      <c r="Q647" s="618"/>
      <c r="R647" s="618"/>
      <c r="S647" s="618"/>
      <c r="T647" s="618"/>
      <c r="U647" s="618"/>
      <c r="V647" s="618"/>
      <c r="W647" s="618"/>
      <c r="X647" s="618"/>
      <c r="Y647" s="618"/>
      <c r="Z647" s="618"/>
      <c r="AA647" s="618"/>
      <c r="AB647" s="618"/>
      <c r="AC647" s="618"/>
      <c r="AD647" s="618"/>
      <c r="AE647" s="618"/>
      <c r="AF647" s="618"/>
      <c r="AG647" s="618"/>
      <c r="AH647" s="618"/>
      <c r="AI647" s="618"/>
      <c r="AJ647" s="618"/>
      <c r="AK647" s="618"/>
      <c r="AL647" s="618"/>
      <c r="AM647" s="3"/>
      <c r="AN647" s="3"/>
      <c r="AO647" s="3"/>
      <c r="AP647" s="3"/>
      <c r="AQ647" s="3"/>
      <c r="AR647" s="3"/>
      <c r="AS647" s="3"/>
      <c r="AT647" s="3"/>
      <c r="AU647" s="3"/>
      <c r="AV647" s="3"/>
      <c r="AW647" s="3"/>
      <c r="AX647" s="3"/>
      <c r="AY647" s="3"/>
      <c r="AZ647" s="3"/>
      <c r="BA647" s="3"/>
      <c r="BB647" s="3"/>
      <c r="BC647" s="3"/>
      <c r="BD647" s="3"/>
      <c r="BE647" s="3"/>
      <c r="BF647" s="3"/>
    </row>
    <row r="648" spans="1:58" ht="14.25" customHeight="1" x14ac:dyDescent="0.45">
      <c r="A648" s="618"/>
      <c r="B648" s="618"/>
      <c r="C648" s="618"/>
      <c r="D648" s="5"/>
      <c r="E648" s="24"/>
      <c r="F648" s="24"/>
      <c r="G648" s="24"/>
      <c r="H648" s="25"/>
      <c r="I648" s="618"/>
      <c r="J648" s="618"/>
      <c r="K648" s="618"/>
      <c r="L648" s="618"/>
      <c r="M648" s="618"/>
      <c r="N648" s="618"/>
      <c r="O648" s="618"/>
      <c r="P648" s="618"/>
      <c r="Q648" s="618"/>
      <c r="R648" s="618"/>
      <c r="S648" s="618"/>
      <c r="T648" s="618"/>
      <c r="U648" s="618"/>
      <c r="V648" s="618"/>
      <c r="W648" s="618"/>
      <c r="X648" s="618"/>
      <c r="Y648" s="618"/>
      <c r="Z648" s="618"/>
      <c r="AA648" s="618"/>
      <c r="AB648" s="618"/>
      <c r="AC648" s="618"/>
      <c r="AD648" s="618"/>
      <c r="AE648" s="618"/>
      <c r="AF648" s="618"/>
      <c r="AG648" s="618"/>
      <c r="AH648" s="618"/>
      <c r="AI648" s="618"/>
      <c r="AJ648" s="618"/>
      <c r="AK648" s="618"/>
      <c r="AL648" s="618"/>
      <c r="AM648" s="3"/>
      <c r="AN648" s="3"/>
      <c r="AO648" s="3"/>
      <c r="AP648" s="3"/>
      <c r="AQ648" s="3"/>
      <c r="AR648" s="3"/>
      <c r="AS648" s="3"/>
      <c r="AT648" s="3"/>
      <c r="AU648" s="3"/>
      <c r="AV648" s="3"/>
      <c r="AW648" s="3"/>
      <c r="AX648" s="3"/>
      <c r="AY648" s="3"/>
      <c r="AZ648" s="3"/>
      <c r="BA648" s="3"/>
      <c r="BB648" s="3"/>
      <c r="BC648" s="3"/>
      <c r="BD648" s="3"/>
      <c r="BE648" s="3"/>
      <c r="BF648" s="3"/>
    </row>
    <row r="649" spans="1:58" ht="14.25" customHeight="1" x14ac:dyDescent="0.45">
      <c r="A649" s="618"/>
      <c r="B649" s="618"/>
      <c r="C649" s="618"/>
      <c r="D649" s="5"/>
      <c r="E649" s="24"/>
      <c r="F649" s="24"/>
      <c r="G649" s="24"/>
      <c r="H649" s="25"/>
      <c r="I649" s="618"/>
      <c r="J649" s="618"/>
      <c r="K649" s="618"/>
      <c r="L649" s="618"/>
      <c r="M649" s="618"/>
      <c r="N649" s="618"/>
      <c r="O649" s="618"/>
      <c r="P649" s="618"/>
      <c r="Q649" s="618"/>
      <c r="R649" s="618"/>
      <c r="S649" s="618"/>
      <c r="T649" s="618"/>
      <c r="U649" s="618"/>
      <c r="V649" s="618"/>
      <c r="W649" s="618"/>
      <c r="X649" s="618"/>
      <c r="Y649" s="618"/>
      <c r="Z649" s="618"/>
      <c r="AA649" s="618"/>
      <c r="AB649" s="618"/>
      <c r="AC649" s="618"/>
      <c r="AD649" s="618"/>
      <c r="AE649" s="618"/>
      <c r="AF649" s="618"/>
      <c r="AG649" s="618"/>
      <c r="AH649" s="618"/>
      <c r="AI649" s="618"/>
      <c r="AJ649" s="618"/>
      <c r="AK649" s="618"/>
      <c r="AL649" s="618"/>
      <c r="AM649" s="3"/>
      <c r="AN649" s="3"/>
      <c r="AO649" s="3"/>
      <c r="AP649" s="3"/>
      <c r="AQ649" s="3"/>
      <c r="AR649" s="3"/>
      <c r="AS649" s="3"/>
      <c r="AT649" s="3"/>
      <c r="AU649" s="3"/>
      <c r="AV649" s="3"/>
      <c r="AW649" s="3"/>
      <c r="AX649" s="3"/>
      <c r="AY649" s="3"/>
      <c r="AZ649" s="3"/>
      <c r="BA649" s="3"/>
      <c r="BB649" s="3"/>
      <c r="BC649" s="3"/>
      <c r="BD649" s="3"/>
      <c r="BE649" s="3"/>
      <c r="BF649" s="3"/>
    </row>
    <row r="650" spans="1:58" ht="14.25" customHeight="1" x14ac:dyDescent="0.45">
      <c r="A650" s="618"/>
      <c r="B650" s="618"/>
      <c r="C650" s="618"/>
      <c r="D650" s="5"/>
      <c r="E650" s="24"/>
      <c r="F650" s="24"/>
      <c r="G650" s="24"/>
      <c r="H650" s="25"/>
      <c r="I650" s="618"/>
      <c r="J650" s="618"/>
      <c r="K650" s="618"/>
      <c r="L650" s="618"/>
      <c r="M650" s="618"/>
      <c r="N650" s="618"/>
      <c r="O650" s="618"/>
      <c r="P650" s="618"/>
      <c r="Q650" s="618"/>
      <c r="R650" s="618"/>
      <c r="S650" s="618"/>
      <c r="T650" s="618"/>
      <c r="U650" s="618"/>
      <c r="V650" s="618"/>
      <c r="W650" s="618"/>
      <c r="X650" s="618"/>
      <c r="Y650" s="618"/>
      <c r="Z650" s="618"/>
      <c r="AA650" s="618"/>
      <c r="AB650" s="618"/>
      <c r="AC650" s="618"/>
      <c r="AD650" s="618"/>
      <c r="AE650" s="618"/>
      <c r="AF650" s="618"/>
      <c r="AG650" s="618"/>
      <c r="AH650" s="618"/>
      <c r="AI650" s="618"/>
      <c r="AJ650" s="618"/>
      <c r="AK650" s="618"/>
      <c r="AL650" s="618"/>
      <c r="AM650" s="3"/>
      <c r="AN650" s="3"/>
      <c r="AO650" s="3"/>
      <c r="AP650" s="3"/>
      <c r="AQ650" s="3"/>
      <c r="AR650" s="3"/>
      <c r="AS650" s="3"/>
      <c r="AT650" s="3"/>
      <c r="AU650" s="3"/>
      <c r="AV650" s="3"/>
      <c r="AW650" s="3"/>
      <c r="AX650" s="3"/>
      <c r="AY650" s="3"/>
      <c r="AZ650" s="3"/>
      <c r="BA650" s="3"/>
      <c r="BB650" s="3"/>
      <c r="BC650" s="3"/>
      <c r="BD650" s="3"/>
      <c r="BE650" s="3"/>
      <c r="BF650" s="3"/>
    </row>
    <row r="651" spans="1:58" ht="14.25" customHeight="1" x14ac:dyDescent="0.45">
      <c r="A651" s="618"/>
      <c r="B651" s="618"/>
      <c r="C651" s="618"/>
      <c r="D651" s="5"/>
      <c r="E651" s="24"/>
      <c r="F651" s="24"/>
      <c r="G651" s="24"/>
      <c r="H651" s="25"/>
      <c r="I651" s="618"/>
      <c r="J651" s="618"/>
      <c r="K651" s="618"/>
      <c r="L651" s="618"/>
      <c r="M651" s="618"/>
      <c r="N651" s="618"/>
      <c r="O651" s="618"/>
      <c r="P651" s="618"/>
      <c r="Q651" s="618"/>
      <c r="R651" s="618"/>
      <c r="S651" s="618"/>
      <c r="T651" s="618"/>
      <c r="U651" s="618"/>
      <c r="V651" s="618"/>
      <c r="W651" s="618"/>
      <c r="X651" s="618"/>
      <c r="Y651" s="618"/>
      <c r="Z651" s="618"/>
      <c r="AA651" s="618"/>
      <c r="AB651" s="618"/>
      <c r="AC651" s="618"/>
      <c r="AD651" s="618"/>
      <c r="AE651" s="618"/>
      <c r="AF651" s="618"/>
      <c r="AG651" s="618"/>
      <c r="AH651" s="618"/>
      <c r="AI651" s="618"/>
      <c r="AJ651" s="618"/>
      <c r="AK651" s="618"/>
      <c r="AL651" s="618"/>
      <c r="AM651" s="3"/>
      <c r="AN651" s="3"/>
      <c r="AO651" s="3"/>
      <c r="AP651" s="3"/>
      <c r="AQ651" s="3"/>
      <c r="AR651" s="3"/>
      <c r="AS651" s="3"/>
      <c r="AT651" s="3"/>
      <c r="AU651" s="3"/>
      <c r="AV651" s="3"/>
      <c r="AW651" s="3"/>
      <c r="AX651" s="3"/>
      <c r="AY651" s="3"/>
      <c r="AZ651" s="3"/>
      <c r="BA651" s="3"/>
      <c r="BB651" s="3"/>
      <c r="BC651" s="3"/>
      <c r="BD651" s="3"/>
      <c r="BE651" s="3"/>
      <c r="BF651" s="3"/>
    </row>
    <row r="652" spans="1:58" ht="14.25" customHeight="1" x14ac:dyDescent="0.45">
      <c r="A652" s="618"/>
      <c r="B652" s="618"/>
      <c r="C652" s="618"/>
      <c r="D652" s="5"/>
      <c r="E652" s="24"/>
      <c r="F652" s="24"/>
      <c r="G652" s="24"/>
      <c r="H652" s="25"/>
      <c r="I652" s="618"/>
      <c r="J652" s="618"/>
      <c r="K652" s="618"/>
      <c r="L652" s="618"/>
      <c r="M652" s="618"/>
      <c r="N652" s="618"/>
      <c r="O652" s="618"/>
      <c r="P652" s="618"/>
      <c r="Q652" s="618"/>
      <c r="R652" s="618"/>
      <c r="S652" s="618"/>
      <c r="T652" s="618"/>
      <c r="U652" s="618"/>
      <c r="V652" s="618"/>
      <c r="W652" s="618"/>
      <c r="X652" s="618"/>
      <c r="Y652" s="618"/>
      <c r="Z652" s="618"/>
      <c r="AA652" s="618"/>
      <c r="AB652" s="618"/>
      <c r="AC652" s="618"/>
      <c r="AD652" s="618"/>
      <c r="AE652" s="618"/>
      <c r="AF652" s="618"/>
      <c r="AG652" s="618"/>
      <c r="AH652" s="618"/>
      <c r="AI652" s="618"/>
      <c r="AJ652" s="618"/>
      <c r="AK652" s="618"/>
      <c r="AL652" s="618"/>
      <c r="AM652" s="3"/>
      <c r="AN652" s="3"/>
      <c r="AO652" s="3"/>
      <c r="AP652" s="3"/>
      <c r="AQ652" s="3"/>
      <c r="AR652" s="3"/>
      <c r="AS652" s="3"/>
      <c r="AT652" s="3"/>
      <c r="AU652" s="3"/>
      <c r="AV652" s="3"/>
      <c r="AW652" s="3"/>
      <c r="AX652" s="3"/>
      <c r="AY652" s="3"/>
      <c r="AZ652" s="3"/>
      <c r="BA652" s="3"/>
      <c r="BB652" s="3"/>
      <c r="BC652" s="3"/>
      <c r="BD652" s="3"/>
      <c r="BE652" s="3"/>
      <c r="BF652" s="3"/>
    </row>
    <row r="653" spans="1:58" ht="14.25" customHeight="1" x14ac:dyDescent="0.45">
      <c r="A653" s="618"/>
      <c r="B653" s="618"/>
      <c r="C653" s="618"/>
      <c r="D653" s="5"/>
      <c r="E653" s="24"/>
      <c r="F653" s="24"/>
      <c r="G653" s="24"/>
      <c r="H653" s="25"/>
      <c r="I653" s="618"/>
      <c r="J653" s="618"/>
      <c r="K653" s="618"/>
      <c r="L653" s="618"/>
      <c r="M653" s="618"/>
      <c r="N653" s="618"/>
      <c r="O653" s="618"/>
      <c r="P653" s="618"/>
      <c r="Q653" s="618"/>
      <c r="R653" s="618"/>
      <c r="S653" s="618"/>
      <c r="T653" s="618"/>
      <c r="U653" s="618"/>
      <c r="V653" s="618"/>
      <c r="W653" s="618"/>
      <c r="X653" s="618"/>
      <c r="Y653" s="618"/>
      <c r="Z653" s="618"/>
      <c r="AA653" s="618"/>
      <c r="AB653" s="618"/>
      <c r="AC653" s="618"/>
      <c r="AD653" s="618"/>
      <c r="AE653" s="618"/>
      <c r="AF653" s="618"/>
      <c r="AG653" s="618"/>
      <c r="AH653" s="618"/>
      <c r="AI653" s="618"/>
      <c r="AJ653" s="618"/>
      <c r="AK653" s="618"/>
      <c r="AL653" s="618"/>
      <c r="AM653" s="3"/>
      <c r="AN653" s="3"/>
      <c r="AO653" s="3"/>
      <c r="AP653" s="3"/>
      <c r="AQ653" s="3"/>
      <c r="AR653" s="3"/>
      <c r="AS653" s="3"/>
      <c r="AT653" s="3"/>
      <c r="AU653" s="3"/>
      <c r="AV653" s="3"/>
      <c r="AW653" s="3"/>
      <c r="AX653" s="3"/>
      <c r="AY653" s="3"/>
      <c r="AZ653" s="3"/>
      <c r="BA653" s="3"/>
      <c r="BB653" s="3"/>
      <c r="BC653" s="3"/>
      <c r="BD653" s="3"/>
      <c r="BE653" s="3"/>
      <c r="BF653" s="3"/>
    </row>
    <row r="654" spans="1:58" ht="14.25" customHeight="1" x14ac:dyDescent="0.45">
      <c r="A654" s="618"/>
      <c r="B654" s="618"/>
      <c r="C654" s="618"/>
      <c r="D654" s="5"/>
      <c r="E654" s="24"/>
      <c r="F654" s="24"/>
      <c r="G654" s="24"/>
      <c r="H654" s="25"/>
      <c r="I654" s="618"/>
      <c r="J654" s="618"/>
      <c r="K654" s="618"/>
      <c r="L654" s="618"/>
      <c r="M654" s="618"/>
      <c r="N654" s="618"/>
      <c r="O654" s="618"/>
      <c r="P654" s="618"/>
      <c r="Q654" s="618"/>
      <c r="R654" s="618"/>
      <c r="S654" s="618"/>
      <c r="T654" s="618"/>
      <c r="U654" s="618"/>
      <c r="V654" s="618"/>
      <c r="W654" s="618"/>
      <c r="X654" s="618"/>
      <c r="Y654" s="618"/>
      <c r="Z654" s="618"/>
      <c r="AA654" s="618"/>
      <c r="AB654" s="618"/>
      <c r="AC654" s="618"/>
      <c r="AD654" s="618"/>
      <c r="AE654" s="618"/>
      <c r="AF654" s="618"/>
      <c r="AG654" s="618"/>
      <c r="AH654" s="618"/>
      <c r="AI654" s="618"/>
      <c r="AJ654" s="618"/>
      <c r="AK654" s="618"/>
      <c r="AL654" s="618"/>
      <c r="AM654" s="3"/>
      <c r="AN654" s="3"/>
      <c r="AO654" s="3"/>
      <c r="AP654" s="3"/>
      <c r="AQ654" s="3"/>
      <c r="AR654" s="3"/>
      <c r="AS654" s="3"/>
      <c r="AT654" s="3"/>
      <c r="AU654" s="3"/>
      <c r="AV654" s="3"/>
      <c r="AW654" s="3"/>
      <c r="AX654" s="3"/>
      <c r="AY654" s="3"/>
      <c r="AZ654" s="3"/>
      <c r="BA654" s="3"/>
      <c r="BB654" s="3"/>
      <c r="BC654" s="3"/>
      <c r="BD654" s="3"/>
      <c r="BE654" s="3"/>
      <c r="BF654" s="3"/>
    </row>
    <row r="655" spans="1:58" ht="14.25" customHeight="1" x14ac:dyDescent="0.45">
      <c r="A655" s="618"/>
      <c r="B655" s="618"/>
      <c r="C655" s="618"/>
      <c r="D655" s="5"/>
      <c r="E655" s="24"/>
      <c r="F655" s="24"/>
      <c r="G655" s="24"/>
      <c r="H655" s="25"/>
      <c r="I655" s="618"/>
      <c r="J655" s="618"/>
      <c r="K655" s="618"/>
      <c r="L655" s="618"/>
      <c r="M655" s="618"/>
      <c r="N655" s="618"/>
      <c r="O655" s="618"/>
      <c r="P655" s="618"/>
      <c r="Q655" s="618"/>
      <c r="R655" s="618"/>
      <c r="S655" s="618"/>
      <c r="T655" s="618"/>
      <c r="U655" s="618"/>
      <c r="V655" s="618"/>
      <c r="W655" s="618"/>
      <c r="X655" s="618"/>
      <c r="Y655" s="618"/>
      <c r="Z655" s="618"/>
      <c r="AA655" s="618"/>
      <c r="AB655" s="618"/>
      <c r="AC655" s="618"/>
      <c r="AD655" s="618"/>
      <c r="AE655" s="618"/>
      <c r="AF655" s="618"/>
      <c r="AG655" s="618"/>
      <c r="AH655" s="618"/>
      <c r="AI655" s="618"/>
      <c r="AJ655" s="618"/>
      <c r="AK655" s="618"/>
      <c r="AL655" s="618"/>
      <c r="AM655" s="3"/>
      <c r="AN655" s="3"/>
      <c r="AO655" s="3"/>
      <c r="AP655" s="3"/>
      <c r="AQ655" s="3"/>
      <c r="AR655" s="3"/>
      <c r="AS655" s="3"/>
      <c r="AT655" s="3"/>
      <c r="AU655" s="3"/>
      <c r="AV655" s="3"/>
      <c r="AW655" s="3"/>
      <c r="AX655" s="3"/>
      <c r="AY655" s="3"/>
      <c r="AZ655" s="3"/>
      <c r="BA655" s="3"/>
      <c r="BB655" s="3"/>
      <c r="BC655" s="3"/>
      <c r="BD655" s="3"/>
      <c r="BE655" s="3"/>
      <c r="BF655" s="3"/>
    </row>
    <row r="656" spans="1:58" ht="14.25" customHeight="1" x14ac:dyDescent="0.45">
      <c r="A656" s="618"/>
      <c r="B656" s="618"/>
      <c r="C656" s="618"/>
      <c r="D656" s="5"/>
      <c r="E656" s="24"/>
      <c r="F656" s="24"/>
      <c r="G656" s="24"/>
      <c r="H656" s="25"/>
      <c r="I656" s="618"/>
      <c r="J656" s="618"/>
      <c r="K656" s="618"/>
      <c r="L656" s="618"/>
      <c r="M656" s="618"/>
      <c r="N656" s="618"/>
      <c r="O656" s="618"/>
      <c r="P656" s="618"/>
      <c r="Q656" s="618"/>
      <c r="R656" s="618"/>
      <c r="S656" s="618"/>
      <c r="T656" s="618"/>
      <c r="U656" s="618"/>
      <c r="V656" s="618"/>
      <c r="W656" s="618"/>
      <c r="X656" s="618"/>
      <c r="Y656" s="618"/>
      <c r="Z656" s="618"/>
      <c r="AA656" s="618"/>
      <c r="AB656" s="618"/>
      <c r="AC656" s="618"/>
      <c r="AD656" s="618"/>
      <c r="AE656" s="618"/>
      <c r="AF656" s="618"/>
      <c r="AG656" s="618"/>
      <c r="AH656" s="618"/>
      <c r="AI656" s="618"/>
      <c r="AJ656" s="618"/>
      <c r="AK656" s="618"/>
      <c r="AL656" s="618"/>
      <c r="AM656" s="3"/>
      <c r="AN656" s="3"/>
      <c r="AO656" s="3"/>
      <c r="AP656" s="3"/>
      <c r="AQ656" s="3"/>
      <c r="AR656" s="3"/>
      <c r="AS656" s="3"/>
      <c r="AT656" s="3"/>
      <c r="AU656" s="3"/>
      <c r="AV656" s="3"/>
      <c r="AW656" s="3"/>
      <c r="AX656" s="3"/>
      <c r="AY656" s="3"/>
      <c r="AZ656" s="3"/>
      <c r="BA656" s="3"/>
      <c r="BB656" s="3"/>
      <c r="BC656" s="3"/>
      <c r="BD656" s="3"/>
      <c r="BE656" s="3"/>
      <c r="BF656" s="3"/>
    </row>
    <row r="657" spans="1:58" ht="14.25" customHeight="1" x14ac:dyDescent="0.45">
      <c r="A657" s="618"/>
      <c r="B657" s="618"/>
      <c r="C657" s="618"/>
      <c r="D657" s="5"/>
      <c r="E657" s="24"/>
      <c r="F657" s="24"/>
      <c r="G657" s="24"/>
      <c r="H657" s="25"/>
      <c r="I657" s="618"/>
      <c r="J657" s="618"/>
      <c r="K657" s="618"/>
      <c r="L657" s="618"/>
      <c r="M657" s="618"/>
      <c r="N657" s="618"/>
      <c r="O657" s="618"/>
      <c r="P657" s="618"/>
      <c r="Q657" s="618"/>
      <c r="R657" s="618"/>
      <c r="S657" s="618"/>
      <c r="T657" s="618"/>
      <c r="U657" s="618"/>
      <c r="V657" s="618"/>
      <c r="W657" s="618"/>
      <c r="X657" s="618"/>
      <c r="Y657" s="618"/>
      <c r="Z657" s="618"/>
      <c r="AA657" s="618"/>
      <c r="AB657" s="618"/>
      <c r="AC657" s="618"/>
      <c r="AD657" s="618"/>
      <c r="AE657" s="618"/>
      <c r="AF657" s="618"/>
      <c r="AG657" s="618"/>
      <c r="AH657" s="618"/>
      <c r="AI657" s="618"/>
      <c r="AJ657" s="618"/>
      <c r="AK657" s="618"/>
      <c r="AL657" s="618"/>
      <c r="AM657" s="3"/>
      <c r="AN657" s="3"/>
      <c r="AO657" s="3"/>
      <c r="AP657" s="3"/>
      <c r="AQ657" s="3"/>
      <c r="AR657" s="3"/>
      <c r="AS657" s="3"/>
      <c r="AT657" s="3"/>
      <c r="AU657" s="3"/>
      <c r="AV657" s="3"/>
      <c r="AW657" s="3"/>
      <c r="AX657" s="3"/>
      <c r="AY657" s="3"/>
      <c r="AZ657" s="3"/>
      <c r="BA657" s="3"/>
      <c r="BB657" s="3"/>
      <c r="BC657" s="3"/>
      <c r="BD657" s="3"/>
      <c r="BE657" s="3"/>
      <c r="BF657" s="3"/>
    </row>
    <row r="658" spans="1:58" ht="14.25" customHeight="1" x14ac:dyDescent="0.45">
      <c r="A658" s="618"/>
      <c r="B658" s="618"/>
      <c r="C658" s="618"/>
      <c r="D658" s="5"/>
      <c r="E658" s="24"/>
      <c r="F658" s="24"/>
      <c r="G658" s="24"/>
      <c r="H658" s="25"/>
      <c r="I658" s="618"/>
      <c r="J658" s="618"/>
      <c r="K658" s="618"/>
      <c r="L658" s="618"/>
      <c r="M658" s="618"/>
      <c r="N658" s="618"/>
      <c r="O658" s="618"/>
      <c r="P658" s="618"/>
      <c r="Q658" s="618"/>
      <c r="R658" s="618"/>
      <c r="S658" s="618"/>
      <c r="T658" s="618"/>
      <c r="U658" s="618"/>
      <c r="V658" s="618"/>
      <c r="W658" s="618"/>
      <c r="X658" s="618"/>
      <c r="Y658" s="618"/>
      <c r="Z658" s="618"/>
      <c r="AA658" s="618"/>
      <c r="AB658" s="618"/>
      <c r="AC658" s="618"/>
      <c r="AD658" s="618"/>
      <c r="AE658" s="618"/>
      <c r="AF658" s="618"/>
      <c r="AG658" s="618"/>
      <c r="AH658" s="618"/>
      <c r="AI658" s="618"/>
      <c r="AJ658" s="618"/>
      <c r="AK658" s="618"/>
      <c r="AL658" s="618"/>
      <c r="AM658" s="3"/>
      <c r="AN658" s="3"/>
      <c r="AO658" s="3"/>
      <c r="AP658" s="3"/>
      <c r="AQ658" s="3"/>
      <c r="AR658" s="3"/>
      <c r="AS658" s="3"/>
      <c r="AT658" s="3"/>
      <c r="AU658" s="3"/>
      <c r="AV658" s="3"/>
      <c r="AW658" s="3"/>
      <c r="AX658" s="3"/>
      <c r="AY658" s="3"/>
      <c r="AZ658" s="3"/>
      <c r="BA658" s="3"/>
      <c r="BB658" s="3"/>
      <c r="BC658" s="3"/>
      <c r="BD658" s="3"/>
      <c r="BE658" s="3"/>
      <c r="BF658" s="3"/>
    </row>
    <row r="659" spans="1:58" ht="14.25" customHeight="1" x14ac:dyDescent="0.45">
      <c r="A659" s="618"/>
      <c r="B659" s="618"/>
      <c r="C659" s="618"/>
      <c r="D659" s="5"/>
      <c r="E659" s="24"/>
      <c r="F659" s="24"/>
      <c r="G659" s="24"/>
      <c r="H659" s="25"/>
      <c r="I659" s="618"/>
      <c r="J659" s="618"/>
      <c r="K659" s="618"/>
      <c r="L659" s="618"/>
      <c r="M659" s="618"/>
      <c r="N659" s="618"/>
      <c r="O659" s="618"/>
      <c r="P659" s="618"/>
      <c r="Q659" s="618"/>
      <c r="R659" s="618"/>
      <c r="S659" s="618"/>
      <c r="T659" s="618"/>
      <c r="U659" s="618"/>
      <c r="V659" s="618"/>
      <c r="W659" s="618"/>
      <c r="X659" s="618"/>
      <c r="Y659" s="618"/>
      <c r="Z659" s="618"/>
      <c r="AA659" s="618"/>
      <c r="AB659" s="618"/>
      <c r="AC659" s="618"/>
      <c r="AD659" s="618"/>
      <c r="AE659" s="618"/>
      <c r="AF659" s="618"/>
      <c r="AG659" s="618"/>
      <c r="AH659" s="618"/>
      <c r="AI659" s="618"/>
      <c r="AJ659" s="618"/>
      <c r="AK659" s="618"/>
      <c r="AL659" s="618"/>
      <c r="AM659" s="3"/>
      <c r="AN659" s="3"/>
      <c r="AO659" s="3"/>
      <c r="AP659" s="3"/>
      <c r="AQ659" s="3"/>
      <c r="AR659" s="3"/>
      <c r="AS659" s="3"/>
      <c r="AT659" s="3"/>
      <c r="AU659" s="3"/>
      <c r="AV659" s="3"/>
      <c r="AW659" s="3"/>
      <c r="AX659" s="3"/>
      <c r="AY659" s="3"/>
      <c r="AZ659" s="3"/>
      <c r="BA659" s="3"/>
      <c r="BB659" s="3"/>
      <c r="BC659" s="3"/>
      <c r="BD659" s="3"/>
      <c r="BE659" s="3"/>
      <c r="BF659" s="3"/>
    </row>
    <row r="660" spans="1:58" ht="14.25" customHeight="1" x14ac:dyDescent="0.45">
      <c r="A660" s="618"/>
      <c r="B660" s="618"/>
      <c r="C660" s="618"/>
      <c r="D660" s="5"/>
      <c r="E660" s="24"/>
      <c r="F660" s="24"/>
      <c r="G660" s="24"/>
      <c r="H660" s="25"/>
      <c r="I660" s="618"/>
      <c r="J660" s="618"/>
      <c r="K660" s="618"/>
      <c r="L660" s="618"/>
      <c r="M660" s="618"/>
      <c r="N660" s="618"/>
      <c r="O660" s="618"/>
      <c r="P660" s="618"/>
      <c r="Q660" s="618"/>
      <c r="R660" s="618"/>
      <c r="S660" s="618"/>
      <c r="T660" s="618"/>
      <c r="U660" s="618"/>
      <c r="V660" s="618"/>
      <c r="W660" s="618"/>
      <c r="X660" s="618"/>
      <c r="Y660" s="618"/>
      <c r="Z660" s="618"/>
      <c r="AA660" s="618"/>
      <c r="AB660" s="618"/>
      <c r="AC660" s="618"/>
      <c r="AD660" s="618"/>
      <c r="AE660" s="618"/>
      <c r="AF660" s="618"/>
      <c r="AG660" s="618"/>
      <c r="AH660" s="618"/>
      <c r="AI660" s="618"/>
      <c r="AJ660" s="618"/>
      <c r="AK660" s="618"/>
      <c r="AL660" s="618"/>
      <c r="AM660" s="3"/>
      <c r="AN660" s="3"/>
      <c r="AO660" s="3"/>
      <c r="AP660" s="3"/>
      <c r="AQ660" s="3"/>
      <c r="AR660" s="3"/>
      <c r="AS660" s="3"/>
      <c r="AT660" s="3"/>
      <c r="AU660" s="3"/>
      <c r="AV660" s="3"/>
      <c r="AW660" s="3"/>
      <c r="AX660" s="3"/>
      <c r="AY660" s="3"/>
      <c r="AZ660" s="3"/>
      <c r="BA660" s="3"/>
      <c r="BB660" s="3"/>
      <c r="BC660" s="3"/>
      <c r="BD660" s="3"/>
      <c r="BE660" s="3"/>
      <c r="BF660" s="3"/>
    </row>
    <row r="661" spans="1:58" ht="14.25" customHeight="1" x14ac:dyDescent="0.45">
      <c r="A661" s="618"/>
      <c r="B661" s="618"/>
      <c r="C661" s="618"/>
      <c r="D661" s="5"/>
      <c r="E661" s="24"/>
      <c r="F661" s="24"/>
      <c r="G661" s="24"/>
      <c r="H661" s="25"/>
      <c r="I661" s="618"/>
      <c r="J661" s="618"/>
      <c r="K661" s="618"/>
      <c r="L661" s="618"/>
      <c r="M661" s="618"/>
      <c r="N661" s="618"/>
      <c r="O661" s="618"/>
      <c r="P661" s="618"/>
      <c r="Q661" s="618"/>
      <c r="R661" s="618"/>
      <c r="S661" s="618"/>
      <c r="T661" s="618"/>
      <c r="U661" s="618"/>
      <c r="V661" s="618"/>
      <c r="W661" s="618"/>
      <c r="X661" s="618"/>
      <c r="Y661" s="618"/>
      <c r="Z661" s="618"/>
      <c r="AA661" s="618"/>
      <c r="AB661" s="618"/>
      <c r="AC661" s="618"/>
      <c r="AD661" s="618"/>
      <c r="AE661" s="618"/>
      <c r="AF661" s="618"/>
      <c r="AG661" s="618"/>
      <c r="AH661" s="618"/>
      <c r="AI661" s="618"/>
      <c r="AJ661" s="618"/>
      <c r="AK661" s="618"/>
      <c r="AL661" s="618"/>
      <c r="AM661" s="3"/>
      <c r="AN661" s="3"/>
      <c r="AO661" s="3"/>
      <c r="AP661" s="3"/>
      <c r="AQ661" s="3"/>
      <c r="AR661" s="3"/>
      <c r="AS661" s="3"/>
      <c r="AT661" s="3"/>
      <c r="AU661" s="3"/>
      <c r="AV661" s="3"/>
      <c r="AW661" s="3"/>
      <c r="AX661" s="3"/>
      <c r="AY661" s="3"/>
      <c r="AZ661" s="3"/>
      <c r="BA661" s="3"/>
      <c r="BB661" s="3"/>
      <c r="BC661" s="3"/>
      <c r="BD661" s="3"/>
      <c r="BE661" s="3"/>
      <c r="BF661" s="3"/>
    </row>
    <row r="662" spans="1:58" ht="14.25" customHeight="1" x14ac:dyDescent="0.45">
      <c r="A662" s="618"/>
      <c r="B662" s="618"/>
      <c r="C662" s="618"/>
      <c r="D662" s="5"/>
      <c r="E662" s="24"/>
      <c r="F662" s="24"/>
      <c r="G662" s="24"/>
      <c r="H662" s="25"/>
      <c r="I662" s="618"/>
      <c r="J662" s="618"/>
      <c r="K662" s="618"/>
      <c r="L662" s="618"/>
      <c r="M662" s="618"/>
      <c r="N662" s="618"/>
      <c r="O662" s="618"/>
      <c r="P662" s="618"/>
      <c r="Q662" s="618"/>
      <c r="R662" s="618"/>
      <c r="S662" s="618"/>
      <c r="T662" s="618"/>
      <c r="U662" s="618"/>
      <c r="V662" s="618"/>
      <c r="W662" s="618"/>
      <c r="X662" s="618"/>
      <c r="Y662" s="618"/>
      <c r="Z662" s="618"/>
      <c r="AA662" s="618"/>
      <c r="AB662" s="618"/>
      <c r="AC662" s="618"/>
      <c r="AD662" s="618"/>
      <c r="AE662" s="618"/>
      <c r="AF662" s="618"/>
      <c r="AG662" s="618"/>
      <c r="AH662" s="618"/>
      <c r="AI662" s="618"/>
      <c r="AJ662" s="618"/>
      <c r="AK662" s="618"/>
      <c r="AL662" s="618"/>
      <c r="AM662" s="3"/>
      <c r="AN662" s="3"/>
      <c r="AO662" s="3"/>
      <c r="AP662" s="3"/>
      <c r="AQ662" s="3"/>
      <c r="AR662" s="3"/>
      <c r="AS662" s="3"/>
      <c r="AT662" s="3"/>
      <c r="AU662" s="3"/>
      <c r="AV662" s="3"/>
      <c r="AW662" s="3"/>
      <c r="AX662" s="3"/>
      <c r="AY662" s="3"/>
      <c r="AZ662" s="3"/>
      <c r="BA662" s="3"/>
      <c r="BB662" s="3"/>
      <c r="BC662" s="3"/>
      <c r="BD662" s="3"/>
      <c r="BE662" s="3"/>
      <c r="BF662" s="3"/>
    </row>
    <row r="663" spans="1:58" ht="14.25" customHeight="1" x14ac:dyDescent="0.45">
      <c r="A663" s="618"/>
      <c r="B663" s="618"/>
      <c r="C663" s="618"/>
      <c r="D663" s="5"/>
      <c r="E663" s="24"/>
      <c r="F663" s="24"/>
      <c r="G663" s="24"/>
      <c r="H663" s="25"/>
      <c r="I663" s="618"/>
      <c r="J663" s="618"/>
      <c r="K663" s="618"/>
      <c r="L663" s="618"/>
      <c r="M663" s="618"/>
      <c r="N663" s="618"/>
      <c r="O663" s="618"/>
      <c r="P663" s="618"/>
      <c r="Q663" s="618"/>
      <c r="R663" s="618"/>
      <c r="S663" s="618"/>
      <c r="T663" s="618"/>
      <c r="U663" s="618"/>
      <c r="V663" s="618"/>
      <c r="W663" s="618"/>
      <c r="X663" s="618"/>
      <c r="Y663" s="618"/>
      <c r="Z663" s="618"/>
      <c r="AA663" s="618"/>
      <c r="AB663" s="618"/>
      <c r="AC663" s="618"/>
      <c r="AD663" s="618"/>
      <c r="AE663" s="618"/>
      <c r="AF663" s="618"/>
      <c r="AG663" s="618"/>
      <c r="AH663" s="618"/>
      <c r="AI663" s="618"/>
      <c r="AJ663" s="618"/>
      <c r="AK663" s="618"/>
      <c r="AL663" s="618"/>
      <c r="AM663" s="3"/>
      <c r="AN663" s="3"/>
      <c r="AO663" s="3"/>
      <c r="AP663" s="3"/>
      <c r="AQ663" s="3"/>
      <c r="AR663" s="3"/>
      <c r="AS663" s="3"/>
      <c r="AT663" s="3"/>
      <c r="AU663" s="3"/>
      <c r="AV663" s="3"/>
      <c r="AW663" s="3"/>
      <c r="AX663" s="3"/>
      <c r="AY663" s="3"/>
      <c r="AZ663" s="3"/>
      <c r="BA663" s="3"/>
      <c r="BB663" s="3"/>
      <c r="BC663" s="3"/>
      <c r="BD663" s="3"/>
      <c r="BE663" s="3"/>
      <c r="BF663" s="3"/>
    </row>
    <row r="664" spans="1:58" ht="14.25" customHeight="1" x14ac:dyDescent="0.45">
      <c r="A664" s="618"/>
      <c r="B664" s="618"/>
      <c r="C664" s="618"/>
      <c r="D664" s="5"/>
      <c r="E664" s="24"/>
      <c r="F664" s="24"/>
      <c r="G664" s="24"/>
      <c r="H664" s="25"/>
      <c r="I664" s="618"/>
      <c r="J664" s="618"/>
      <c r="K664" s="618"/>
      <c r="L664" s="618"/>
      <c r="M664" s="618"/>
      <c r="N664" s="618"/>
      <c r="O664" s="618"/>
      <c r="P664" s="618"/>
      <c r="Q664" s="618"/>
      <c r="R664" s="618"/>
      <c r="S664" s="618"/>
      <c r="T664" s="618"/>
      <c r="U664" s="618"/>
      <c r="V664" s="618"/>
      <c r="W664" s="618"/>
      <c r="X664" s="618"/>
      <c r="Y664" s="618"/>
      <c r="Z664" s="618"/>
      <c r="AA664" s="618"/>
      <c r="AB664" s="618"/>
      <c r="AC664" s="618"/>
      <c r="AD664" s="618"/>
      <c r="AE664" s="618"/>
      <c r="AF664" s="618"/>
      <c r="AG664" s="618"/>
      <c r="AH664" s="618"/>
      <c r="AI664" s="618"/>
      <c r="AJ664" s="618"/>
      <c r="AK664" s="618"/>
      <c r="AL664" s="618"/>
      <c r="AM664" s="3"/>
      <c r="AN664" s="3"/>
      <c r="AO664" s="3"/>
      <c r="AP664" s="3"/>
      <c r="AQ664" s="3"/>
      <c r="AR664" s="3"/>
      <c r="AS664" s="3"/>
      <c r="AT664" s="3"/>
      <c r="AU664" s="3"/>
      <c r="AV664" s="3"/>
      <c r="AW664" s="3"/>
      <c r="AX664" s="3"/>
      <c r="AY664" s="3"/>
      <c r="AZ664" s="3"/>
      <c r="BA664" s="3"/>
      <c r="BB664" s="3"/>
      <c r="BC664" s="3"/>
      <c r="BD664" s="3"/>
      <c r="BE664" s="3"/>
      <c r="BF664" s="3"/>
    </row>
    <row r="665" spans="1:58" ht="14.25" customHeight="1" x14ac:dyDescent="0.45">
      <c r="A665" s="618"/>
      <c r="B665" s="618"/>
      <c r="C665" s="618"/>
      <c r="D665" s="5"/>
      <c r="E665" s="24"/>
      <c r="F665" s="24"/>
      <c r="G665" s="24"/>
      <c r="H665" s="25"/>
      <c r="I665" s="618"/>
      <c r="J665" s="618"/>
      <c r="K665" s="618"/>
      <c r="L665" s="618"/>
      <c r="M665" s="618"/>
      <c r="N665" s="618"/>
      <c r="O665" s="618"/>
      <c r="P665" s="618"/>
      <c r="Q665" s="618"/>
      <c r="R665" s="618"/>
      <c r="S665" s="618"/>
      <c r="T665" s="618"/>
      <c r="U665" s="618"/>
      <c r="V665" s="618"/>
      <c r="W665" s="618"/>
      <c r="X665" s="618"/>
      <c r="Y665" s="618"/>
      <c r="Z665" s="618"/>
      <c r="AA665" s="618"/>
      <c r="AB665" s="618"/>
      <c r="AC665" s="618"/>
      <c r="AD665" s="618"/>
      <c r="AE665" s="618"/>
      <c r="AF665" s="618"/>
      <c r="AG665" s="618"/>
      <c r="AH665" s="618"/>
      <c r="AI665" s="618"/>
      <c r="AJ665" s="618"/>
      <c r="AK665" s="618"/>
      <c r="AL665" s="618"/>
      <c r="AM665" s="3"/>
      <c r="AN665" s="3"/>
      <c r="AO665" s="3"/>
      <c r="AP665" s="3"/>
      <c r="AQ665" s="3"/>
      <c r="AR665" s="3"/>
      <c r="AS665" s="3"/>
      <c r="AT665" s="3"/>
      <c r="AU665" s="3"/>
      <c r="AV665" s="3"/>
      <c r="AW665" s="3"/>
      <c r="AX665" s="3"/>
      <c r="AY665" s="3"/>
      <c r="AZ665" s="3"/>
      <c r="BA665" s="3"/>
      <c r="BB665" s="3"/>
      <c r="BC665" s="3"/>
      <c r="BD665" s="3"/>
      <c r="BE665" s="3"/>
      <c r="BF665" s="3"/>
    </row>
    <row r="666" spans="1:58" ht="14.25" customHeight="1" x14ac:dyDescent="0.45">
      <c r="A666" s="618"/>
      <c r="B666" s="618"/>
      <c r="C666" s="618"/>
      <c r="D666" s="5"/>
      <c r="E666" s="24"/>
      <c r="F666" s="24"/>
      <c r="G666" s="24"/>
      <c r="H666" s="25"/>
      <c r="I666" s="618"/>
      <c r="J666" s="618"/>
      <c r="K666" s="618"/>
      <c r="L666" s="618"/>
      <c r="M666" s="618"/>
      <c r="N666" s="618"/>
      <c r="O666" s="618"/>
      <c r="P666" s="618"/>
      <c r="Q666" s="618"/>
      <c r="R666" s="618"/>
      <c r="S666" s="618"/>
      <c r="T666" s="618"/>
      <c r="U666" s="618"/>
      <c r="V666" s="618"/>
      <c r="W666" s="618"/>
      <c r="X666" s="618"/>
      <c r="Y666" s="618"/>
      <c r="Z666" s="618"/>
      <c r="AA666" s="618"/>
      <c r="AB666" s="618"/>
      <c r="AC666" s="618"/>
      <c r="AD666" s="618"/>
      <c r="AE666" s="618"/>
      <c r="AF666" s="618"/>
      <c r="AG666" s="618"/>
      <c r="AH666" s="618"/>
      <c r="AI666" s="618"/>
      <c r="AJ666" s="618"/>
      <c r="AK666" s="618"/>
      <c r="AL666" s="618"/>
      <c r="AM666" s="3"/>
      <c r="AN666" s="3"/>
      <c r="AO666" s="3"/>
      <c r="AP666" s="3"/>
      <c r="AQ666" s="3"/>
      <c r="AR666" s="3"/>
      <c r="AS666" s="3"/>
      <c r="AT666" s="3"/>
      <c r="AU666" s="3"/>
      <c r="AV666" s="3"/>
      <c r="AW666" s="3"/>
      <c r="AX666" s="3"/>
      <c r="AY666" s="3"/>
      <c r="AZ666" s="3"/>
      <c r="BA666" s="3"/>
      <c r="BB666" s="3"/>
      <c r="BC666" s="3"/>
      <c r="BD666" s="3"/>
      <c r="BE666" s="3"/>
      <c r="BF666" s="3"/>
    </row>
    <row r="667" spans="1:58" ht="14.25" customHeight="1" x14ac:dyDescent="0.45">
      <c r="A667" s="618"/>
      <c r="B667" s="618"/>
      <c r="C667" s="618"/>
      <c r="D667" s="5"/>
      <c r="E667" s="24"/>
      <c r="F667" s="24"/>
      <c r="G667" s="24"/>
      <c r="H667" s="25"/>
      <c r="I667" s="618"/>
      <c r="J667" s="618"/>
      <c r="K667" s="618"/>
      <c r="L667" s="618"/>
      <c r="M667" s="618"/>
      <c r="N667" s="618"/>
      <c r="O667" s="618"/>
      <c r="P667" s="618"/>
      <c r="Q667" s="618"/>
      <c r="R667" s="618"/>
      <c r="S667" s="618"/>
      <c r="T667" s="618"/>
      <c r="U667" s="618"/>
      <c r="V667" s="618"/>
      <c r="W667" s="618"/>
      <c r="X667" s="618"/>
      <c r="Y667" s="618"/>
      <c r="Z667" s="618"/>
      <c r="AA667" s="618"/>
      <c r="AB667" s="618"/>
      <c r="AC667" s="618"/>
      <c r="AD667" s="618"/>
      <c r="AE667" s="618"/>
      <c r="AF667" s="618"/>
      <c r="AG667" s="618"/>
      <c r="AH667" s="618"/>
      <c r="AI667" s="618"/>
      <c r="AJ667" s="618"/>
      <c r="AK667" s="618"/>
      <c r="AL667" s="618"/>
      <c r="AM667" s="3"/>
      <c r="AN667" s="3"/>
      <c r="AO667" s="3"/>
      <c r="AP667" s="3"/>
      <c r="AQ667" s="3"/>
      <c r="AR667" s="3"/>
      <c r="AS667" s="3"/>
      <c r="AT667" s="3"/>
      <c r="AU667" s="3"/>
      <c r="AV667" s="3"/>
      <c r="AW667" s="3"/>
      <c r="AX667" s="3"/>
      <c r="AY667" s="3"/>
      <c r="AZ667" s="3"/>
      <c r="BA667" s="3"/>
      <c r="BB667" s="3"/>
      <c r="BC667" s="3"/>
      <c r="BD667" s="3"/>
      <c r="BE667" s="3"/>
      <c r="BF667" s="3"/>
    </row>
    <row r="668" spans="1:58" ht="14.25" customHeight="1" x14ac:dyDescent="0.45">
      <c r="A668" s="618"/>
      <c r="B668" s="618"/>
      <c r="C668" s="618"/>
      <c r="D668" s="5"/>
      <c r="E668" s="24"/>
      <c r="F668" s="24"/>
      <c r="G668" s="24"/>
      <c r="H668" s="25"/>
      <c r="I668" s="618"/>
      <c r="J668" s="618"/>
      <c r="K668" s="618"/>
      <c r="L668" s="618"/>
      <c r="M668" s="618"/>
      <c r="N668" s="618"/>
      <c r="O668" s="618"/>
      <c r="P668" s="618"/>
      <c r="Q668" s="618"/>
      <c r="R668" s="618"/>
      <c r="S668" s="618"/>
      <c r="T668" s="618"/>
      <c r="U668" s="618"/>
      <c r="V668" s="618"/>
      <c r="W668" s="618"/>
      <c r="X668" s="618"/>
      <c r="Y668" s="618"/>
      <c r="Z668" s="618"/>
      <c r="AA668" s="618"/>
      <c r="AB668" s="618"/>
      <c r="AC668" s="618"/>
      <c r="AD668" s="618"/>
      <c r="AE668" s="618"/>
      <c r="AF668" s="618"/>
      <c r="AG668" s="618"/>
      <c r="AH668" s="618"/>
      <c r="AI668" s="618"/>
      <c r="AJ668" s="618"/>
      <c r="AK668" s="618"/>
      <c r="AL668" s="618"/>
      <c r="AM668" s="3"/>
      <c r="AN668" s="3"/>
      <c r="AO668" s="3"/>
      <c r="AP668" s="3"/>
      <c r="AQ668" s="3"/>
      <c r="AR668" s="3"/>
      <c r="AS668" s="3"/>
      <c r="AT668" s="3"/>
      <c r="AU668" s="3"/>
      <c r="AV668" s="3"/>
      <c r="AW668" s="3"/>
      <c r="AX668" s="3"/>
      <c r="AY668" s="3"/>
      <c r="AZ668" s="3"/>
      <c r="BA668" s="3"/>
      <c r="BB668" s="3"/>
      <c r="BC668" s="3"/>
      <c r="BD668" s="3"/>
      <c r="BE668" s="3"/>
      <c r="BF668" s="3"/>
    </row>
    <row r="669" spans="1:58" ht="14.25" customHeight="1" x14ac:dyDescent="0.45">
      <c r="A669" s="618"/>
      <c r="B669" s="618"/>
      <c r="C669" s="618"/>
      <c r="D669" s="5"/>
      <c r="E669" s="24"/>
      <c r="F669" s="24"/>
      <c r="G669" s="24"/>
      <c r="H669" s="25"/>
      <c r="I669" s="618"/>
      <c r="J669" s="618"/>
      <c r="K669" s="618"/>
      <c r="L669" s="618"/>
      <c r="M669" s="618"/>
      <c r="N669" s="618"/>
      <c r="O669" s="618"/>
      <c r="P669" s="618"/>
      <c r="Q669" s="618"/>
      <c r="R669" s="618"/>
      <c r="S669" s="618"/>
      <c r="T669" s="618"/>
      <c r="U669" s="618"/>
      <c r="V669" s="618"/>
      <c r="W669" s="618"/>
      <c r="X669" s="618"/>
      <c r="Y669" s="618"/>
      <c r="Z669" s="618"/>
      <c r="AA669" s="618"/>
      <c r="AB669" s="618"/>
      <c r="AC669" s="618"/>
      <c r="AD669" s="618"/>
      <c r="AE669" s="618"/>
      <c r="AF669" s="618"/>
      <c r="AG669" s="618"/>
      <c r="AH669" s="618"/>
      <c r="AI669" s="618"/>
      <c r="AJ669" s="618"/>
      <c r="AK669" s="618"/>
      <c r="AL669" s="618"/>
      <c r="AM669" s="3"/>
      <c r="AN669" s="3"/>
      <c r="AO669" s="3"/>
      <c r="AP669" s="3"/>
      <c r="AQ669" s="3"/>
      <c r="AR669" s="3"/>
      <c r="AS669" s="3"/>
      <c r="AT669" s="3"/>
      <c r="AU669" s="3"/>
      <c r="AV669" s="3"/>
      <c r="AW669" s="3"/>
      <c r="AX669" s="3"/>
      <c r="AY669" s="3"/>
      <c r="AZ669" s="3"/>
      <c r="BA669" s="3"/>
      <c r="BB669" s="3"/>
      <c r="BC669" s="3"/>
      <c r="BD669" s="3"/>
      <c r="BE669" s="3"/>
      <c r="BF669" s="3"/>
    </row>
    <row r="670" spans="1:58" ht="14.25" customHeight="1" x14ac:dyDescent="0.45">
      <c r="A670" s="618"/>
      <c r="B670" s="618"/>
      <c r="C670" s="618"/>
      <c r="D670" s="5"/>
      <c r="E670" s="24"/>
      <c r="F670" s="24"/>
      <c r="G670" s="24"/>
      <c r="H670" s="25"/>
      <c r="I670" s="618"/>
      <c r="J670" s="618"/>
      <c r="K670" s="618"/>
      <c r="L670" s="618"/>
      <c r="M670" s="618"/>
      <c r="N670" s="618"/>
      <c r="O670" s="618"/>
      <c r="P670" s="618"/>
      <c r="Q670" s="618"/>
      <c r="R670" s="618"/>
      <c r="S670" s="618"/>
      <c r="T670" s="618"/>
      <c r="U670" s="618"/>
      <c r="V670" s="618"/>
      <c r="W670" s="618"/>
      <c r="X670" s="618"/>
      <c r="Y670" s="618"/>
      <c r="Z670" s="618"/>
      <c r="AA670" s="618"/>
      <c r="AB670" s="618"/>
      <c r="AC670" s="618"/>
      <c r="AD670" s="618"/>
      <c r="AE670" s="618"/>
      <c r="AF670" s="618"/>
      <c r="AG670" s="618"/>
      <c r="AH670" s="618"/>
      <c r="AI670" s="618"/>
      <c r="AJ670" s="618"/>
      <c r="AK670" s="618"/>
      <c r="AL670" s="618"/>
      <c r="AM670" s="3"/>
      <c r="AN670" s="3"/>
      <c r="AO670" s="3"/>
      <c r="AP670" s="3"/>
      <c r="AQ670" s="3"/>
      <c r="AR670" s="3"/>
      <c r="AS670" s="3"/>
      <c r="AT670" s="3"/>
      <c r="AU670" s="3"/>
      <c r="AV670" s="3"/>
      <c r="AW670" s="3"/>
      <c r="AX670" s="3"/>
      <c r="AY670" s="3"/>
      <c r="AZ670" s="3"/>
      <c r="BA670" s="3"/>
      <c r="BB670" s="3"/>
      <c r="BC670" s="3"/>
      <c r="BD670" s="3"/>
      <c r="BE670" s="3"/>
      <c r="BF670" s="3"/>
    </row>
    <row r="671" spans="1:58" ht="14.25" customHeight="1" x14ac:dyDescent="0.45">
      <c r="A671" s="618"/>
      <c r="B671" s="618"/>
      <c r="C671" s="618"/>
      <c r="D671" s="5"/>
      <c r="E671" s="24"/>
      <c r="F671" s="24"/>
      <c r="G671" s="24"/>
      <c r="H671" s="25"/>
      <c r="I671" s="618"/>
      <c r="J671" s="618"/>
      <c r="K671" s="618"/>
      <c r="L671" s="618"/>
      <c r="M671" s="618"/>
      <c r="N671" s="618"/>
      <c r="O671" s="618"/>
      <c r="P671" s="618"/>
      <c r="Q671" s="618"/>
      <c r="R671" s="618"/>
      <c r="S671" s="618"/>
      <c r="T671" s="618"/>
      <c r="U671" s="618"/>
      <c r="V671" s="618"/>
      <c r="W671" s="618"/>
      <c r="X671" s="618"/>
      <c r="Y671" s="618"/>
      <c r="Z671" s="618"/>
      <c r="AA671" s="618"/>
      <c r="AB671" s="618"/>
      <c r="AC671" s="618"/>
      <c r="AD671" s="618"/>
      <c r="AE671" s="618"/>
      <c r="AF671" s="618"/>
      <c r="AG671" s="618"/>
      <c r="AH671" s="618"/>
      <c r="AI671" s="618"/>
      <c r="AJ671" s="618"/>
      <c r="AK671" s="618"/>
      <c r="AL671" s="618"/>
      <c r="AM671" s="3"/>
      <c r="AN671" s="3"/>
      <c r="AO671" s="3"/>
      <c r="AP671" s="3"/>
      <c r="AQ671" s="3"/>
      <c r="AR671" s="3"/>
      <c r="AS671" s="3"/>
      <c r="AT671" s="3"/>
      <c r="AU671" s="3"/>
      <c r="AV671" s="3"/>
      <c r="AW671" s="3"/>
      <c r="AX671" s="3"/>
      <c r="AY671" s="3"/>
      <c r="AZ671" s="3"/>
      <c r="BA671" s="3"/>
      <c r="BB671" s="3"/>
      <c r="BC671" s="3"/>
      <c r="BD671" s="3"/>
      <c r="BE671" s="3"/>
      <c r="BF671" s="3"/>
    </row>
    <row r="672" spans="1:58" ht="14.25" customHeight="1" x14ac:dyDescent="0.45">
      <c r="A672" s="618"/>
      <c r="B672" s="618"/>
      <c r="C672" s="618"/>
      <c r="D672" s="5"/>
      <c r="E672" s="24"/>
      <c r="F672" s="24"/>
      <c r="G672" s="24"/>
      <c r="H672" s="25"/>
      <c r="I672" s="618"/>
      <c r="J672" s="618"/>
      <c r="K672" s="618"/>
      <c r="L672" s="618"/>
      <c r="M672" s="618"/>
      <c r="N672" s="618"/>
      <c r="O672" s="618"/>
      <c r="P672" s="618"/>
      <c r="Q672" s="618"/>
      <c r="R672" s="618"/>
      <c r="S672" s="618"/>
      <c r="T672" s="618"/>
      <c r="U672" s="618"/>
      <c r="V672" s="618"/>
      <c r="W672" s="618"/>
      <c r="X672" s="618"/>
      <c r="Y672" s="618"/>
      <c r="Z672" s="618"/>
      <c r="AA672" s="618"/>
      <c r="AB672" s="618"/>
      <c r="AC672" s="618"/>
      <c r="AD672" s="618"/>
      <c r="AE672" s="618"/>
      <c r="AF672" s="618"/>
      <c r="AG672" s="618"/>
      <c r="AH672" s="618"/>
      <c r="AI672" s="618"/>
      <c r="AJ672" s="618"/>
      <c r="AK672" s="618"/>
      <c r="AL672" s="618"/>
      <c r="AM672" s="3"/>
      <c r="AN672" s="3"/>
      <c r="AO672" s="3"/>
      <c r="AP672" s="3"/>
      <c r="AQ672" s="3"/>
      <c r="AR672" s="3"/>
      <c r="AS672" s="3"/>
      <c r="AT672" s="3"/>
      <c r="AU672" s="3"/>
      <c r="AV672" s="3"/>
      <c r="AW672" s="3"/>
      <c r="AX672" s="3"/>
      <c r="AY672" s="3"/>
      <c r="AZ672" s="3"/>
      <c r="BA672" s="3"/>
      <c r="BB672" s="3"/>
      <c r="BC672" s="3"/>
      <c r="BD672" s="3"/>
      <c r="BE672" s="3"/>
      <c r="BF672" s="3"/>
    </row>
    <row r="673" spans="1:58" ht="14.25" customHeight="1" x14ac:dyDescent="0.45">
      <c r="A673" s="618"/>
      <c r="B673" s="618"/>
      <c r="C673" s="618"/>
      <c r="D673" s="5"/>
      <c r="E673" s="24"/>
      <c r="F673" s="24"/>
      <c r="G673" s="24"/>
      <c r="H673" s="25"/>
      <c r="I673" s="618"/>
      <c r="J673" s="618"/>
      <c r="K673" s="618"/>
      <c r="L673" s="618"/>
      <c r="M673" s="618"/>
      <c r="N673" s="618"/>
      <c r="O673" s="618"/>
      <c r="P673" s="618"/>
      <c r="Q673" s="618"/>
      <c r="R673" s="618"/>
      <c r="S673" s="618"/>
      <c r="T673" s="618"/>
      <c r="U673" s="618"/>
      <c r="V673" s="618"/>
      <c r="W673" s="618"/>
      <c r="X673" s="618"/>
      <c r="Y673" s="618"/>
      <c r="Z673" s="618"/>
      <c r="AA673" s="618"/>
      <c r="AB673" s="618"/>
      <c r="AC673" s="618"/>
      <c r="AD673" s="618"/>
      <c r="AE673" s="618"/>
      <c r="AF673" s="618"/>
      <c r="AG673" s="618"/>
      <c r="AH673" s="618"/>
      <c r="AI673" s="618"/>
      <c r="AJ673" s="618"/>
      <c r="AK673" s="618"/>
      <c r="AL673" s="618"/>
      <c r="AM673" s="3"/>
      <c r="AN673" s="3"/>
      <c r="AO673" s="3"/>
      <c r="AP673" s="3"/>
      <c r="AQ673" s="3"/>
      <c r="AR673" s="3"/>
      <c r="AS673" s="3"/>
      <c r="AT673" s="3"/>
      <c r="AU673" s="3"/>
      <c r="AV673" s="3"/>
      <c r="AW673" s="3"/>
      <c r="AX673" s="3"/>
      <c r="AY673" s="3"/>
      <c r="AZ673" s="3"/>
      <c r="BA673" s="3"/>
      <c r="BB673" s="3"/>
      <c r="BC673" s="3"/>
      <c r="BD673" s="3"/>
      <c r="BE673" s="3"/>
      <c r="BF673" s="3"/>
    </row>
    <row r="674" spans="1:58" ht="14.25" customHeight="1" x14ac:dyDescent="0.45">
      <c r="A674" s="618"/>
      <c r="B674" s="618"/>
      <c r="C674" s="618"/>
      <c r="D674" s="5"/>
      <c r="E674" s="24"/>
      <c r="F674" s="24"/>
      <c r="G674" s="24"/>
      <c r="H674" s="25"/>
      <c r="I674" s="618"/>
      <c r="J674" s="618"/>
      <c r="K674" s="618"/>
      <c r="L674" s="618"/>
      <c r="M674" s="618"/>
      <c r="N674" s="618"/>
      <c r="O674" s="618"/>
      <c r="P674" s="618"/>
      <c r="Q674" s="618"/>
      <c r="R674" s="618"/>
      <c r="S674" s="618"/>
      <c r="T674" s="618"/>
      <c r="U674" s="618"/>
      <c r="V674" s="618"/>
      <c r="W674" s="618"/>
      <c r="X674" s="618"/>
      <c r="Y674" s="618"/>
      <c r="Z674" s="618"/>
      <c r="AA674" s="618"/>
      <c r="AB674" s="618"/>
      <c r="AC674" s="618"/>
      <c r="AD674" s="618"/>
      <c r="AE674" s="618"/>
      <c r="AF674" s="618"/>
      <c r="AG674" s="618"/>
      <c r="AH674" s="618"/>
      <c r="AI674" s="618"/>
      <c r="AJ674" s="618"/>
      <c r="AK674" s="618"/>
      <c r="AL674" s="618"/>
      <c r="AM674" s="3"/>
      <c r="AN674" s="3"/>
      <c r="AO674" s="3"/>
      <c r="AP674" s="3"/>
      <c r="AQ674" s="3"/>
      <c r="AR674" s="3"/>
      <c r="AS674" s="3"/>
      <c r="AT674" s="3"/>
      <c r="AU674" s="3"/>
      <c r="AV674" s="3"/>
      <c r="AW674" s="3"/>
      <c r="AX674" s="3"/>
      <c r="AY674" s="3"/>
      <c r="AZ674" s="3"/>
      <c r="BA674" s="3"/>
      <c r="BB674" s="3"/>
      <c r="BC674" s="3"/>
      <c r="BD674" s="3"/>
      <c r="BE674" s="3"/>
      <c r="BF674" s="3"/>
    </row>
    <row r="675" spans="1:58" ht="14.25" customHeight="1" x14ac:dyDescent="0.45">
      <c r="A675" s="618"/>
      <c r="B675" s="618"/>
      <c r="C675" s="618"/>
      <c r="D675" s="5"/>
      <c r="E675" s="24"/>
      <c r="F675" s="24"/>
      <c r="G675" s="24"/>
      <c r="H675" s="25"/>
      <c r="I675" s="618"/>
      <c r="J675" s="618"/>
      <c r="K675" s="618"/>
      <c r="L675" s="618"/>
      <c r="M675" s="618"/>
      <c r="N675" s="618"/>
      <c r="O675" s="618"/>
      <c r="P675" s="618"/>
      <c r="Q675" s="618"/>
      <c r="R675" s="618"/>
      <c r="S675" s="618"/>
      <c r="T675" s="618"/>
      <c r="U675" s="618"/>
      <c r="V675" s="618"/>
      <c r="W675" s="618"/>
      <c r="X675" s="618"/>
      <c r="Y675" s="618"/>
      <c r="Z675" s="618"/>
      <c r="AA675" s="618"/>
      <c r="AB675" s="618"/>
      <c r="AC675" s="618"/>
      <c r="AD675" s="618"/>
      <c r="AE675" s="618"/>
      <c r="AF675" s="618"/>
      <c r="AG675" s="618"/>
      <c r="AH675" s="618"/>
      <c r="AI675" s="618"/>
      <c r="AJ675" s="618"/>
      <c r="AK675" s="618"/>
      <c r="AL675" s="618"/>
      <c r="AM675" s="3"/>
      <c r="AN675" s="3"/>
      <c r="AO675" s="3"/>
      <c r="AP675" s="3"/>
      <c r="AQ675" s="3"/>
      <c r="AR675" s="3"/>
      <c r="AS675" s="3"/>
      <c r="AT675" s="3"/>
      <c r="AU675" s="3"/>
      <c r="AV675" s="3"/>
      <c r="AW675" s="3"/>
      <c r="AX675" s="3"/>
      <c r="AY675" s="3"/>
      <c r="AZ675" s="3"/>
      <c r="BA675" s="3"/>
      <c r="BB675" s="3"/>
      <c r="BC675" s="3"/>
      <c r="BD675" s="3"/>
      <c r="BE675" s="3"/>
      <c r="BF675" s="3"/>
    </row>
    <row r="676" spans="1:58" ht="14.25" customHeight="1" x14ac:dyDescent="0.45">
      <c r="A676" s="618"/>
      <c r="B676" s="618"/>
      <c r="C676" s="618"/>
      <c r="D676" s="5"/>
      <c r="E676" s="24"/>
      <c r="F676" s="24"/>
      <c r="G676" s="24"/>
      <c r="H676" s="25"/>
      <c r="I676" s="618"/>
      <c r="J676" s="618"/>
      <c r="K676" s="618"/>
      <c r="L676" s="618"/>
      <c r="M676" s="618"/>
      <c r="N676" s="618"/>
      <c r="O676" s="618"/>
      <c r="P676" s="618"/>
      <c r="Q676" s="618"/>
      <c r="R676" s="618"/>
      <c r="S676" s="618"/>
      <c r="T676" s="618"/>
      <c r="U676" s="618"/>
      <c r="V676" s="618"/>
      <c r="W676" s="618"/>
      <c r="X676" s="618"/>
      <c r="Y676" s="618"/>
      <c r="Z676" s="618"/>
      <c r="AA676" s="618"/>
      <c r="AB676" s="618"/>
      <c r="AC676" s="618"/>
      <c r="AD676" s="618"/>
      <c r="AE676" s="618"/>
      <c r="AF676" s="618"/>
      <c r="AG676" s="618"/>
      <c r="AH676" s="618"/>
      <c r="AI676" s="618"/>
      <c r="AJ676" s="618"/>
      <c r="AK676" s="618"/>
      <c r="AL676" s="618"/>
      <c r="AM676" s="3"/>
      <c r="AN676" s="3"/>
      <c r="AO676" s="3"/>
      <c r="AP676" s="3"/>
      <c r="AQ676" s="3"/>
      <c r="AR676" s="3"/>
      <c r="AS676" s="3"/>
      <c r="AT676" s="3"/>
      <c r="AU676" s="3"/>
      <c r="AV676" s="3"/>
      <c r="AW676" s="3"/>
      <c r="AX676" s="3"/>
      <c r="AY676" s="3"/>
      <c r="AZ676" s="3"/>
      <c r="BA676" s="3"/>
      <c r="BB676" s="3"/>
      <c r="BC676" s="3"/>
      <c r="BD676" s="3"/>
      <c r="BE676" s="3"/>
      <c r="BF676" s="3"/>
    </row>
    <row r="677" spans="1:58" ht="14.25" customHeight="1" x14ac:dyDescent="0.45">
      <c r="A677" s="618"/>
      <c r="B677" s="618"/>
      <c r="C677" s="618"/>
      <c r="D677" s="5"/>
      <c r="E677" s="24"/>
      <c r="F677" s="24"/>
      <c r="G677" s="24"/>
      <c r="H677" s="25"/>
      <c r="I677" s="618"/>
      <c r="J677" s="618"/>
      <c r="K677" s="618"/>
      <c r="L677" s="618"/>
      <c r="M677" s="618"/>
      <c r="N677" s="618"/>
      <c r="O677" s="618"/>
      <c r="P677" s="618"/>
      <c r="Q677" s="618"/>
      <c r="R677" s="618"/>
      <c r="S677" s="618"/>
      <c r="T677" s="618"/>
      <c r="U677" s="618"/>
      <c r="V677" s="618"/>
      <c r="W677" s="618"/>
      <c r="X677" s="618"/>
      <c r="Y677" s="618"/>
      <c r="Z677" s="618"/>
      <c r="AA677" s="618"/>
      <c r="AB677" s="618"/>
      <c r="AC677" s="618"/>
      <c r="AD677" s="618"/>
      <c r="AE677" s="618"/>
      <c r="AF677" s="618"/>
      <c r="AG677" s="618"/>
      <c r="AH677" s="618"/>
      <c r="AI677" s="618"/>
      <c r="AJ677" s="618"/>
      <c r="AK677" s="618"/>
      <c r="AL677" s="618"/>
      <c r="AM677" s="3"/>
      <c r="AN677" s="3"/>
      <c r="AO677" s="3"/>
      <c r="AP677" s="3"/>
      <c r="AQ677" s="3"/>
      <c r="AR677" s="3"/>
      <c r="AS677" s="3"/>
      <c r="AT677" s="3"/>
      <c r="AU677" s="3"/>
      <c r="AV677" s="3"/>
      <c r="AW677" s="3"/>
      <c r="AX677" s="3"/>
      <c r="AY677" s="3"/>
      <c r="AZ677" s="3"/>
      <c r="BA677" s="3"/>
      <c r="BB677" s="3"/>
      <c r="BC677" s="3"/>
      <c r="BD677" s="3"/>
      <c r="BE677" s="3"/>
      <c r="BF677" s="3"/>
    </row>
    <row r="678" spans="1:58" ht="14.25" customHeight="1" x14ac:dyDescent="0.45">
      <c r="A678" s="618"/>
      <c r="B678" s="618"/>
      <c r="C678" s="618"/>
      <c r="D678" s="5"/>
      <c r="E678" s="24"/>
      <c r="F678" s="24"/>
      <c r="G678" s="24"/>
      <c r="H678" s="25"/>
      <c r="I678" s="618"/>
      <c r="J678" s="618"/>
      <c r="K678" s="618"/>
      <c r="L678" s="618"/>
      <c r="M678" s="618"/>
      <c r="N678" s="618"/>
      <c r="O678" s="618"/>
      <c r="P678" s="618"/>
      <c r="Q678" s="618"/>
      <c r="R678" s="618"/>
      <c r="S678" s="618"/>
      <c r="T678" s="618"/>
      <c r="U678" s="618"/>
      <c r="V678" s="618"/>
      <c r="W678" s="618"/>
      <c r="X678" s="618"/>
      <c r="Y678" s="618"/>
      <c r="Z678" s="618"/>
      <c r="AA678" s="618"/>
      <c r="AB678" s="618"/>
      <c r="AC678" s="618"/>
      <c r="AD678" s="618"/>
      <c r="AE678" s="618"/>
      <c r="AF678" s="618"/>
      <c r="AG678" s="618"/>
      <c r="AH678" s="618"/>
      <c r="AI678" s="618"/>
      <c r="AJ678" s="618"/>
      <c r="AK678" s="618"/>
      <c r="AL678" s="618"/>
      <c r="AM678" s="3"/>
      <c r="AN678" s="3"/>
      <c r="AO678" s="3"/>
      <c r="AP678" s="3"/>
      <c r="AQ678" s="3"/>
      <c r="AR678" s="3"/>
      <c r="AS678" s="3"/>
      <c r="AT678" s="3"/>
      <c r="AU678" s="3"/>
      <c r="AV678" s="3"/>
      <c r="AW678" s="3"/>
      <c r="AX678" s="3"/>
      <c r="AY678" s="3"/>
      <c r="AZ678" s="3"/>
      <c r="BA678" s="3"/>
      <c r="BB678" s="3"/>
      <c r="BC678" s="3"/>
      <c r="BD678" s="3"/>
      <c r="BE678" s="3"/>
      <c r="BF678" s="3"/>
    </row>
    <row r="679" spans="1:58" ht="14.25" customHeight="1" x14ac:dyDescent="0.45">
      <c r="A679" s="618"/>
      <c r="B679" s="618"/>
      <c r="C679" s="618"/>
      <c r="D679" s="5"/>
      <c r="E679" s="24"/>
      <c r="F679" s="24"/>
      <c r="G679" s="24"/>
      <c r="H679" s="25"/>
      <c r="I679" s="618"/>
      <c r="J679" s="618"/>
      <c r="K679" s="618"/>
      <c r="L679" s="618"/>
      <c r="M679" s="618"/>
      <c r="N679" s="618"/>
      <c r="O679" s="618"/>
      <c r="P679" s="618"/>
      <c r="Q679" s="618"/>
      <c r="R679" s="618"/>
      <c r="S679" s="618"/>
      <c r="T679" s="618"/>
      <c r="U679" s="618"/>
      <c r="V679" s="618"/>
      <c r="W679" s="618"/>
      <c r="X679" s="618"/>
      <c r="Y679" s="618"/>
      <c r="Z679" s="618"/>
      <c r="AA679" s="618"/>
      <c r="AB679" s="618"/>
      <c r="AC679" s="618"/>
      <c r="AD679" s="618"/>
      <c r="AE679" s="618"/>
      <c r="AF679" s="618"/>
      <c r="AG679" s="618"/>
      <c r="AH679" s="618"/>
      <c r="AI679" s="618"/>
      <c r="AJ679" s="618"/>
      <c r="AK679" s="618"/>
      <c r="AL679" s="618"/>
      <c r="AM679" s="3"/>
      <c r="AN679" s="3"/>
      <c r="AO679" s="3"/>
      <c r="AP679" s="3"/>
      <c r="AQ679" s="3"/>
      <c r="AR679" s="3"/>
      <c r="AS679" s="3"/>
      <c r="AT679" s="3"/>
      <c r="AU679" s="3"/>
      <c r="AV679" s="3"/>
      <c r="AW679" s="3"/>
      <c r="AX679" s="3"/>
      <c r="AY679" s="3"/>
      <c r="AZ679" s="3"/>
      <c r="BA679" s="3"/>
      <c r="BB679" s="3"/>
      <c r="BC679" s="3"/>
      <c r="BD679" s="3"/>
      <c r="BE679" s="3"/>
      <c r="BF679" s="3"/>
    </row>
    <row r="680" spans="1:58" ht="14.25" customHeight="1" x14ac:dyDescent="0.45">
      <c r="A680" s="618"/>
      <c r="B680" s="618"/>
      <c r="C680" s="618"/>
      <c r="D680" s="5"/>
      <c r="E680" s="24"/>
      <c r="F680" s="24"/>
      <c r="G680" s="24"/>
      <c r="H680" s="25"/>
      <c r="I680" s="618"/>
      <c r="J680" s="618"/>
      <c r="K680" s="618"/>
      <c r="L680" s="618"/>
      <c r="M680" s="618"/>
      <c r="N680" s="618"/>
      <c r="O680" s="618"/>
      <c r="P680" s="618"/>
      <c r="Q680" s="618"/>
      <c r="R680" s="618"/>
      <c r="S680" s="618"/>
      <c r="T680" s="618"/>
      <c r="U680" s="618"/>
      <c r="V680" s="618"/>
      <c r="W680" s="618"/>
      <c r="X680" s="618"/>
      <c r="Y680" s="618"/>
      <c r="Z680" s="618"/>
      <c r="AA680" s="618"/>
      <c r="AB680" s="618"/>
      <c r="AC680" s="618"/>
      <c r="AD680" s="618"/>
      <c r="AE680" s="618"/>
      <c r="AF680" s="618"/>
      <c r="AG680" s="618"/>
      <c r="AH680" s="618"/>
      <c r="AI680" s="618"/>
      <c r="AJ680" s="618"/>
      <c r="AK680" s="618"/>
      <c r="AL680" s="618"/>
      <c r="AM680" s="3"/>
      <c r="AN680" s="3"/>
      <c r="AO680" s="3"/>
      <c r="AP680" s="3"/>
      <c r="AQ680" s="3"/>
      <c r="AR680" s="3"/>
      <c r="AS680" s="3"/>
      <c r="AT680" s="3"/>
      <c r="AU680" s="3"/>
      <c r="AV680" s="3"/>
      <c r="AW680" s="3"/>
      <c r="AX680" s="3"/>
      <c r="AY680" s="3"/>
      <c r="AZ680" s="3"/>
      <c r="BA680" s="3"/>
      <c r="BB680" s="3"/>
      <c r="BC680" s="3"/>
      <c r="BD680" s="3"/>
      <c r="BE680" s="3"/>
      <c r="BF680" s="3"/>
    </row>
    <row r="681" spans="1:58" ht="14.25" customHeight="1" x14ac:dyDescent="0.45">
      <c r="A681" s="618"/>
      <c r="B681" s="618"/>
      <c r="C681" s="618"/>
      <c r="D681" s="5"/>
      <c r="E681" s="24"/>
      <c r="F681" s="24"/>
      <c r="G681" s="24"/>
      <c r="H681" s="25"/>
      <c r="I681" s="618"/>
      <c r="J681" s="618"/>
      <c r="K681" s="618"/>
      <c r="L681" s="618"/>
      <c r="M681" s="618"/>
      <c r="N681" s="618"/>
      <c r="O681" s="618"/>
      <c r="P681" s="618"/>
      <c r="Q681" s="618"/>
      <c r="R681" s="618"/>
      <c r="S681" s="618"/>
      <c r="T681" s="618"/>
      <c r="U681" s="618"/>
      <c r="V681" s="618"/>
      <c r="W681" s="618"/>
      <c r="X681" s="618"/>
      <c r="Y681" s="618"/>
      <c r="Z681" s="618"/>
      <c r="AA681" s="618"/>
      <c r="AB681" s="618"/>
      <c r="AC681" s="618"/>
      <c r="AD681" s="618"/>
      <c r="AE681" s="618"/>
      <c r="AF681" s="618"/>
      <c r="AG681" s="618"/>
      <c r="AH681" s="618"/>
      <c r="AI681" s="618"/>
      <c r="AJ681" s="618"/>
      <c r="AK681" s="618"/>
      <c r="AL681" s="618"/>
      <c r="AM681" s="3"/>
      <c r="AN681" s="3"/>
      <c r="AO681" s="3"/>
      <c r="AP681" s="3"/>
      <c r="AQ681" s="3"/>
      <c r="AR681" s="3"/>
      <c r="AS681" s="3"/>
      <c r="AT681" s="3"/>
      <c r="AU681" s="3"/>
      <c r="AV681" s="3"/>
      <c r="AW681" s="3"/>
      <c r="AX681" s="3"/>
      <c r="AY681" s="3"/>
      <c r="AZ681" s="3"/>
      <c r="BA681" s="3"/>
      <c r="BB681" s="3"/>
      <c r="BC681" s="3"/>
      <c r="BD681" s="3"/>
      <c r="BE681" s="3"/>
      <c r="BF681" s="3"/>
    </row>
    <row r="682" spans="1:58" ht="14.25" customHeight="1" x14ac:dyDescent="0.45">
      <c r="A682" s="618"/>
      <c r="B682" s="618"/>
      <c r="C682" s="618"/>
      <c r="D682" s="5"/>
      <c r="E682" s="24"/>
      <c r="F682" s="24"/>
      <c r="G682" s="24"/>
      <c r="H682" s="25"/>
      <c r="I682" s="618"/>
      <c r="J682" s="618"/>
      <c r="K682" s="618"/>
      <c r="L682" s="618"/>
      <c r="M682" s="618"/>
      <c r="N682" s="618"/>
      <c r="O682" s="618"/>
      <c r="P682" s="618"/>
      <c r="Q682" s="618"/>
      <c r="R682" s="618"/>
      <c r="S682" s="618"/>
      <c r="T682" s="618"/>
      <c r="U682" s="618"/>
      <c r="V682" s="618"/>
      <c r="W682" s="618"/>
      <c r="X682" s="618"/>
      <c r="Y682" s="618"/>
      <c r="Z682" s="618"/>
      <c r="AA682" s="618"/>
      <c r="AB682" s="618"/>
      <c r="AC682" s="618"/>
      <c r="AD682" s="618"/>
      <c r="AE682" s="618"/>
      <c r="AF682" s="618"/>
      <c r="AG682" s="618"/>
      <c r="AH682" s="618"/>
      <c r="AI682" s="618"/>
      <c r="AJ682" s="618"/>
      <c r="AK682" s="618"/>
      <c r="AL682" s="618"/>
      <c r="AM682" s="3"/>
      <c r="AN682" s="3"/>
      <c r="AO682" s="3"/>
      <c r="AP682" s="3"/>
      <c r="AQ682" s="3"/>
      <c r="AR682" s="3"/>
      <c r="AS682" s="3"/>
      <c r="AT682" s="3"/>
      <c r="AU682" s="3"/>
      <c r="AV682" s="3"/>
      <c r="AW682" s="3"/>
      <c r="AX682" s="3"/>
      <c r="AY682" s="3"/>
      <c r="AZ682" s="3"/>
      <c r="BA682" s="3"/>
      <c r="BB682" s="3"/>
      <c r="BC682" s="3"/>
      <c r="BD682" s="3"/>
      <c r="BE682" s="3"/>
      <c r="BF682" s="3"/>
    </row>
    <row r="683" spans="1:58" ht="14.25" customHeight="1" x14ac:dyDescent="0.45">
      <c r="A683" s="618"/>
      <c r="B683" s="618"/>
      <c r="C683" s="618"/>
      <c r="D683" s="5"/>
      <c r="E683" s="24"/>
      <c r="F683" s="24"/>
      <c r="G683" s="24"/>
      <c r="H683" s="25"/>
      <c r="I683" s="618"/>
      <c r="J683" s="618"/>
      <c r="K683" s="618"/>
      <c r="L683" s="618"/>
      <c r="M683" s="618"/>
      <c r="N683" s="618"/>
      <c r="O683" s="618"/>
      <c r="P683" s="618"/>
      <c r="Q683" s="618"/>
      <c r="R683" s="618"/>
      <c r="S683" s="618"/>
      <c r="T683" s="618"/>
      <c r="U683" s="618"/>
      <c r="V683" s="618"/>
      <c r="W683" s="618"/>
      <c r="X683" s="618"/>
      <c r="Y683" s="618"/>
      <c r="Z683" s="618"/>
      <c r="AA683" s="618"/>
      <c r="AB683" s="618"/>
      <c r="AC683" s="618"/>
      <c r="AD683" s="618"/>
      <c r="AE683" s="618"/>
      <c r="AF683" s="618"/>
      <c r="AG683" s="618"/>
      <c r="AH683" s="618"/>
      <c r="AI683" s="618"/>
      <c r="AJ683" s="618"/>
      <c r="AK683" s="618"/>
      <c r="AL683" s="618"/>
      <c r="AM683" s="3"/>
      <c r="AN683" s="3"/>
      <c r="AO683" s="3"/>
      <c r="AP683" s="3"/>
      <c r="AQ683" s="3"/>
      <c r="AR683" s="3"/>
      <c r="AS683" s="3"/>
      <c r="AT683" s="3"/>
      <c r="AU683" s="3"/>
      <c r="AV683" s="3"/>
      <c r="AW683" s="3"/>
      <c r="AX683" s="3"/>
      <c r="AY683" s="3"/>
      <c r="AZ683" s="3"/>
      <c r="BA683" s="3"/>
      <c r="BB683" s="3"/>
      <c r="BC683" s="3"/>
      <c r="BD683" s="3"/>
      <c r="BE683" s="3"/>
      <c r="BF683" s="3"/>
    </row>
    <row r="684" spans="1:58" ht="14.25" customHeight="1" x14ac:dyDescent="0.45">
      <c r="A684" s="618"/>
      <c r="B684" s="618"/>
      <c r="C684" s="618"/>
      <c r="D684" s="5"/>
      <c r="E684" s="24"/>
      <c r="F684" s="24"/>
      <c r="G684" s="24"/>
      <c r="H684" s="25"/>
      <c r="I684" s="618"/>
      <c r="J684" s="618"/>
      <c r="K684" s="618"/>
      <c r="L684" s="618"/>
      <c r="M684" s="618"/>
      <c r="N684" s="618"/>
      <c r="O684" s="618"/>
      <c r="P684" s="618"/>
      <c r="Q684" s="618"/>
      <c r="R684" s="618"/>
      <c r="S684" s="618"/>
      <c r="T684" s="618"/>
      <c r="U684" s="618"/>
      <c r="V684" s="618"/>
      <c r="W684" s="618"/>
      <c r="X684" s="618"/>
      <c r="Y684" s="618"/>
      <c r="Z684" s="618"/>
      <c r="AA684" s="618"/>
      <c r="AB684" s="618"/>
      <c r="AC684" s="618"/>
      <c r="AD684" s="618"/>
      <c r="AE684" s="618"/>
      <c r="AF684" s="618"/>
      <c r="AG684" s="618"/>
      <c r="AH684" s="618"/>
      <c r="AI684" s="618"/>
      <c r="AJ684" s="618"/>
      <c r="AK684" s="618"/>
      <c r="AL684" s="618"/>
      <c r="AM684" s="3"/>
      <c r="AN684" s="3"/>
      <c r="AO684" s="3"/>
      <c r="AP684" s="3"/>
      <c r="AQ684" s="3"/>
      <c r="AR684" s="3"/>
      <c r="AS684" s="3"/>
      <c r="AT684" s="3"/>
      <c r="AU684" s="3"/>
      <c r="AV684" s="3"/>
      <c r="AW684" s="3"/>
      <c r="AX684" s="3"/>
      <c r="AY684" s="3"/>
      <c r="AZ684" s="3"/>
      <c r="BA684" s="3"/>
      <c r="BB684" s="3"/>
      <c r="BC684" s="3"/>
      <c r="BD684" s="3"/>
      <c r="BE684" s="3"/>
      <c r="BF684" s="3"/>
    </row>
    <row r="685" spans="1:58" ht="14.25" customHeight="1" x14ac:dyDescent="0.45">
      <c r="A685" s="618"/>
      <c r="B685" s="618"/>
      <c r="C685" s="618"/>
      <c r="D685" s="5"/>
      <c r="E685" s="24"/>
      <c r="F685" s="24"/>
      <c r="G685" s="24"/>
      <c r="H685" s="25"/>
      <c r="I685" s="618"/>
      <c r="J685" s="618"/>
      <c r="K685" s="618"/>
      <c r="L685" s="618"/>
      <c r="M685" s="618"/>
      <c r="N685" s="618"/>
      <c r="O685" s="618"/>
      <c r="P685" s="618"/>
      <c r="Q685" s="618"/>
      <c r="R685" s="618"/>
      <c r="S685" s="618"/>
      <c r="T685" s="618"/>
      <c r="U685" s="618"/>
      <c r="V685" s="618"/>
      <c r="W685" s="618"/>
      <c r="X685" s="618"/>
      <c r="Y685" s="618"/>
      <c r="Z685" s="618"/>
      <c r="AA685" s="618"/>
      <c r="AB685" s="618"/>
      <c r="AC685" s="618"/>
      <c r="AD685" s="618"/>
      <c r="AE685" s="618"/>
      <c r="AF685" s="618"/>
      <c r="AG685" s="618"/>
      <c r="AH685" s="618"/>
      <c r="AI685" s="618"/>
      <c r="AJ685" s="618"/>
      <c r="AK685" s="618"/>
      <c r="AL685" s="618"/>
      <c r="AM685" s="3"/>
      <c r="AN685" s="3"/>
      <c r="AO685" s="3"/>
      <c r="AP685" s="3"/>
      <c r="AQ685" s="3"/>
      <c r="AR685" s="3"/>
      <c r="AS685" s="3"/>
      <c r="AT685" s="3"/>
      <c r="AU685" s="3"/>
      <c r="AV685" s="3"/>
      <c r="AW685" s="3"/>
      <c r="AX685" s="3"/>
      <c r="AY685" s="3"/>
      <c r="AZ685" s="3"/>
      <c r="BA685" s="3"/>
      <c r="BB685" s="3"/>
      <c r="BC685" s="3"/>
      <c r="BD685" s="3"/>
      <c r="BE685" s="3"/>
      <c r="BF685" s="3"/>
    </row>
    <row r="686" spans="1:58" ht="14.25" customHeight="1" x14ac:dyDescent="0.45">
      <c r="A686" s="618"/>
      <c r="B686" s="618"/>
      <c r="C686" s="618"/>
      <c r="D686" s="5"/>
      <c r="E686" s="24"/>
      <c r="F686" s="24"/>
      <c r="G686" s="24"/>
      <c r="H686" s="25"/>
      <c r="I686" s="618"/>
      <c r="J686" s="618"/>
      <c r="K686" s="618"/>
      <c r="L686" s="618"/>
      <c r="M686" s="618"/>
      <c r="N686" s="618"/>
      <c r="O686" s="618"/>
      <c r="P686" s="618"/>
      <c r="Q686" s="618"/>
      <c r="R686" s="618"/>
      <c r="S686" s="618"/>
      <c r="T686" s="618"/>
      <c r="U686" s="618"/>
      <c r="V686" s="618"/>
      <c r="W686" s="618"/>
      <c r="X686" s="618"/>
      <c r="Y686" s="618"/>
      <c r="Z686" s="618"/>
      <c r="AA686" s="618"/>
      <c r="AB686" s="618"/>
      <c r="AC686" s="618"/>
      <c r="AD686" s="618"/>
      <c r="AE686" s="618"/>
      <c r="AF686" s="618"/>
      <c r="AG686" s="618"/>
      <c r="AH686" s="618"/>
      <c r="AI686" s="618"/>
      <c r="AJ686" s="618"/>
      <c r="AK686" s="618"/>
      <c r="AL686" s="618"/>
      <c r="AM686" s="3"/>
      <c r="AN686" s="3"/>
      <c r="AO686" s="3"/>
      <c r="AP686" s="3"/>
      <c r="AQ686" s="3"/>
      <c r="AR686" s="3"/>
      <c r="AS686" s="3"/>
      <c r="AT686" s="3"/>
      <c r="AU686" s="3"/>
      <c r="AV686" s="3"/>
      <c r="AW686" s="3"/>
      <c r="AX686" s="3"/>
      <c r="AY686" s="3"/>
      <c r="AZ686" s="3"/>
      <c r="BA686" s="3"/>
      <c r="BB686" s="3"/>
      <c r="BC686" s="3"/>
      <c r="BD686" s="3"/>
      <c r="BE686" s="3"/>
      <c r="BF686" s="3"/>
    </row>
    <row r="687" spans="1:58" ht="14.25" customHeight="1" x14ac:dyDescent="0.45">
      <c r="A687" s="618"/>
      <c r="B687" s="618"/>
      <c r="C687" s="618"/>
      <c r="D687" s="5"/>
      <c r="E687" s="24"/>
      <c r="F687" s="24"/>
      <c r="G687" s="24"/>
      <c r="H687" s="25"/>
      <c r="I687" s="618"/>
      <c r="J687" s="618"/>
      <c r="K687" s="618"/>
      <c r="L687" s="618"/>
      <c r="M687" s="618"/>
      <c r="N687" s="618"/>
      <c r="O687" s="618"/>
      <c r="P687" s="618"/>
      <c r="Q687" s="618"/>
      <c r="R687" s="618"/>
      <c r="S687" s="618"/>
      <c r="T687" s="618"/>
      <c r="U687" s="618"/>
      <c r="V687" s="618"/>
      <c r="W687" s="618"/>
      <c r="X687" s="618"/>
      <c r="Y687" s="618"/>
      <c r="Z687" s="618"/>
      <c r="AA687" s="618"/>
      <c r="AB687" s="618"/>
      <c r="AC687" s="618"/>
      <c r="AD687" s="618"/>
      <c r="AE687" s="618"/>
      <c r="AF687" s="618"/>
      <c r="AG687" s="618"/>
      <c r="AH687" s="618"/>
      <c r="AI687" s="618"/>
      <c r="AJ687" s="618"/>
      <c r="AK687" s="618"/>
      <c r="AL687" s="618"/>
      <c r="AM687" s="3"/>
      <c r="AN687" s="3"/>
      <c r="AO687" s="3"/>
      <c r="AP687" s="3"/>
      <c r="AQ687" s="3"/>
      <c r="AR687" s="3"/>
      <c r="AS687" s="3"/>
      <c r="AT687" s="3"/>
      <c r="AU687" s="3"/>
      <c r="AV687" s="3"/>
      <c r="AW687" s="3"/>
      <c r="AX687" s="3"/>
      <c r="AY687" s="3"/>
      <c r="AZ687" s="3"/>
      <c r="BA687" s="3"/>
      <c r="BB687" s="3"/>
      <c r="BC687" s="3"/>
      <c r="BD687" s="3"/>
      <c r="BE687" s="3"/>
      <c r="BF687" s="3"/>
    </row>
    <row r="688" spans="1:58" ht="14.25" customHeight="1" x14ac:dyDescent="0.45">
      <c r="A688" s="618"/>
      <c r="B688" s="618"/>
      <c r="C688" s="618"/>
      <c r="D688" s="5"/>
      <c r="E688" s="24"/>
      <c r="F688" s="24"/>
      <c r="G688" s="24"/>
      <c r="H688" s="25"/>
      <c r="I688" s="618"/>
      <c r="J688" s="618"/>
      <c r="K688" s="618"/>
      <c r="L688" s="618"/>
      <c r="M688" s="618"/>
      <c r="N688" s="618"/>
      <c r="O688" s="618"/>
      <c r="P688" s="618"/>
      <c r="Q688" s="618"/>
      <c r="R688" s="618"/>
      <c r="S688" s="618"/>
      <c r="T688" s="618"/>
      <c r="U688" s="618"/>
      <c r="V688" s="618"/>
      <c r="W688" s="618"/>
      <c r="X688" s="618"/>
      <c r="Y688" s="618"/>
      <c r="Z688" s="618"/>
      <c r="AA688" s="618"/>
      <c r="AB688" s="618"/>
      <c r="AC688" s="618"/>
      <c r="AD688" s="618"/>
      <c r="AE688" s="618"/>
      <c r="AF688" s="618"/>
      <c r="AG688" s="618"/>
      <c r="AH688" s="618"/>
      <c r="AI688" s="618"/>
      <c r="AJ688" s="618"/>
      <c r="AK688" s="618"/>
      <c r="AL688" s="618"/>
      <c r="AM688" s="3"/>
      <c r="AN688" s="3"/>
      <c r="AO688" s="3"/>
      <c r="AP688" s="3"/>
      <c r="AQ688" s="3"/>
      <c r="AR688" s="3"/>
      <c r="AS688" s="3"/>
      <c r="AT688" s="3"/>
      <c r="AU688" s="3"/>
      <c r="AV688" s="3"/>
      <c r="AW688" s="3"/>
      <c r="AX688" s="3"/>
      <c r="AY688" s="3"/>
      <c r="AZ688" s="3"/>
      <c r="BA688" s="3"/>
      <c r="BB688" s="3"/>
      <c r="BC688" s="3"/>
      <c r="BD688" s="3"/>
      <c r="BE688" s="3"/>
      <c r="BF688" s="3"/>
    </row>
    <row r="689" spans="1:58" ht="14.25" customHeight="1" x14ac:dyDescent="0.45">
      <c r="A689" s="618"/>
      <c r="B689" s="618"/>
      <c r="C689" s="618"/>
      <c r="D689" s="5"/>
      <c r="E689" s="24"/>
      <c r="F689" s="24"/>
      <c r="G689" s="24"/>
      <c r="H689" s="25"/>
      <c r="I689" s="618"/>
      <c r="J689" s="618"/>
      <c r="K689" s="618"/>
      <c r="L689" s="618"/>
      <c r="M689" s="618"/>
      <c r="N689" s="618"/>
      <c r="O689" s="618"/>
      <c r="P689" s="618"/>
      <c r="Q689" s="618"/>
      <c r="R689" s="618"/>
      <c r="S689" s="618"/>
      <c r="T689" s="618"/>
      <c r="U689" s="618"/>
      <c r="V689" s="618"/>
      <c r="W689" s="618"/>
      <c r="X689" s="618"/>
      <c r="Y689" s="618"/>
      <c r="Z689" s="618"/>
      <c r="AA689" s="618"/>
      <c r="AB689" s="618"/>
      <c r="AC689" s="618"/>
      <c r="AD689" s="618"/>
      <c r="AE689" s="618"/>
      <c r="AF689" s="618"/>
      <c r="AG689" s="618"/>
      <c r="AH689" s="618"/>
      <c r="AI689" s="618"/>
      <c r="AJ689" s="618"/>
      <c r="AK689" s="618"/>
      <c r="AL689" s="618"/>
      <c r="AM689" s="3"/>
      <c r="AN689" s="3"/>
      <c r="AO689" s="3"/>
      <c r="AP689" s="3"/>
      <c r="AQ689" s="3"/>
      <c r="AR689" s="3"/>
      <c r="AS689" s="3"/>
      <c r="AT689" s="3"/>
      <c r="AU689" s="3"/>
      <c r="AV689" s="3"/>
      <c r="AW689" s="3"/>
      <c r="AX689" s="3"/>
      <c r="AY689" s="3"/>
      <c r="AZ689" s="3"/>
      <c r="BA689" s="3"/>
      <c r="BB689" s="3"/>
      <c r="BC689" s="3"/>
      <c r="BD689" s="3"/>
      <c r="BE689" s="3"/>
      <c r="BF689" s="3"/>
    </row>
    <row r="690" spans="1:58" ht="14.25" customHeight="1" x14ac:dyDescent="0.45">
      <c r="A690" s="618"/>
      <c r="B690" s="618"/>
      <c r="C690" s="618"/>
      <c r="D690" s="5"/>
      <c r="E690" s="24"/>
      <c r="F690" s="24"/>
      <c r="G690" s="24"/>
      <c r="H690" s="25"/>
      <c r="I690" s="618"/>
      <c r="J690" s="618"/>
      <c r="K690" s="618"/>
      <c r="L690" s="618"/>
      <c r="M690" s="618"/>
      <c r="N690" s="618"/>
      <c r="O690" s="618"/>
      <c r="P690" s="618"/>
      <c r="Q690" s="618"/>
      <c r="R690" s="618"/>
      <c r="S690" s="618"/>
      <c r="T690" s="618"/>
      <c r="U690" s="618"/>
      <c r="V690" s="618"/>
      <c r="W690" s="618"/>
      <c r="X690" s="618"/>
      <c r="Y690" s="618"/>
      <c r="Z690" s="618"/>
      <c r="AA690" s="618"/>
      <c r="AB690" s="618"/>
      <c r="AC690" s="618"/>
      <c r="AD690" s="618"/>
      <c r="AE690" s="618"/>
      <c r="AF690" s="618"/>
      <c r="AG690" s="618"/>
      <c r="AH690" s="618"/>
      <c r="AI690" s="618"/>
      <c r="AJ690" s="618"/>
      <c r="AK690" s="618"/>
      <c r="AL690" s="618"/>
      <c r="AM690" s="3"/>
      <c r="AN690" s="3"/>
      <c r="AO690" s="3"/>
      <c r="AP690" s="3"/>
      <c r="AQ690" s="3"/>
      <c r="AR690" s="3"/>
      <c r="AS690" s="3"/>
      <c r="AT690" s="3"/>
      <c r="AU690" s="3"/>
      <c r="AV690" s="3"/>
      <c r="AW690" s="3"/>
      <c r="AX690" s="3"/>
      <c r="AY690" s="3"/>
      <c r="AZ690" s="3"/>
      <c r="BA690" s="3"/>
      <c r="BB690" s="3"/>
      <c r="BC690" s="3"/>
      <c r="BD690" s="3"/>
      <c r="BE690" s="3"/>
      <c r="BF690" s="3"/>
    </row>
    <row r="691" spans="1:58" ht="14.25" customHeight="1" x14ac:dyDescent="0.45">
      <c r="A691" s="618"/>
      <c r="B691" s="618"/>
      <c r="C691" s="618"/>
      <c r="D691" s="5"/>
      <c r="E691" s="24"/>
      <c r="F691" s="24"/>
      <c r="G691" s="24"/>
      <c r="H691" s="25"/>
      <c r="I691" s="618"/>
      <c r="J691" s="618"/>
      <c r="K691" s="618"/>
      <c r="L691" s="618"/>
      <c r="M691" s="618"/>
      <c r="N691" s="618"/>
      <c r="O691" s="618"/>
      <c r="P691" s="618"/>
      <c r="Q691" s="618"/>
      <c r="R691" s="618"/>
      <c r="S691" s="618"/>
      <c r="T691" s="618"/>
      <c r="U691" s="618"/>
      <c r="V691" s="618"/>
      <c r="W691" s="618"/>
      <c r="X691" s="618"/>
      <c r="Y691" s="618"/>
      <c r="Z691" s="618"/>
      <c r="AA691" s="618"/>
      <c r="AB691" s="618"/>
      <c r="AC691" s="618"/>
      <c r="AD691" s="618"/>
      <c r="AE691" s="618"/>
      <c r="AF691" s="618"/>
      <c r="AG691" s="618"/>
      <c r="AH691" s="618"/>
      <c r="AI691" s="618"/>
      <c r="AJ691" s="618"/>
      <c r="AK691" s="618"/>
      <c r="AL691" s="618"/>
      <c r="AM691" s="3"/>
      <c r="AN691" s="3"/>
      <c r="AO691" s="3"/>
      <c r="AP691" s="3"/>
      <c r="AQ691" s="3"/>
      <c r="AR691" s="3"/>
      <c r="AS691" s="3"/>
      <c r="AT691" s="3"/>
      <c r="AU691" s="3"/>
      <c r="AV691" s="3"/>
      <c r="AW691" s="3"/>
      <c r="AX691" s="3"/>
      <c r="AY691" s="3"/>
      <c r="AZ691" s="3"/>
      <c r="BA691" s="3"/>
      <c r="BB691" s="3"/>
      <c r="BC691" s="3"/>
      <c r="BD691" s="3"/>
      <c r="BE691" s="3"/>
      <c r="BF691" s="3"/>
    </row>
    <row r="692" spans="1:58" ht="14.25" customHeight="1" x14ac:dyDescent="0.45">
      <c r="A692" s="618"/>
      <c r="B692" s="618"/>
      <c r="C692" s="618"/>
      <c r="D692" s="5"/>
      <c r="E692" s="24"/>
      <c r="F692" s="24"/>
      <c r="G692" s="24"/>
      <c r="H692" s="25"/>
      <c r="I692" s="618"/>
      <c r="J692" s="618"/>
      <c r="K692" s="618"/>
      <c r="L692" s="618"/>
      <c r="M692" s="618"/>
      <c r="N692" s="618"/>
      <c r="O692" s="618"/>
      <c r="P692" s="618"/>
      <c r="Q692" s="618"/>
      <c r="R692" s="618"/>
      <c r="S692" s="618"/>
      <c r="T692" s="618"/>
      <c r="U692" s="618"/>
      <c r="V692" s="618"/>
      <c r="W692" s="618"/>
      <c r="X692" s="618"/>
      <c r="Y692" s="618"/>
      <c r="Z692" s="618"/>
      <c r="AA692" s="618"/>
      <c r="AB692" s="618"/>
      <c r="AC692" s="618"/>
      <c r="AD692" s="618"/>
      <c r="AE692" s="618"/>
      <c r="AF692" s="618"/>
      <c r="AG692" s="618"/>
      <c r="AH692" s="618"/>
      <c r="AI692" s="618"/>
      <c r="AJ692" s="618"/>
      <c r="AK692" s="618"/>
      <c r="AL692" s="618"/>
      <c r="AM692" s="3"/>
      <c r="AN692" s="3"/>
      <c r="AO692" s="3"/>
      <c r="AP692" s="3"/>
      <c r="AQ692" s="3"/>
      <c r="AR692" s="3"/>
      <c r="AS692" s="3"/>
      <c r="AT692" s="3"/>
      <c r="AU692" s="3"/>
      <c r="AV692" s="3"/>
      <c r="AW692" s="3"/>
      <c r="AX692" s="3"/>
      <c r="AY692" s="3"/>
      <c r="AZ692" s="3"/>
      <c r="BA692" s="3"/>
      <c r="BB692" s="3"/>
      <c r="BC692" s="3"/>
      <c r="BD692" s="3"/>
      <c r="BE692" s="3"/>
      <c r="BF692" s="3"/>
    </row>
    <row r="693" spans="1:58" ht="14.25" customHeight="1" x14ac:dyDescent="0.45">
      <c r="A693" s="618"/>
      <c r="B693" s="618"/>
      <c r="C693" s="618"/>
      <c r="D693" s="5"/>
      <c r="E693" s="24"/>
      <c r="F693" s="24"/>
      <c r="G693" s="24"/>
      <c r="H693" s="25"/>
      <c r="I693" s="618"/>
      <c r="J693" s="618"/>
      <c r="K693" s="618"/>
      <c r="L693" s="618"/>
      <c r="M693" s="618"/>
      <c r="N693" s="618"/>
      <c r="O693" s="618"/>
      <c r="P693" s="618"/>
      <c r="Q693" s="618"/>
      <c r="R693" s="618"/>
      <c r="S693" s="618"/>
      <c r="T693" s="618"/>
      <c r="U693" s="618"/>
      <c r="V693" s="618"/>
      <c r="W693" s="618"/>
      <c r="X693" s="618"/>
      <c r="Y693" s="618"/>
      <c r="Z693" s="618"/>
      <c r="AA693" s="618"/>
      <c r="AB693" s="618"/>
      <c r="AC693" s="618"/>
      <c r="AD693" s="618"/>
      <c r="AE693" s="618"/>
      <c r="AF693" s="618"/>
      <c r="AG693" s="618"/>
      <c r="AH693" s="618"/>
      <c r="AI693" s="618"/>
      <c r="AJ693" s="618"/>
      <c r="AK693" s="618"/>
      <c r="AL693" s="618"/>
      <c r="AM693" s="3"/>
      <c r="AN693" s="3"/>
      <c r="AO693" s="3"/>
      <c r="AP693" s="3"/>
      <c r="AQ693" s="3"/>
      <c r="AR693" s="3"/>
      <c r="AS693" s="3"/>
      <c r="AT693" s="3"/>
      <c r="AU693" s="3"/>
      <c r="AV693" s="3"/>
      <c r="AW693" s="3"/>
      <c r="AX693" s="3"/>
      <c r="AY693" s="3"/>
      <c r="AZ693" s="3"/>
      <c r="BA693" s="3"/>
      <c r="BB693" s="3"/>
      <c r="BC693" s="3"/>
      <c r="BD693" s="3"/>
      <c r="BE693" s="3"/>
      <c r="BF693" s="3"/>
    </row>
    <row r="694" spans="1:58" ht="14.25" customHeight="1" x14ac:dyDescent="0.45">
      <c r="A694" s="618"/>
      <c r="B694" s="618"/>
      <c r="C694" s="618"/>
      <c r="D694" s="5"/>
      <c r="E694" s="24"/>
      <c r="F694" s="24"/>
      <c r="G694" s="24"/>
      <c r="H694" s="25"/>
      <c r="I694" s="618"/>
      <c r="J694" s="618"/>
      <c r="K694" s="618"/>
      <c r="L694" s="618"/>
      <c r="M694" s="618"/>
      <c r="N694" s="618"/>
      <c r="O694" s="618"/>
      <c r="P694" s="618"/>
      <c r="Q694" s="618"/>
      <c r="R694" s="618"/>
      <c r="S694" s="618"/>
      <c r="T694" s="618"/>
      <c r="U694" s="618"/>
      <c r="V694" s="618"/>
      <c r="W694" s="618"/>
      <c r="X694" s="618"/>
      <c r="Y694" s="618"/>
      <c r="Z694" s="618"/>
      <c r="AA694" s="618"/>
      <c r="AB694" s="618"/>
      <c r="AC694" s="618"/>
      <c r="AD694" s="618"/>
      <c r="AE694" s="618"/>
      <c r="AF694" s="618"/>
      <c r="AG694" s="618"/>
      <c r="AH694" s="618"/>
      <c r="AI694" s="618"/>
      <c r="AJ694" s="618"/>
      <c r="AK694" s="618"/>
      <c r="AL694" s="618"/>
      <c r="AM694" s="3"/>
      <c r="AN694" s="3"/>
      <c r="AO694" s="3"/>
      <c r="AP694" s="3"/>
      <c r="AQ694" s="3"/>
      <c r="AR694" s="3"/>
      <c r="AS694" s="3"/>
      <c r="AT694" s="3"/>
      <c r="AU694" s="3"/>
      <c r="AV694" s="3"/>
      <c r="AW694" s="3"/>
      <c r="AX694" s="3"/>
      <c r="AY694" s="3"/>
      <c r="AZ694" s="3"/>
      <c r="BA694" s="3"/>
      <c r="BB694" s="3"/>
      <c r="BC694" s="3"/>
      <c r="BD694" s="3"/>
      <c r="BE694" s="3"/>
      <c r="BF694" s="3"/>
    </row>
    <row r="695" spans="1:58" ht="14.25" customHeight="1" x14ac:dyDescent="0.45">
      <c r="A695" s="618"/>
      <c r="B695" s="618"/>
      <c r="C695" s="618"/>
      <c r="D695" s="5"/>
      <c r="E695" s="24"/>
      <c r="F695" s="24"/>
      <c r="G695" s="24"/>
      <c r="H695" s="25"/>
      <c r="I695" s="618"/>
      <c r="J695" s="618"/>
      <c r="K695" s="618"/>
      <c r="L695" s="618"/>
      <c r="M695" s="618"/>
      <c r="N695" s="618"/>
      <c r="O695" s="618"/>
      <c r="P695" s="618"/>
      <c r="Q695" s="618"/>
      <c r="R695" s="618"/>
      <c r="S695" s="618"/>
      <c r="T695" s="618"/>
      <c r="U695" s="618"/>
      <c r="V695" s="618"/>
      <c r="W695" s="618"/>
      <c r="X695" s="618"/>
      <c r="Y695" s="618"/>
      <c r="Z695" s="618"/>
      <c r="AA695" s="618"/>
      <c r="AB695" s="618"/>
      <c r="AC695" s="618"/>
      <c r="AD695" s="618"/>
      <c r="AE695" s="618"/>
      <c r="AF695" s="618"/>
      <c r="AG695" s="618"/>
      <c r="AH695" s="618"/>
      <c r="AI695" s="618"/>
      <c r="AJ695" s="618"/>
      <c r="AK695" s="618"/>
      <c r="AL695" s="618"/>
      <c r="AM695" s="3"/>
      <c r="AN695" s="3"/>
      <c r="AO695" s="3"/>
      <c r="AP695" s="3"/>
      <c r="AQ695" s="3"/>
      <c r="AR695" s="3"/>
      <c r="AS695" s="3"/>
      <c r="AT695" s="3"/>
      <c r="AU695" s="3"/>
      <c r="AV695" s="3"/>
      <c r="AW695" s="3"/>
      <c r="AX695" s="3"/>
      <c r="AY695" s="3"/>
      <c r="AZ695" s="3"/>
      <c r="BA695" s="3"/>
      <c r="BB695" s="3"/>
      <c r="BC695" s="3"/>
      <c r="BD695" s="3"/>
      <c r="BE695" s="3"/>
      <c r="BF695" s="3"/>
    </row>
    <row r="696" spans="1:58" ht="14.25" customHeight="1" x14ac:dyDescent="0.45">
      <c r="A696" s="618"/>
      <c r="B696" s="618"/>
      <c r="C696" s="618"/>
      <c r="D696" s="5"/>
      <c r="E696" s="24"/>
      <c r="F696" s="24"/>
      <c r="G696" s="24"/>
      <c r="H696" s="25"/>
      <c r="I696" s="618"/>
      <c r="J696" s="618"/>
      <c r="K696" s="618"/>
      <c r="L696" s="618"/>
      <c r="M696" s="618"/>
      <c r="N696" s="618"/>
      <c r="O696" s="618"/>
      <c r="P696" s="618"/>
      <c r="Q696" s="618"/>
      <c r="R696" s="618"/>
      <c r="S696" s="618"/>
      <c r="T696" s="618"/>
      <c r="U696" s="618"/>
      <c r="V696" s="618"/>
      <c r="W696" s="618"/>
      <c r="X696" s="618"/>
      <c r="Y696" s="618"/>
      <c r="Z696" s="618"/>
      <c r="AA696" s="618"/>
      <c r="AB696" s="618"/>
      <c r="AC696" s="618"/>
      <c r="AD696" s="618"/>
      <c r="AE696" s="618"/>
      <c r="AF696" s="618"/>
      <c r="AG696" s="618"/>
      <c r="AH696" s="618"/>
      <c r="AI696" s="618"/>
      <c r="AJ696" s="618"/>
      <c r="AK696" s="618"/>
      <c r="AL696" s="618"/>
      <c r="AM696" s="3"/>
      <c r="AN696" s="3"/>
      <c r="AO696" s="3"/>
      <c r="AP696" s="3"/>
      <c r="AQ696" s="3"/>
      <c r="AR696" s="3"/>
      <c r="AS696" s="3"/>
      <c r="AT696" s="3"/>
      <c r="AU696" s="3"/>
      <c r="AV696" s="3"/>
      <c r="AW696" s="3"/>
      <c r="AX696" s="3"/>
      <c r="AY696" s="3"/>
      <c r="AZ696" s="3"/>
      <c r="BA696" s="3"/>
      <c r="BB696" s="3"/>
      <c r="BC696" s="3"/>
      <c r="BD696" s="3"/>
      <c r="BE696" s="3"/>
      <c r="BF696" s="3"/>
    </row>
    <row r="697" spans="1:58" ht="14.25" customHeight="1" x14ac:dyDescent="0.45">
      <c r="A697" s="618"/>
      <c r="B697" s="618"/>
      <c r="C697" s="618"/>
      <c r="D697" s="5"/>
      <c r="E697" s="24"/>
      <c r="F697" s="24"/>
      <c r="G697" s="24"/>
      <c r="H697" s="25"/>
      <c r="I697" s="618"/>
      <c r="J697" s="618"/>
      <c r="K697" s="618"/>
      <c r="L697" s="618"/>
      <c r="M697" s="618"/>
      <c r="N697" s="618"/>
      <c r="O697" s="618"/>
      <c r="P697" s="618"/>
      <c r="Q697" s="618"/>
      <c r="R697" s="618"/>
      <c r="S697" s="618"/>
      <c r="T697" s="618"/>
      <c r="U697" s="618"/>
      <c r="V697" s="618"/>
      <c r="W697" s="618"/>
      <c r="X697" s="618"/>
      <c r="Y697" s="618"/>
      <c r="Z697" s="618"/>
      <c r="AA697" s="618"/>
      <c r="AB697" s="618"/>
      <c r="AC697" s="618"/>
      <c r="AD697" s="618"/>
      <c r="AE697" s="618"/>
      <c r="AF697" s="618"/>
      <c r="AG697" s="618"/>
      <c r="AH697" s="618"/>
      <c r="AI697" s="618"/>
      <c r="AJ697" s="618"/>
      <c r="AK697" s="618"/>
      <c r="AL697" s="618"/>
      <c r="AM697" s="3"/>
      <c r="AN697" s="3"/>
      <c r="AO697" s="3"/>
      <c r="AP697" s="3"/>
      <c r="AQ697" s="3"/>
      <c r="AR697" s="3"/>
      <c r="AS697" s="3"/>
      <c r="AT697" s="3"/>
      <c r="AU697" s="3"/>
      <c r="AV697" s="3"/>
      <c r="AW697" s="3"/>
      <c r="AX697" s="3"/>
      <c r="AY697" s="3"/>
      <c r="AZ697" s="3"/>
      <c r="BA697" s="3"/>
      <c r="BB697" s="3"/>
      <c r="BC697" s="3"/>
      <c r="BD697" s="3"/>
      <c r="BE697" s="3"/>
      <c r="BF697" s="3"/>
    </row>
    <row r="698" spans="1:58" ht="14.25" customHeight="1" x14ac:dyDescent="0.45">
      <c r="A698" s="618"/>
      <c r="B698" s="618"/>
      <c r="C698" s="618"/>
      <c r="D698" s="5"/>
      <c r="E698" s="24"/>
      <c r="F698" s="24"/>
      <c r="G698" s="24"/>
      <c r="H698" s="25"/>
      <c r="I698" s="618"/>
      <c r="J698" s="618"/>
      <c r="K698" s="618"/>
      <c r="L698" s="618"/>
      <c r="M698" s="618"/>
      <c r="N698" s="618"/>
      <c r="O698" s="618"/>
      <c r="P698" s="618"/>
      <c r="Q698" s="618"/>
      <c r="R698" s="618"/>
      <c r="S698" s="618"/>
      <c r="T698" s="618"/>
      <c r="U698" s="618"/>
      <c r="V698" s="618"/>
      <c r="W698" s="618"/>
      <c r="X698" s="618"/>
      <c r="Y698" s="618"/>
      <c r="Z698" s="618"/>
      <c r="AA698" s="618"/>
      <c r="AB698" s="618"/>
      <c r="AC698" s="618"/>
      <c r="AD698" s="618"/>
      <c r="AE698" s="618"/>
      <c r="AF698" s="618"/>
      <c r="AG698" s="618"/>
      <c r="AH698" s="618"/>
      <c r="AI698" s="618"/>
      <c r="AJ698" s="618"/>
      <c r="AK698" s="618"/>
      <c r="AL698" s="618"/>
      <c r="AM698" s="3"/>
      <c r="AN698" s="3"/>
      <c r="AO698" s="3"/>
      <c r="AP698" s="3"/>
      <c r="AQ698" s="3"/>
      <c r="AR698" s="3"/>
      <c r="AS698" s="3"/>
      <c r="AT698" s="3"/>
      <c r="AU698" s="3"/>
      <c r="AV698" s="3"/>
      <c r="AW698" s="3"/>
      <c r="AX698" s="3"/>
      <c r="AY698" s="3"/>
      <c r="AZ698" s="3"/>
      <c r="BA698" s="3"/>
      <c r="BB698" s="3"/>
      <c r="BC698" s="3"/>
      <c r="BD698" s="3"/>
      <c r="BE698" s="3"/>
      <c r="BF698" s="3"/>
    </row>
    <row r="699" spans="1:58" ht="14.25" customHeight="1" x14ac:dyDescent="0.45">
      <c r="A699" s="618"/>
      <c r="B699" s="618"/>
      <c r="C699" s="618"/>
      <c r="D699" s="5"/>
      <c r="E699" s="24"/>
      <c r="F699" s="24"/>
      <c r="G699" s="24"/>
      <c r="H699" s="25"/>
      <c r="I699" s="618"/>
      <c r="J699" s="618"/>
      <c r="K699" s="618"/>
      <c r="L699" s="618"/>
      <c r="M699" s="618"/>
      <c r="N699" s="618"/>
      <c r="O699" s="618"/>
      <c r="P699" s="618"/>
      <c r="Q699" s="618"/>
      <c r="R699" s="618"/>
      <c r="S699" s="618"/>
      <c r="T699" s="618"/>
      <c r="U699" s="618"/>
      <c r="V699" s="618"/>
      <c r="W699" s="618"/>
      <c r="X699" s="618"/>
      <c r="Y699" s="618"/>
      <c r="Z699" s="618"/>
      <c r="AA699" s="618"/>
      <c r="AB699" s="618"/>
      <c r="AC699" s="618"/>
      <c r="AD699" s="618"/>
      <c r="AE699" s="618"/>
      <c r="AF699" s="618"/>
      <c r="AG699" s="618"/>
      <c r="AH699" s="618"/>
      <c r="AI699" s="618"/>
      <c r="AJ699" s="618"/>
      <c r="AK699" s="618"/>
      <c r="AL699" s="618"/>
      <c r="AM699" s="3"/>
      <c r="AN699" s="3"/>
      <c r="AO699" s="3"/>
      <c r="AP699" s="3"/>
      <c r="AQ699" s="3"/>
      <c r="AR699" s="3"/>
      <c r="AS699" s="3"/>
      <c r="AT699" s="3"/>
      <c r="AU699" s="3"/>
      <c r="AV699" s="3"/>
      <c r="AW699" s="3"/>
      <c r="AX699" s="3"/>
      <c r="AY699" s="3"/>
      <c r="AZ699" s="3"/>
      <c r="BA699" s="3"/>
      <c r="BB699" s="3"/>
      <c r="BC699" s="3"/>
      <c r="BD699" s="3"/>
      <c r="BE699" s="3"/>
      <c r="BF699" s="3"/>
    </row>
    <row r="700" spans="1:58" ht="14.25" customHeight="1" x14ac:dyDescent="0.45">
      <c r="A700" s="618"/>
      <c r="B700" s="618"/>
      <c r="C700" s="618"/>
      <c r="D700" s="5"/>
      <c r="E700" s="24"/>
      <c r="F700" s="24"/>
      <c r="G700" s="24"/>
      <c r="H700" s="25"/>
      <c r="I700" s="618"/>
      <c r="J700" s="618"/>
      <c r="K700" s="618"/>
      <c r="L700" s="618"/>
      <c r="M700" s="618"/>
      <c r="N700" s="618"/>
      <c r="O700" s="618"/>
      <c r="P700" s="618"/>
      <c r="Q700" s="618"/>
      <c r="R700" s="618"/>
      <c r="S700" s="618"/>
      <c r="T700" s="618"/>
      <c r="U700" s="618"/>
      <c r="V700" s="618"/>
      <c r="W700" s="618"/>
      <c r="X700" s="618"/>
      <c r="Y700" s="618"/>
      <c r="Z700" s="618"/>
      <c r="AA700" s="618"/>
      <c r="AB700" s="618"/>
      <c r="AC700" s="618"/>
      <c r="AD700" s="618"/>
      <c r="AE700" s="618"/>
      <c r="AF700" s="618"/>
      <c r="AG700" s="618"/>
      <c r="AH700" s="618"/>
      <c r="AI700" s="618"/>
      <c r="AJ700" s="618"/>
      <c r="AK700" s="618"/>
      <c r="AL700" s="618"/>
      <c r="AM700" s="3"/>
      <c r="AN700" s="3"/>
      <c r="AO700" s="3"/>
      <c r="AP700" s="3"/>
      <c r="AQ700" s="3"/>
      <c r="AR700" s="3"/>
      <c r="AS700" s="3"/>
      <c r="AT700" s="3"/>
      <c r="AU700" s="3"/>
      <c r="AV700" s="3"/>
      <c r="AW700" s="3"/>
      <c r="AX700" s="3"/>
      <c r="AY700" s="3"/>
      <c r="AZ700" s="3"/>
      <c r="BA700" s="3"/>
      <c r="BB700" s="3"/>
      <c r="BC700" s="3"/>
      <c r="BD700" s="3"/>
      <c r="BE700" s="3"/>
      <c r="BF700" s="3"/>
    </row>
    <row r="701" spans="1:58" ht="14.25" customHeight="1" x14ac:dyDescent="0.45">
      <c r="A701" s="618"/>
      <c r="B701" s="618"/>
      <c r="C701" s="618"/>
      <c r="D701" s="5"/>
      <c r="E701" s="24"/>
      <c r="F701" s="24"/>
      <c r="G701" s="24"/>
      <c r="H701" s="25"/>
      <c r="I701" s="618"/>
      <c r="J701" s="618"/>
      <c r="K701" s="618"/>
      <c r="L701" s="618"/>
      <c r="M701" s="618"/>
      <c r="N701" s="618"/>
      <c r="O701" s="618"/>
      <c r="P701" s="618"/>
      <c r="Q701" s="618"/>
      <c r="R701" s="618"/>
      <c r="S701" s="618"/>
      <c r="T701" s="618"/>
      <c r="U701" s="618"/>
      <c r="V701" s="618"/>
      <c r="W701" s="618"/>
      <c r="X701" s="618"/>
      <c r="Y701" s="618"/>
      <c r="Z701" s="618"/>
      <c r="AA701" s="618"/>
      <c r="AB701" s="618"/>
      <c r="AC701" s="618"/>
      <c r="AD701" s="618"/>
      <c r="AE701" s="618"/>
      <c r="AF701" s="618"/>
      <c r="AG701" s="618"/>
      <c r="AH701" s="618"/>
      <c r="AI701" s="618"/>
      <c r="AJ701" s="618"/>
      <c r="AK701" s="618"/>
      <c r="AL701" s="618"/>
      <c r="AM701" s="3"/>
      <c r="AN701" s="3"/>
      <c r="AO701" s="3"/>
      <c r="AP701" s="3"/>
      <c r="AQ701" s="3"/>
      <c r="AR701" s="3"/>
      <c r="AS701" s="3"/>
      <c r="AT701" s="3"/>
      <c r="AU701" s="3"/>
      <c r="AV701" s="3"/>
      <c r="AW701" s="3"/>
      <c r="AX701" s="3"/>
      <c r="AY701" s="3"/>
      <c r="AZ701" s="3"/>
      <c r="BA701" s="3"/>
      <c r="BB701" s="3"/>
      <c r="BC701" s="3"/>
      <c r="BD701" s="3"/>
      <c r="BE701" s="3"/>
      <c r="BF701" s="3"/>
    </row>
    <row r="702" spans="1:58" ht="14.25" customHeight="1" x14ac:dyDescent="0.45">
      <c r="A702" s="618"/>
      <c r="B702" s="618"/>
      <c r="C702" s="618"/>
      <c r="D702" s="5"/>
      <c r="E702" s="24"/>
      <c r="F702" s="24"/>
      <c r="G702" s="24"/>
      <c r="H702" s="25"/>
      <c r="I702" s="618"/>
      <c r="J702" s="618"/>
      <c r="K702" s="618"/>
      <c r="L702" s="618"/>
      <c r="M702" s="618"/>
      <c r="N702" s="618"/>
      <c r="O702" s="618"/>
      <c r="P702" s="618"/>
      <c r="Q702" s="618"/>
      <c r="R702" s="618"/>
      <c r="S702" s="618"/>
      <c r="T702" s="618"/>
      <c r="U702" s="618"/>
      <c r="V702" s="618"/>
      <c r="W702" s="618"/>
      <c r="X702" s="618"/>
      <c r="Y702" s="618"/>
      <c r="Z702" s="618"/>
      <c r="AA702" s="618"/>
      <c r="AB702" s="618"/>
      <c r="AC702" s="618"/>
      <c r="AD702" s="618"/>
      <c r="AE702" s="618"/>
      <c r="AF702" s="618"/>
      <c r="AG702" s="618"/>
      <c r="AH702" s="618"/>
      <c r="AI702" s="618"/>
      <c r="AJ702" s="618"/>
      <c r="AK702" s="618"/>
      <c r="AL702" s="618"/>
      <c r="AM702" s="3"/>
      <c r="AN702" s="3"/>
      <c r="AO702" s="3"/>
      <c r="AP702" s="3"/>
      <c r="AQ702" s="3"/>
      <c r="AR702" s="3"/>
      <c r="AS702" s="3"/>
      <c r="AT702" s="3"/>
      <c r="AU702" s="3"/>
      <c r="AV702" s="3"/>
      <c r="AW702" s="3"/>
      <c r="AX702" s="3"/>
      <c r="AY702" s="3"/>
      <c r="AZ702" s="3"/>
      <c r="BA702" s="3"/>
      <c r="BB702" s="3"/>
      <c r="BC702" s="3"/>
      <c r="BD702" s="3"/>
      <c r="BE702" s="3"/>
      <c r="BF702" s="3"/>
    </row>
    <row r="703" spans="1:58" ht="14.25" customHeight="1" x14ac:dyDescent="0.45">
      <c r="A703" s="618"/>
      <c r="B703" s="618"/>
      <c r="C703" s="618"/>
      <c r="D703" s="5"/>
      <c r="E703" s="24"/>
      <c r="F703" s="24"/>
      <c r="G703" s="24"/>
      <c r="H703" s="25"/>
      <c r="I703" s="618"/>
      <c r="J703" s="618"/>
      <c r="K703" s="618"/>
      <c r="L703" s="618"/>
      <c r="M703" s="618"/>
      <c r="N703" s="618"/>
      <c r="O703" s="618"/>
      <c r="P703" s="618"/>
      <c r="Q703" s="618"/>
      <c r="R703" s="618"/>
      <c r="S703" s="618"/>
      <c r="T703" s="618"/>
      <c r="U703" s="618"/>
      <c r="V703" s="618"/>
      <c r="W703" s="618"/>
      <c r="X703" s="618"/>
      <c r="Y703" s="618"/>
      <c r="Z703" s="618"/>
      <c r="AA703" s="618"/>
      <c r="AB703" s="618"/>
      <c r="AC703" s="618"/>
      <c r="AD703" s="618"/>
      <c r="AE703" s="618"/>
      <c r="AF703" s="618"/>
      <c r="AG703" s="618"/>
      <c r="AH703" s="618"/>
      <c r="AI703" s="618"/>
      <c r="AJ703" s="618"/>
      <c r="AK703" s="618"/>
      <c r="AL703" s="618"/>
      <c r="AM703" s="3"/>
      <c r="AN703" s="3"/>
      <c r="AO703" s="3"/>
      <c r="AP703" s="3"/>
      <c r="AQ703" s="3"/>
      <c r="AR703" s="3"/>
      <c r="AS703" s="3"/>
      <c r="AT703" s="3"/>
      <c r="AU703" s="3"/>
      <c r="AV703" s="3"/>
      <c r="AW703" s="3"/>
      <c r="AX703" s="3"/>
      <c r="AY703" s="3"/>
      <c r="AZ703" s="3"/>
      <c r="BA703" s="3"/>
      <c r="BB703" s="3"/>
      <c r="BC703" s="3"/>
      <c r="BD703" s="3"/>
      <c r="BE703" s="3"/>
      <c r="BF703" s="3"/>
    </row>
    <row r="704" spans="1:58" ht="14.25" customHeight="1" x14ac:dyDescent="0.45">
      <c r="A704" s="618"/>
      <c r="B704" s="618"/>
      <c r="C704" s="618"/>
      <c r="D704" s="5"/>
      <c r="E704" s="24"/>
      <c r="F704" s="24"/>
      <c r="G704" s="24"/>
      <c r="H704" s="25"/>
      <c r="I704" s="618"/>
      <c r="J704" s="618"/>
      <c r="K704" s="618"/>
      <c r="L704" s="618"/>
      <c r="M704" s="618"/>
      <c r="N704" s="618"/>
      <c r="O704" s="618"/>
      <c r="P704" s="618"/>
      <c r="Q704" s="618"/>
      <c r="R704" s="618"/>
      <c r="S704" s="618"/>
      <c r="T704" s="618"/>
      <c r="U704" s="618"/>
      <c r="V704" s="618"/>
      <c r="W704" s="618"/>
      <c r="X704" s="618"/>
      <c r="Y704" s="618"/>
      <c r="Z704" s="618"/>
      <c r="AA704" s="618"/>
      <c r="AB704" s="618"/>
      <c r="AC704" s="618"/>
      <c r="AD704" s="618"/>
      <c r="AE704" s="618"/>
      <c r="AF704" s="618"/>
      <c r="AG704" s="618"/>
      <c r="AH704" s="618"/>
      <c r="AI704" s="618"/>
      <c r="AJ704" s="618"/>
      <c r="AK704" s="618"/>
      <c r="AL704" s="618"/>
      <c r="AM704" s="3"/>
      <c r="AN704" s="3"/>
      <c r="AO704" s="3"/>
      <c r="AP704" s="3"/>
      <c r="AQ704" s="3"/>
      <c r="AR704" s="3"/>
      <c r="AS704" s="3"/>
      <c r="AT704" s="3"/>
      <c r="AU704" s="3"/>
      <c r="AV704" s="3"/>
      <c r="AW704" s="3"/>
      <c r="AX704" s="3"/>
      <c r="AY704" s="3"/>
      <c r="AZ704" s="3"/>
      <c r="BA704" s="3"/>
      <c r="BB704" s="3"/>
      <c r="BC704" s="3"/>
      <c r="BD704" s="3"/>
      <c r="BE704" s="3"/>
      <c r="BF704" s="3"/>
    </row>
    <row r="705" spans="1:58" ht="14.25" customHeight="1" x14ac:dyDescent="0.45">
      <c r="A705" s="618"/>
      <c r="B705" s="618"/>
      <c r="C705" s="618"/>
      <c r="D705" s="5"/>
      <c r="E705" s="24"/>
      <c r="F705" s="24"/>
      <c r="G705" s="24"/>
      <c r="H705" s="25"/>
      <c r="I705" s="618"/>
      <c r="J705" s="618"/>
      <c r="K705" s="618"/>
      <c r="L705" s="618"/>
      <c r="M705" s="618"/>
      <c r="N705" s="618"/>
      <c r="O705" s="618"/>
      <c r="P705" s="618"/>
      <c r="Q705" s="618"/>
      <c r="R705" s="618"/>
      <c r="S705" s="618"/>
      <c r="T705" s="618"/>
      <c r="U705" s="618"/>
      <c r="V705" s="618"/>
      <c r="W705" s="618"/>
      <c r="X705" s="618"/>
      <c r="Y705" s="618"/>
      <c r="Z705" s="618"/>
      <c r="AA705" s="618"/>
      <c r="AB705" s="618"/>
      <c r="AC705" s="618"/>
      <c r="AD705" s="618"/>
      <c r="AE705" s="618"/>
      <c r="AF705" s="618"/>
      <c r="AG705" s="618"/>
      <c r="AH705" s="618"/>
      <c r="AI705" s="618"/>
      <c r="AJ705" s="618"/>
      <c r="AK705" s="618"/>
      <c r="AL705" s="618"/>
      <c r="AM705" s="3"/>
      <c r="AN705" s="3"/>
      <c r="AO705" s="3"/>
      <c r="AP705" s="3"/>
      <c r="AQ705" s="3"/>
      <c r="AR705" s="3"/>
      <c r="AS705" s="3"/>
      <c r="AT705" s="3"/>
      <c r="AU705" s="3"/>
      <c r="AV705" s="3"/>
      <c r="AW705" s="3"/>
      <c r="AX705" s="3"/>
      <c r="AY705" s="3"/>
      <c r="AZ705" s="3"/>
      <c r="BA705" s="3"/>
      <c r="BB705" s="3"/>
      <c r="BC705" s="3"/>
      <c r="BD705" s="3"/>
      <c r="BE705" s="3"/>
      <c r="BF705" s="3"/>
    </row>
    <row r="706" spans="1:58" ht="14.25" customHeight="1" x14ac:dyDescent="0.45">
      <c r="A706" s="618"/>
      <c r="B706" s="618"/>
      <c r="C706" s="618"/>
      <c r="D706" s="5"/>
      <c r="E706" s="24"/>
      <c r="F706" s="24"/>
      <c r="G706" s="24"/>
      <c r="H706" s="25"/>
      <c r="I706" s="618"/>
      <c r="J706" s="618"/>
      <c r="K706" s="618"/>
      <c r="L706" s="618"/>
      <c r="M706" s="618"/>
      <c r="N706" s="618"/>
      <c r="O706" s="618"/>
      <c r="P706" s="618"/>
      <c r="Q706" s="618"/>
      <c r="R706" s="618"/>
      <c r="S706" s="618"/>
      <c r="T706" s="618"/>
      <c r="U706" s="618"/>
      <c r="V706" s="618"/>
      <c r="W706" s="618"/>
      <c r="X706" s="618"/>
      <c r="Y706" s="618"/>
      <c r="Z706" s="618"/>
      <c r="AA706" s="618"/>
      <c r="AB706" s="618"/>
      <c r="AC706" s="618"/>
      <c r="AD706" s="618"/>
      <c r="AE706" s="618"/>
      <c r="AF706" s="618"/>
      <c r="AG706" s="618"/>
      <c r="AH706" s="618"/>
      <c r="AI706" s="618"/>
      <c r="AJ706" s="618"/>
      <c r="AK706" s="618"/>
      <c r="AL706" s="618"/>
      <c r="AM706" s="3"/>
      <c r="AN706" s="3"/>
      <c r="AO706" s="3"/>
      <c r="AP706" s="3"/>
      <c r="AQ706" s="3"/>
      <c r="AR706" s="3"/>
      <c r="AS706" s="3"/>
      <c r="AT706" s="3"/>
      <c r="AU706" s="3"/>
      <c r="AV706" s="3"/>
      <c r="AW706" s="3"/>
      <c r="AX706" s="3"/>
      <c r="AY706" s="3"/>
      <c r="AZ706" s="3"/>
      <c r="BA706" s="3"/>
      <c r="BB706" s="3"/>
      <c r="BC706" s="3"/>
      <c r="BD706" s="3"/>
      <c r="BE706" s="3"/>
      <c r="BF706" s="3"/>
    </row>
    <row r="707" spans="1:58" ht="14.25" customHeight="1" x14ac:dyDescent="0.45">
      <c r="A707" s="618"/>
      <c r="B707" s="618"/>
      <c r="C707" s="618"/>
      <c r="D707" s="5"/>
      <c r="E707" s="24"/>
      <c r="F707" s="24"/>
      <c r="G707" s="24"/>
      <c r="H707" s="25"/>
      <c r="I707" s="618"/>
      <c r="J707" s="618"/>
      <c r="K707" s="618"/>
      <c r="L707" s="618"/>
      <c r="M707" s="618"/>
      <c r="N707" s="618"/>
      <c r="O707" s="618"/>
      <c r="P707" s="618"/>
      <c r="Q707" s="618"/>
      <c r="R707" s="618"/>
      <c r="S707" s="618"/>
      <c r="T707" s="618"/>
      <c r="U707" s="618"/>
      <c r="V707" s="618"/>
      <c r="W707" s="618"/>
      <c r="X707" s="618"/>
      <c r="Y707" s="618"/>
      <c r="Z707" s="618"/>
      <c r="AA707" s="618"/>
      <c r="AB707" s="618"/>
      <c r="AC707" s="618"/>
      <c r="AD707" s="618"/>
      <c r="AE707" s="618"/>
      <c r="AF707" s="618"/>
      <c r="AG707" s="618"/>
      <c r="AH707" s="618"/>
      <c r="AI707" s="618"/>
      <c r="AJ707" s="618"/>
      <c r="AK707" s="618"/>
      <c r="AL707" s="618"/>
      <c r="AM707" s="3"/>
      <c r="AN707" s="3"/>
      <c r="AO707" s="3"/>
      <c r="AP707" s="3"/>
      <c r="AQ707" s="3"/>
      <c r="AR707" s="3"/>
      <c r="AS707" s="3"/>
      <c r="AT707" s="3"/>
      <c r="AU707" s="3"/>
      <c r="AV707" s="3"/>
      <c r="AW707" s="3"/>
      <c r="AX707" s="3"/>
      <c r="AY707" s="3"/>
      <c r="AZ707" s="3"/>
      <c r="BA707" s="3"/>
      <c r="BB707" s="3"/>
      <c r="BC707" s="3"/>
      <c r="BD707" s="3"/>
      <c r="BE707" s="3"/>
      <c r="BF707" s="3"/>
    </row>
    <row r="708" spans="1:58" ht="14.25" customHeight="1" x14ac:dyDescent="0.45">
      <c r="A708" s="618"/>
      <c r="B708" s="618"/>
      <c r="C708" s="618"/>
      <c r="D708" s="5"/>
      <c r="E708" s="24"/>
      <c r="F708" s="24"/>
      <c r="G708" s="24"/>
      <c r="H708" s="25"/>
      <c r="I708" s="618"/>
      <c r="J708" s="618"/>
      <c r="K708" s="618"/>
      <c r="L708" s="618"/>
      <c r="M708" s="618"/>
      <c r="N708" s="618"/>
      <c r="O708" s="618"/>
      <c r="P708" s="618"/>
      <c r="Q708" s="618"/>
      <c r="R708" s="618"/>
      <c r="S708" s="618"/>
      <c r="T708" s="618"/>
      <c r="U708" s="618"/>
      <c r="V708" s="618"/>
      <c r="W708" s="618"/>
      <c r="X708" s="618"/>
      <c r="Y708" s="618"/>
      <c r="Z708" s="618"/>
      <c r="AA708" s="618"/>
      <c r="AB708" s="618"/>
      <c r="AC708" s="618"/>
      <c r="AD708" s="618"/>
      <c r="AE708" s="618"/>
      <c r="AF708" s="618"/>
      <c r="AG708" s="618"/>
      <c r="AH708" s="618"/>
      <c r="AI708" s="618"/>
      <c r="AJ708" s="618"/>
      <c r="AK708" s="618"/>
      <c r="AL708" s="618"/>
      <c r="AM708" s="3"/>
      <c r="AN708" s="3"/>
      <c r="AO708" s="3"/>
      <c r="AP708" s="3"/>
      <c r="AQ708" s="3"/>
      <c r="AR708" s="3"/>
      <c r="AS708" s="3"/>
      <c r="AT708" s="3"/>
      <c r="AU708" s="3"/>
      <c r="AV708" s="3"/>
      <c r="AW708" s="3"/>
      <c r="AX708" s="3"/>
      <c r="AY708" s="3"/>
      <c r="AZ708" s="3"/>
      <c r="BA708" s="3"/>
      <c r="BB708" s="3"/>
      <c r="BC708" s="3"/>
      <c r="BD708" s="3"/>
      <c r="BE708" s="3"/>
      <c r="BF708" s="3"/>
    </row>
    <row r="709" spans="1:58" ht="14.25" customHeight="1" x14ac:dyDescent="0.45">
      <c r="A709" s="618"/>
      <c r="B709" s="618"/>
      <c r="C709" s="618"/>
      <c r="D709" s="5"/>
      <c r="E709" s="24"/>
      <c r="F709" s="24"/>
      <c r="G709" s="24"/>
      <c r="H709" s="25"/>
      <c r="I709" s="618"/>
      <c r="J709" s="618"/>
      <c r="K709" s="618"/>
      <c r="L709" s="618"/>
      <c r="M709" s="618"/>
      <c r="N709" s="618"/>
      <c r="O709" s="618"/>
      <c r="P709" s="618"/>
      <c r="Q709" s="618"/>
      <c r="R709" s="618"/>
      <c r="S709" s="618"/>
      <c r="T709" s="618"/>
      <c r="U709" s="618"/>
      <c r="V709" s="618"/>
      <c r="W709" s="618"/>
      <c r="X709" s="618"/>
      <c r="Y709" s="618"/>
      <c r="Z709" s="618"/>
      <c r="AA709" s="618"/>
      <c r="AB709" s="618"/>
      <c r="AC709" s="618"/>
      <c r="AD709" s="618"/>
      <c r="AE709" s="618"/>
      <c r="AF709" s="618"/>
      <c r="AG709" s="618"/>
      <c r="AH709" s="618"/>
      <c r="AI709" s="618"/>
      <c r="AJ709" s="618"/>
      <c r="AK709" s="618"/>
      <c r="AL709" s="618"/>
      <c r="AM709" s="3"/>
      <c r="AN709" s="3"/>
      <c r="AO709" s="3"/>
      <c r="AP709" s="3"/>
      <c r="AQ709" s="3"/>
      <c r="AR709" s="3"/>
      <c r="AS709" s="3"/>
      <c r="AT709" s="3"/>
      <c r="AU709" s="3"/>
      <c r="AV709" s="3"/>
      <c r="AW709" s="3"/>
      <c r="AX709" s="3"/>
      <c r="AY709" s="3"/>
      <c r="AZ709" s="3"/>
      <c r="BA709" s="3"/>
      <c r="BB709" s="3"/>
      <c r="BC709" s="3"/>
      <c r="BD709" s="3"/>
      <c r="BE709" s="3"/>
      <c r="BF709" s="3"/>
    </row>
    <row r="710" spans="1:58" ht="14.25" customHeight="1" x14ac:dyDescent="0.45">
      <c r="A710" s="618"/>
      <c r="B710" s="618"/>
      <c r="C710" s="618"/>
      <c r="D710" s="5"/>
      <c r="E710" s="24"/>
      <c r="F710" s="24"/>
      <c r="G710" s="24"/>
      <c r="H710" s="25"/>
      <c r="I710" s="618"/>
      <c r="J710" s="618"/>
      <c r="K710" s="618"/>
      <c r="L710" s="618"/>
      <c r="M710" s="618"/>
      <c r="N710" s="618"/>
      <c r="O710" s="618"/>
      <c r="P710" s="618"/>
      <c r="Q710" s="618"/>
      <c r="R710" s="618"/>
      <c r="S710" s="618"/>
      <c r="T710" s="618"/>
      <c r="U710" s="618"/>
      <c r="V710" s="618"/>
      <c r="W710" s="618"/>
      <c r="X710" s="618"/>
      <c r="Y710" s="618"/>
      <c r="Z710" s="618"/>
      <c r="AA710" s="618"/>
      <c r="AB710" s="618"/>
      <c r="AC710" s="618"/>
      <c r="AD710" s="618"/>
      <c r="AE710" s="618"/>
      <c r="AF710" s="618"/>
      <c r="AG710" s="618"/>
      <c r="AH710" s="618"/>
      <c r="AI710" s="618"/>
      <c r="AJ710" s="618"/>
      <c r="AK710" s="618"/>
      <c r="AL710" s="618"/>
      <c r="AM710" s="3"/>
      <c r="AN710" s="3"/>
      <c r="AO710" s="3"/>
      <c r="AP710" s="3"/>
      <c r="AQ710" s="3"/>
      <c r="AR710" s="3"/>
      <c r="AS710" s="3"/>
      <c r="AT710" s="3"/>
      <c r="AU710" s="3"/>
      <c r="AV710" s="3"/>
      <c r="AW710" s="3"/>
      <c r="AX710" s="3"/>
      <c r="AY710" s="3"/>
      <c r="AZ710" s="3"/>
      <c r="BA710" s="3"/>
      <c r="BB710" s="3"/>
      <c r="BC710" s="3"/>
      <c r="BD710" s="3"/>
      <c r="BE710" s="3"/>
      <c r="BF710" s="3"/>
    </row>
    <row r="711" spans="1:58" ht="14.25" customHeight="1" x14ac:dyDescent="0.45">
      <c r="A711" s="618"/>
      <c r="B711" s="618"/>
      <c r="C711" s="618"/>
      <c r="D711" s="5"/>
      <c r="E711" s="24"/>
      <c r="F711" s="24"/>
      <c r="G711" s="24"/>
      <c r="H711" s="25"/>
      <c r="I711" s="618"/>
      <c r="J711" s="618"/>
      <c r="K711" s="618"/>
      <c r="L711" s="618"/>
      <c r="M711" s="618"/>
      <c r="N711" s="618"/>
      <c r="O711" s="618"/>
      <c r="P711" s="618"/>
      <c r="Q711" s="618"/>
      <c r="R711" s="618"/>
      <c r="S711" s="618"/>
      <c r="T711" s="618"/>
      <c r="U711" s="618"/>
      <c r="V711" s="618"/>
      <c r="W711" s="618"/>
      <c r="X711" s="618"/>
      <c r="Y711" s="618"/>
      <c r="Z711" s="618"/>
      <c r="AA711" s="618"/>
      <c r="AB711" s="618"/>
      <c r="AC711" s="618"/>
      <c r="AD711" s="618"/>
      <c r="AE711" s="618"/>
      <c r="AF711" s="618"/>
      <c r="AG711" s="618"/>
      <c r="AH711" s="618"/>
      <c r="AI711" s="618"/>
      <c r="AJ711" s="618"/>
      <c r="AK711" s="618"/>
      <c r="AL711" s="618"/>
      <c r="AM711" s="3"/>
      <c r="AN711" s="3"/>
      <c r="AO711" s="3"/>
      <c r="AP711" s="3"/>
      <c r="AQ711" s="3"/>
      <c r="AR711" s="3"/>
      <c r="AS711" s="3"/>
      <c r="AT711" s="3"/>
      <c r="AU711" s="3"/>
      <c r="AV711" s="3"/>
      <c r="AW711" s="3"/>
      <c r="AX711" s="3"/>
      <c r="AY711" s="3"/>
      <c r="AZ711" s="3"/>
      <c r="BA711" s="3"/>
      <c r="BB711" s="3"/>
      <c r="BC711" s="3"/>
      <c r="BD711" s="3"/>
      <c r="BE711" s="3"/>
      <c r="BF711" s="3"/>
    </row>
    <row r="712" spans="1:58" ht="14.25" customHeight="1" x14ac:dyDescent="0.45">
      <c r="A712" s="618"/>
      <c r="B712" s="618"/>
      <c r="C712" s="618"/>
      <c r="D712" s="5"/>
      <c r="E712" s="24"/>
      <c r="F712" s="24"/>
      <c r="G712" s="24"/>
      <c r="H712" s="25"/>
      <c r="I712" s="618"/>
      <c r="J712" s="618"/>
      <c r="K712" s="618"/>
      <c r="L712" s="618"/>
      <c r="M712" s="618"/>
      <c r="N712" s="618"/>
      <c r="O712" s="618"/>
      <c r="P712" s="618"/>
      <c r="Q712" s="618"/>
      <c r="R712" s="618"/>
      <c r="S712" s="618"/>
      <c r="T712" s="618"/>
      <c r="U712" s="618"/>
      <c r="V712" s="618"/>
      <c r="W712" s="618"/>
      <c r="X712" s="618"/>
      <c r="Y712" s="618"/>
      <c r="Z712" s="618"/>
      <c r="AA712" s="618"/>
      <c r="AB712" s="618"/>
      <c r="AC712" s="618"/>
      <c r="AD712" s="618"/>
      <c r="AE712" s="618"/>
      <c r="AF712" s="618"/>
      <c r="AG712" s="618"/>
      <c r="AH712" s="618"/>
      <c r="AI712" s="618"/>
      <c r="AJ712" s="618"/>
      <c r="AK712" s="618"/>
      <c r="AL712" s="618"/>
      <c r="AM712" s="3"/>
      <c r="AN712" s="3"/>
      <c r="AO712" s="3"/>
      <c r="AP712" s="3"/>
      <c r="AQ712" s="3"/>
      <c r="AR712" s="3"/>
      <c r="AS712" s="3"/>
      <c r="AT712" s="3"/>
      <c r="AU712" s="3"/>
      <c r="AV712" s="3"/>
      <c r="AW712" s="3"/>
      <c r="AX712" s="3"/>
      <c r="AY712" s="3"/>
      <c r="AZ712" s="3"/>
      <c r="BA712" s="3"/>
      <c r="BB712" s="3"/>
      <c r="BC712" s="3"/>
      <c r="BD712" s="3"/>
      <c r="BE712" s="3"/>
      <c r="BF712" s="3"/>
    </row>
    <row r="713" spans="1:58" ht="14.25" customHeight="1" x14ac:dyDescent="0.45">
      <c r="A713" s="618"/>
      <c r="B713" s="618"/>
      <c r="C713" s="618"/>
      <c r="D713" s="5"/>
      <c r="E713" s="24"/>
      <c r="F713" s="24"/>
      <c r="G713" s="24"/>
      <c r="H713" s="25"/>
      <c r="I713" s="618"/>
      <c r="J713" s="618"/>
      <c r="K713" s="618"/>
      <c r="L713" s="618"/>
      <c r="M713" s="618"/>
      <c r="N713" s="618"/>
      <c r="O713" s="618"/>
      <c r="P713" s="618"/>
      <c r="Q713" s="618"/>
      <c r="R713" s="618"/>
      <c r="S713" s="618"/>
      <c r="T713" s="618"/>
      <c r="U713" s="618"/>
      <c r="V713" s="618"/>
      <c r="W713" s="618"/>
      <c r="X713" s="618"/>
      <c r="Y713" s="618"/>
      <c r="Z713" s="618"/>
      <c r="AA713" s="618"/>
      <c r="AB713" s="618"/>
      <c r="AC713" s="618"/>
      <c r="AD713" s="618"/>
      <c r="AE713" s="618"/>
      <c r="AF713" s="618"/>
      <c r="AG713" s="618"/>
      <c r="AH713" s="618"/>
      <c r="AI713" s="618"/>
      <c r="AJ713" s="618"/>
      <c r="AK713" s="618"/>
      <c r="AL713" s="618"/>
      <c r="AM713" s="3"/>
      <c r="AN713" s="3"/>
      <c r="AO713" s="3"/>
      <c r="AP713" s="3"/>
      <c r="AQ713" s="3"/>
      <c r="AR713" s="3"/>
      <c r="AS713" s="3"/>
      <c r="AT713" s="3"/>
      <c r="AU713" s="3"/>
      <c r="AV713" s="3"/>
      <c r="AW713" s="3"/>
      <c r="AX713" s="3"/>
      <c r="AY713" s="3"/>
      <c r="AZ713" s="3"/>
      <c r="BA713" s="3"/>
      <c r="BB713" s="3"/>
      <c r="BC713" s="3"/>
      <c r="BD713" s="3"/>
      <c r="BE713" s="3"/>
      <c r="BF713" s="3"/>
    </row>
    <row r="714" spans="1:58" ht="14.25" customHeight="1" x14ac:dyDescent="0.45">
      <c r="A714" s="618"/>
      <c r="B714" s="618"/>
      <c r="C714" s="618"/>
      <c r="D714" s="5"/>
      <c r="E714" s="24"/>
      <c r="F714" s="24"/>
      <c r="G714" s="24"/>
      <c r="H714" s="25"/>
      <c r="I714" s="618"/>
      <c r="J714" s="618"/>
      <c r="K714" s="618"/>
      <c r="L714" s="618"/>
      <c r="M714" s="618"/>
      <c r="N714" s="618"/>
      <c r="O714" s="618"/>
      <c r="P714" s="618"/>
      <c r="Q714" s="618"/>
      <c r="R714" s="618"/>
      <c r="S714" s="618"/>
      <c r="T714" s="618"/>
      <c r="U714" s="618"/>
      <c r="V714" s="618"/>
      <c r="W714" s="618"/>
      <c r="X714" s="618"/>
      <c r="Y714" s="618"/>
      <c r="Z714" s="618"/>
      <c r="AA714" s="618"/>
      <c r="AB714" s="618"/>
      <c r="AC714" s="618"/>
      <c r="AD714" s="618"/>
      <c r="AE714" s="618"/>
      <c r="AF714" s="618"/>
      <c r="AG714" s="618"/>
      <c r="AH714" s="618"/>
      <c r="AI714" s="618"/>
      <c r="AJ714" s="618"/>
      <c r="AK714" s="618"/>
      <c r="AL714" s="618"/>
      <c r="AM714" s="3"/>
      <c r="AN714" s="3"/>
      <c r="AO714" s="3"/>
      <c r="AP714" s="3"/>
      <c r="AQ714" s="3"/>
      <c r="AR714" s="3"/>
      <c r="AS714" s="3"/>
      <c r="AT714" s="3"/>
      <c r="AU714" s="3"/>
      <c r="AV714" s="3"/>
      <c r="AW714" s="3"/>
      <c r="AX714" s="3"/>
      <c r="AY714" s="3"/>
      <c r="AZ714" s="3"/>
      <c r="BA714" s="3"/>
      <c r="BB714" s="3"/>
      <c r="BC714" s="3"/>
      <c r="BD714" s="3"/>
      <c r="BE714" s="3"/>
      <c r="BF714" s="3"/>
    </row>
    <row r="715" spans="1:58" ht="14.25" customHeight="1" x14ac:dyDescent="0.45">
      <c r="A715" s="618"/>
      <c r="B715" s="618"/>
      <c r="C715" s="618"/>
      <c r="D715" s="5"/>
      <c r="E715" s="24"/>
      <c r="F715" s="24"/>
      <c r="G715" s="24"/>
      <c r="H715" s="25"/>
      <c r="I715" s="618"/>
      <c r="J715" s="618"/>
      <c r="K715" s="618"/>
      <c r="L715" s="618"/>
      <c r="M715" s="618"/>
      <c r="N715" s="618"/>
      <c r="O715" s="618"/>
      <c r="P715" s="618"/>
      <c r="Q715" s="618"/>
      <c r="R715" s="618"/>
      <c r="S715" s="618"/>
      <c r="T715" s="618"/>
      <c r="U715" s="618"/>
      <c r="V715" s="618"/>
      <c r="W715" s="618"/>
      <c r="X715" s="618"/>
      <c r="Y715" s="618"/>
      <c r="Z715" s="618"/>
      <c r="AA715" s="618"/>
      <c r="AB715" s="618"/>
      <c r="AC715" s="618"/>
      <c r="AD715" s="618"/>
      <c r="AE715" s="618"/>
      <c r="AF715" s="618"/>
      <c r="AG715" s="618"/>
      <c r="AH715" s="618"/>
      <c r="AI715" s="618"/>
      <c r="AJ715" s="618"/>
      <c r="AK715" s="618"/>
      <c r="AL715" s="618"/>
      <c r="AM715" s="3"/>
      <c r="AN715" s="3"/>
      <c r="AO715" s="3"/>
      <c r="AP715" s="3"/>
      <c r="AQ715" s="3"/>
      <c r="AR715" s="3"/>
      <c r="AS715" s="3"/>
      <c r="AT715" s="3"/>
      <c r="AU715" s="3"/>
      <c r="AV715" s="3"/>
      <c r="AW715" s="3"/>
      <c r="AX715" s="3"/>
      <c r="AY715" s="3"/>
      <c r="AZ715" s="3"/>
      <c r="BA715" s="3"/>
      <c r="BB715" s="3"/>
      <c r="BC715" s="3"/>
      <c r="BD715" s="3"/>
      <c r="BE715" s="3"/>
      <c r="BF715" s="3"/>
    </row>
    <row r="716" spans="1:58" ht="14.25" customHeight="1" x14ac:dyDescent="0.45">
      <c r="A716" s="618"/>
      <c r="B716" s="618"/>
      <c r="C716" s="618"/>
      <c r="D716" s="5"/>
      <c r="E716" s="24"/>
      <c r="F716" s="24"/>
      <c r="G716" s="24"/>
      <c r="H716" s="25"/>
      <c r="I716" s="618"/>
      <c r="J716" s="618"/>
      <c r="K716" s="618"/>
      <c r="L716" s="618"/>
      <c r="M716" s="618"/>
      <c r="N716" s="618"/>
      <c r="O716" s="618"/>
      <c r="P716" s="618"/>
      <c r="Q716" s="618"/>
      <c r="R716" s="618"/>
      <c r="S716" s="618"/>
      <c r="T716" s="618"/>
      <c r="U716" s="618"/>
      <c r="V716" s="618"/>
      <c r="W716" s="618"/>
      <c r="X716" s="618"/>
      <c r="Y716" s="618"/>
      <c r="Z716" s="618"/>
      <c r="AA716" s="618"/>
      <c r="AB716" s="618"/>
      <c r="AC716" s="618"/>
      <c r="AD716" s="618"/>
      <c r="AE716" s="618"/>
      <c r="AF716" s="618"/>
      <c r="AG716" s="618"/>
      <c r="AH716" s="618"/>
      <c r="AI716" s="618"/>
      <c r="AJ716" s="618"/>
      <c r="AK716" s="618"/>
      <c r="AL716" s="618"/>
      <c r="AM716" s="3"/>
      <c r="AN716" s="3"/>
      <c r="AO716" s="3"/>
      <c r="AP716" s="3"/>
      <c r="AQ716" s="3"/>
      <c r="AR716" s="3"/>
      <c r="AS716" s="3"/>
      <c r="AT716" s="3"/>
      <c r="AU716" s="3"/>
      <c r="AV716" s="3"/>
      <c r="AW716" s="3"/>
      <c r="AX716" s="3"/>
      <c r="AY716" s="3"/>
      <c r="AZ716" s="3"/>
      <c r="BA716" s="3"/>
      <c r="BB716" s="3"/>
      <c r="BC716" s="3"/>
      <c r="BD716" s="3"/>
      <c r="BE716" s="3"/>
      <c r="BF716" s="3"/>
    </row>
    <row r="717" spans="1:58" ht="14.25" customHeight="1" x14ac:dyDescent="0.45">
      <c r="A717" s="618"/>
      <c r="B717" s="618"/>
      <c r="C717" s="618"/>
      <c r="D717" s="5"/>
      <c r="E717" s="24"/>
      <c r="F717" s="24"/>
      <c r="G717" s="24"/>
      <c r="H717" s="25"/>
      <c r="I717" s="618"/>
      <c r="J717" s="618"/>
      <c r="K717" s="618"/>
      <c r="L717" s="618"/>
      <c r="M717" s="618"/>
      <c r="N717" s="618"/>
      <c r="O717" s="618"/>
      <c r="P717" s="618"/>
      <c r="Q717" s="618"/>
      <c r="R717" s="618"/>
      <c r="S717" s="618"/>
      <c r="T717" s="618"/>
      <c r="U717" s="618"/>
      <c r="V717" s="618"/>
      <c r="W717" s="618"/>
      <c r="X717" s="618"/>
      <c r="Y717" s="618"/>
      <c r="Z717" s="618"/>
      <c r="AA717" s="618"/>
      <c r="AB717" s="618"/>
      <c r="AC717" s="618"/>
      <c r="AD717" s="618"/>
      <c r="AE717" s="618"/>
      <c r="AF717" s="618"/>
      <c r="AG717" s="618"/>
      <c r="AH717" s="618"/>
      <c r="AI717" s="618"/>
      <c r="AJ717" s="618"/>
      <c r="AK717" s="618"/>
      <c r="AL717" s="618"/>
      <c r="AM717" s="3"/>
      <c r="AN717" s="3"/>
      <c r="AO717" s="3"/>
      <c r="AP717" s="3"/>
      <c r="AQ717" s="3"/>
      <c r="AR717" s="3"/>
      <c r="AS717" s="3"/>
      <c r="AT717" s="3"/>
      <c r="AU717" s="3"/>
      <c r="AV717" s="3"/>
      <c r="AW717" s="3"/>
      <c r="AX717" s="3"/>
      <c r="AY717" s="3"/>
      <c r="AZ717" s="3"/>
      <c r="BA717" s="3"/>
      <c r="BB717" s="3"/>
      <c r="BC717" s="3"/>
      <c r="BD717" s="3"/>
      <c r="BE717" s="3"/>
      <c r="BF717" s="3"/>
    </row>
    <row r="718" spans="1:58" ht="14.25" customHeight="1" x14ac:dyDescent="0.45">
      <c r="A718" s="618"/>
      <c r="B718" s="618"/>
      <c r="C718" s="618"/>
      <c r="D718" s="5"/>
      <c r="E718" s="24"/>
      <c r="F718" s="24"/>
      <c r="G718" s="24"/>
      <c r="H718" s="25"/>
      <c r="I718" s="618"/>
      <c r="J718" s="618"/>
      <c r="K718" s="618"/>
      <c r="L718" s="618"/>
      <c r="M718" s="618"/>
      <c r="N718" s="618"/>
      <c r="O718" s="618"/>
      <c r="P718" s="618"/>
      <c r="Q718" s="618"/>
      <c r="R718" s="618"/>
      <c r="S718" s="618"/>
      <c r="T718" s="618"/>
      <c r="U718" s="618"/>
      <c r="V718" s="618"/>
      <c r="W718" s="618"/>
      <c r="X718" s="618"/>
      <c r="Y718" s="618"/>
      <c r="Z718" s="618"/>
      <c r="AA718" s="618"/>
      <c r="AB718" s="618"/>
      <c r="AC718" s="618"/>
      <c r="AD718" s="618"/>
      <c r="AE718" s="618"/>
      <c r="AF718" s="618"/>
      <c r="AG718" s="618"/>
      <c r="AH718" s="618"/>
      <c r="AI718" s="618"/>
      <c r="AJ718" s="618"/>
      <c r="AK718" s="618"/>
      <c r="AL718" s="618"/>
      <c r="AM718" s="3"/>
      <c r="AN718" s="3"/>
      <c r="AO718" s="3"/>
      <c r="AP718" s="3"/>
      <c r="AQ718" s="3"/>
      <c r="AR718" s="3"/>
      <c r="AS718" s="3"/>
      <c r="AT718" s="3"/>
      <c r="AU718" s="3"/>
      <c r="AV718" s="3"/>
      <c r="AW718" s="3"/>
      <c r="AX718" s="3"/>
      <c r="AY718" s="3"/>
      <c r="AZ718" s="3"/>
      <c r="BA718" s="3"/>
      <c r="BB718" s="3"/>
      <c r="BC718" s="3"/>
      <c r="BD718" s="3"/>
      <c r="BE718" s="3"/>
      <c r="BF718" s="3"/>
    </row>
    <row r="719" spans="1:58" ht="14.25" customHeight="1" x14ac:dyDescent="0.45">
      <c r="A719" s="618"/>
      <c r="B719" s="618"/>
      <c r="C719" s="618"/>
      <c r="D719" s="5"/>
      <c r="E719" s="24"/>
      <c r="F719" s="24"/>
      <c r="G719" s="24"/>
      <c r="H719" s="25"/>
      <c r="I719" s="618"/>
      <c r="J719" s="618"/>
      <c r="K719" s="618"/>
      <c r="L719" s="618"/>
      <c r="M719" s="618"/>
      <c r="N719" s="618"/>
      <c r="O719" s="618"/>
      <c r="P719" s="618"/>
      <c r="Q719" s="618"/>
      <c r="R719" s="618"/>
      <c r="S719" s="618"/>
      <c r="T719" s="618"/>
      <c r="U719" s="618"/>
      <c r="V719" s="618"/>
      <c r="W719" s="618"/>
      <c r="X719" s="618"/>
      <c r="Y719" s="618"/>
      <c r="Z719" s="618"/>
      <c r="AA719" s="618"/>
      <c r="AB719" s="618"/>
      <c r="AC719" s="618"/>
      <c r="AD719" s="618"/>
      <c r="AE719" s="618"/>
      <c r="AF719" s="618"/>
      <c r="AG719" s="618"/>
      <c r="AH719" s="618"/>
      <c r="AI719" s="618"/>
      <c r="AJ719" s="618"/>
      <c r="AK719" s="618"/>
      <c r="AL719" s="618"/>
      <c r="AM719" s="3"/>
      <c r="AN719" s="3"/>
      <c r="AO719" s="3"/>
      <c r="AP719" s="3"/>
      <c r="AQ719" s="3"/>
      <c r="AR719" s="3"/>
      <c r="AS719" s="3"/>
      <c r="AT719" s="3"/>
      <c r="AU719" s="3"/>
      <c r="AV719" s="3"/>
      <c r="AW719" s="3"/>
      <c r="AX719" s="3"/>
      <c r="AY719" s="3"/>
      <c r="AZ719" s="3"/>
      <c r="BA719" s="3"/>
      <c r="BB719" s="3"/>
      <c r="BC719" s="3"/>
      <c r="BD719" s="3"/>
      <c r="BE719" s="3"/>
      <c r="BF719" s="3"/>
    </row>
    <row r="720" spans="1:58" ht="14.25" customHeight="1" x14ac:dyDescent="0.45">
      <c r="A720" s="618"/>
      <c r="B720" s="618"/>
      <c r="C720" s="618"/>
      <c r="D720" s="5"/>
      <c r="E720" s="24"/>
      <c r="F720" s="24"/>
      <c r="G720" s="24"/>
      <c r="H720" s="25"/>
      <c r="I720" s="618"/>
      <c r="J720" s="618"/>
      <c r="K720" s="618"/>
      <c r="L720" s="618"/>
      <c r="M720" s="618"/>
      <c r="N720" s="618"/>
      <c r="O720" s="618"/>
      <c r="P720" s="618"/>
      <c r="Q720" s="618"/>
      <c r="R720" s="618"/>
      <c r="S720" s="618"/>
      <c r="T720" s="618"/>
      <c r="U720" s="618"/>
      <c r="V720" s="618"/>
      <c r="W720" s="618"/>
      <c r="X720" s="618"/>
      <c r="Y720" s="618"/>
      <c r="Z720" s="618"/>
      <c r="AA720" s="618"/>
      <c r="AB720" s="618"/>
      <c r="AC720" s="618"/>
      <c r="AD720" s="618"/>
      <c r="AE720" s="618"/>
      <c r="AF720" s="618"/>
      <c r="AG720" s="618"/>
      <c r="AH720" s="618"/>
      <c r="AI720" s="618"/>
      <c r="AJ720" s="618"/>
      <c r="AK720" s="618"/>
      <c r="AL720" s="618"/>
      <c r="AM720" s="3"/>
      <c r="AN720" s="3"/>
      <c r="AO720" s="3"/>
      <c r="AP720" s="3"/>
      <c r="AQ720" s="3"/>
      <c r="AR720" s="3"/>
      <c r="AS720" s="3"/>
      <c r="AT720" s="3"/>
      <c r="AU720" s="3"/>
      <c r="AV720" s="3"/>
      <c r="AW720" s="3"/>
      <c r="AX720" s="3"/>
      <c r="AY720" s="3"/>
      <c r="AZ720" s="3"/>
      <c r="BA720" s="3"/>
      <c r="BB720" s="3"/>
      <c r="BC720" s="3"/>
      <c r="BD720" s="3"/>
      <c r="BE720" s="3"/>
      <c r="BF720" s="3"/>
    </row>
    <row r="721" spans="1:58" ht="14.25" customHeight="1" x14ac:dyDescent="0.45">
      <c r="A721" s="618"/>
      <c r="B721" s="618"/>
      <c r="C721" s="618"/>
      <c r="D721" s="5"/>
      <c r="E721" s="24"/>
      <c r="F721" s="24"/>
      <c r="G721" s="24"/>
      <c r="H721" s="25"/>
      <c r="I721" s="618"/>
      <c r="J721" s="618"/>
      <c r="K721" s="618"/>
      <c r="L721" s="618"/>
      <c r="M721" s="618"/>
      <c r="N721" s="618"/>
      <c r="O721" s="618"/>
      <c r="P721" s="618"/>
      <c r="Q721" s="618"/>
      <c r="R721" s="618"/>
      <c r="S721" s="618"/>
      <c r="T721" s="618"/>
      <c r="U721" s="618"/>
      <c r="V721" s="618"/>
      <c r="W721" s="618"/>
      <c r="X721" s="618"/>
      <c r="Y721" s="618"/>
      <c r="Z721" s="618"/>
      <c r="AA721" s="618"/>
      <c r="AB721" s="618"/>
      <c r="AC721" s="618"/>
      <c r="AD721" s="618"/>
      <c r="AE721" s="618"/>
      <c r="AF721" s="618"/>
      <c r="AG721" s="618"/>
      <c r="AH721" s="618"/>
      <c r="AI721" s="618"/>
      <c r="AJ721" s="618"/>
      <c r="AK721" s="618"/>
      <c r="AL721" s="618"/>
      <c r="AM721" s="3"/>
      <c r="AN721" s="3"/>
      <c r="AO721" s="3"/>
      <c r="AP721" s="3"/>
      <c r="AQ721" s="3"/>
      <c r="AR721" s="3"/>
      <c r="AS721" s="3"/>
      <c r="AT721" s="3"/>
      <c r="AU721" s="3"/>
      <c r="AV721" s="3"/>
      <c r="AW721" s="3"/>
      <c r="AX721" s="3"/>
      <c r="AY721" s="3"/>
      <c r="AZ721" s="3"/>
      <c r="BA721" s="3"/>
      <c r="BB721" s="3"/>
      <c r="BC721" s="3"/>
      <c r="BD721" s="3"/>
      <c r="BE721" s="3"/>
      <c r="BF721" s="3"/>
    </row>
    <row r="722" spans="1:58" ht="14.25" customHeight="1" x14ac:dyDescent="0.45">
      <c r="A722" s="618"/>
      <c r="B722" s="618"/>
      <c r="C722" s="618"/>
      <c r="D722" s="5"/>
      <c r="E722" s="24"/>
      <c r="F722" s="24"/>
      <c r="G722" s="24"/>
      <c r="H722" s="25"/>
      <c r="I722" s="618"/>
      <c r="J722" s="618"/>
      <c r="K722" s="618"/>
      <c r="L722" s="618"/>
      <c r="M722" s="618"/>
      <c r="N722" s="618"/>
      <c r="O722" s="618"/>
      <c r="P722" s="618"/>
      <c r="Q722" s="618"/>
      <c r="R722" s="618"/>
      <c r="S722" s="618"/>
      <c r="T722" s="618"/>
      <c r="U722" s="618"/>
      <c r="V722" s="618"/>
      <c r="W722" s="618"/>
      <c r="X722" s="618"/>
      <c r="Y722" s="618"/>
      <c r="Z722" s="618"/>
      <c r="AA722" s="618"/>
      <c r="AB722" s="618"/>
      <c r="AC722" s="618"/>
      <c r="AD722" s="618"/>
      <c r="AE722" s="618"/>
      <c r="AF722" s="618"/>
      <c r="AG722" s="618"/>
      <c r="AH722" s="618"/>
      <c r="AI722" s="618"/>
      <c r="AJ722" s="618"/>
      <c r="AK722" s="618"/>
      <c r="AL722" s="618"/>
      <c r="AM722" s="3"/>
      <c r="AN722" s="3"/>
      <c r="AO722" s="3"/>
      <c r="AP722" s="3"/>
      <c r="AQ722" s="3"/>
      <c r="AR722" s="3"/>
      <c r="AS722" s="3"/>
      <c r="AT722" s="3"/>
      <c r="AU722" s="3"/>
      <c r="AV722" s="3"/>
      <c r="AW722" s="3"/>
      <c r="AX722" s="3"/>
      <c r="AY722" s="3"/>
      <c r="AZ722" s="3"/>
      <c r="BA722" s="3"/>
      <c r="BB722" s="3"/>
      <c r="BC722" s="3"/>
      <c r="BD722" s="3"/>
      <c r="BE722" s="3"/>
      <c r="BF722" s="3"/>
    </row>
    <row r="723" spans="1:58" ht="14.25" customHeight="1" x14ac:dyDescent="0.45">
      <c r="A723" s="618"/>
      <c r="B723" s="618"/>
      <c r="C723" s="618"/>
      <c r="D723" s="5"/>
      <c r="E723" s="24"/>
      <c r="F723" s="24"/>
      <c r="G723" s="24"/>
      <c r="H723" s="25"/>
      <c r="I723" s="618"/>
      <c r="J723" s="618"/>
      <c r="K723" s="618"/>
      <c r="L723" s="618"/>
      <c r="M723" s="618"/>
      <c r="N723" s="618"/>
      <c r="O723" s="618"/>
      <c r="P723" s="618"/>
      <c r="Q723" s="618"/>
      <c r="R723" s="618"/>
      <c r="S723" s="618"/>
      <c r="T723" s="618"/>
      <c r="U723" s="618"/>
      <c r="V723" s="618"/>
      <c r="W723" s="618"/>
      <c r="X723" s="618"/>
      <c r="Y723" s="618"/>
      <c r="Z723" s="618"/>
      <c r="AA723" s="618"/>
      <c r="AB723" s="618"/>
      <c r="AC723" s="618"/>
      <c r="AD723" s="618"/>
      <c r="AE723" s="618"/>
      <c r="AF723" s="618"/>
      <c r="AG723" s="618"/>
      <c r="AH723" s="618"/>
      <c r="AI723" s="618"/>
      <c r="AJ723" s="618"/>
      <c r="AK723" s="618"/>
      <c r="AL723" s="618"/>
      <c r="AM723" s="3"/>
      <c r="AN723" s="3"/>
      <c r="AO723" s="3"/>
      <c r="AP723" s="3"/>
      <c r="AQ723" s="3"/>
      <c r="AR723" s="3"/>
      <c r="AS723" s="3"/>
      <c r="AT723" s="3"/>
      <c r="AU723" s="3"/>
      <c r="AV723" s="3"/>
      <c r="AW723" s="3"/>
      <c r="AX723" s="3"/>
      <c r="AY723" s="3"/>
      <c r="AZ723" s="3"/>
      <c r="BA723" s="3"/>
      <c r="BB723" s="3"/>
      <c r="BC723" s="3"/>
      <c r="BD723" s="3"/>
      <c r="BE723" s="3"/>
      <c r="BF723" s="3"/>
    </row>
    <row r="724" spans="1:58" ht="14.25" customHeight="1" x14ac:dyDescent="0.45">
      <c r="A724" s="618"/>
      <c r="B724" s="618"/>
      <c r="C724" s="618"/>
      <c r="D724" s="5"/>
      <c r="E724" s="24"/>
      <c r="F724" s="24"/>
      <c r="G724" s="24"/>
      <c r="H724" s="25"/>
      <c r="I724" s="618"/>
      <c r="J724" s="618"/>
      <c r="K724" s="618"/>
      <c r="L724" s="618"/>
      <c r="M724" s="618"/>
      <c r="N724" s="618"/>
      <c r="O724" s="618"/>
      <c r="P724" s="618"/>
      <c r="Q724" s="618"/>
      <c r="R724" s="618"/>
      <c r="S724" s="618"/>
      <c r="T724" s="618"/>
      <c r="U724" s="618"/>
      <c r="V724" s="618"/>
      <c r="W724" s="618"/>
      <c r="X724" s="618"/>
      <c r="Y724" s="618"/>
      <c r="Z724" s="618"/>
      <c r="AA724" s="618"/>
      <c r="AB724" s="618"/>
      <c r="AC724" s="618"/>
      <c r="AD724" s="618"/>
      <c r="AE724" s="618"/>
      <c r="AF724" s="618"/>
      <c r="AG724" s="618"/>
      <c r="AH724" s="618"/>
      <c r="AI724" s="618"/>
      <c r="AJ724" s="618"/>
      <c r="AK724" s="618"/>
      <c r="AL724" s="618"/>
      <c r="AM724" s="3"/>
      <c r="AN724" s="3"/>
      <c r="AO724" s="3"/>
      <c r="AP724" s="3"/>
      <c r="AQ724" s="3"/>
      <c r="AR724" s="3"/>
      <c r="AS724" s="3"/>
      <c r="AT724" s="3"/>
      <c r="AU724" s="3"/>
      <c r="AV724" s="3"/>
      <c r="AW724" s="3"/>
      <c r="AX724" s="3"/>
      <c r="AY724" s="3"/>
      <c r="AZ724" s="3"/>
      <c r="BA724" s="3"/>
      <c r="BB724" s="3"/>
      <c r="BC724" s="3"/>
      <c r="BD724" s="3"/>
      <c r="BE724" s="3"/>
      <c r="BF724" s="3"/>
    </row>
    <row r="725" spans="1:58" ht="14.25" customHeight="1" x14ac:dyDescent="0.45">
      <c r="A725" s="618"/>
      <c r="B725" s="618"/>
      <c r="C725" s="618"/>
      <c r="D725" s="5"/>
      <c r="E725" s="24"/>
      <c r="F725" s="24"/>
      <c r="G725" s="24"/>
      <c r="H725" s="25"/>
      <c r="I725" s="618"/>
      <c r="J725" s="618"/>
      <c r="K725" s="618"/>
      <c r="L725" s="618"/>
      <c r="M725" s="618"/>
      <c r="N725" s="618"/>
      <c r="O725" s="618"/>
      <c r="P725" s="618"/>
      <c r="Q725" s="618"/>
      <c r="R725" s="618"/>
      <c r="S725" s="618"/>
      <c r="T725" s="618"/>
      <c r="U725" s="618"/>
      <c r="V725" s="618"/>
      <c r="W725" s="618"/>
      <c r="X725" s="618"/>
      <c r="Y725" s="618"/>
      <c r="Z725" s="618"/>
      <c r="AA725" s="618"/>
      <c r="AB725" s="618"/>
      <c r="AC725" s="618"/>
      <c r="AD725" s="618"/>
      <c r="AE725" s="618"/>
      <c r="AF725" s="618"/>
      <c r="AG725" s="618"/>
      <c r="AH725" s="618"/>
      <c r="AI725" s="618"/>
      <c r="AJ725" s="618"/>
      <c r="AK725" s="618"/>
      <c r="AL725" s="618"/>
      <c r="AM725" s="3"/>
      <c r="AN725" s="3"/>
      <c r="AO725" s="3"/>
      <c r="AP725" s="3"/>
      <c r="AQ725" s="3"/>
      <c r="AR725" s="3"/>
      <c r="AS725" s="3"/>
      <c r="AT725" s="3"/>
      <c r="AU725" s="3"/>
      <c r="AV725" s="3"/>
      <c r="AW725" s="3"/>
      <c r="AX725" s="3"/>
      <c r="AY725" s="3"/>
      <c r="AZ725" s="3"/>
      <c r="BA725" s="3"/>
      <c r="BB725" s="3"/>
      <c r="BC725" s="3"/>
      <c r="BD725" s="3"/>
      <c r="BE725" s="3"/>
      <c r="BF725" s="3"/>
    </row>
    <row r="726" spans="1:58" ht="14.25" customHeight="1" x14ac:dyDescent="0.45">
      <c r="A726" s="618"/>
      <c r="B726" s="618"/>
      <c r="C726" s="618"/>
      <c r="D726" s="5"/>
      <c r="E726" s="24"/>
      <c r="F726" s="24"/>
      <c r="G726" s="24"/>
      <c r="H726" s="25"/>
      <c r="I726" s="618"/>
      <c r="J726" s="618"/>
      <c r="K726" s="618"/>
      <c r="L726" s="618"/>
      <c r="M726" s="618"/>
      <c r="N726" s="618"/>
      <c r="O726" s="618"/>
      <c r="P726" s="618"/>
      <c r="Q726" s="618"/>
      <c r="R726" s="618"/>
      <c r="S726" s="618"/>
      <c r="T726" s="618"/>
      <c r="U726" s="618"/>
      <c r="V726" s="618"/>
      <c r="W726" s="618"/>
      <c r="X726" s="618"/>
      <c r="Y726" s="618"/>
      <c r="Z726" s="618"/>
      <c r="AA726" s="618"/>
      <c r="AB726" s="618"/>
      <c r="AC726" s="618"/>
      <c r="AD726" s="618"/>
      <c r="AE726" s="618"/>
      <c r="AF726" s="618"/>
      <c r="AG726" s="618"/>
      <c r="AH726" s="618"/>
      <c r="AI726" s="618"/>
      <c r="AJ726" s="618"/>
      <c r="AK726" s="618"/>
      <c r="AL726" s="618"/>
      <c r="AM726" s="3"/>
      <c r="AN726" s="3"/>
      <c r="AO726" s="3"/>
      <c r="AP726" s="3"/>
      <c r="AQ726" s="3"/>
      <c r="AR726" s="3"/>
      <c r="AS726" s="3"/>
      <c r="AT726" s="3"/>
      <c r="AU726" s="3"/>
      <c r="AV726" s="3"/>
      <c r="AW726" s="3"/>
      <c r="AX726" s="3"/>
      <c r="AY726" s="3"/>
      <c r="AZ726" s="3"/>
      <c r="BA726" s="3"/>
      <c r="BB726" s="3"/>
      <c r="BC726" s="3"/>
      <c r="BD726" s="3"/>
      <c r="BE726" s="3"/>
      <c r="BF726" s="3"/>
    </row>
    <row r="727" spans="1:58" ht="14.25" customHeight="1" x14ac:dyDescent="0.45">
      <c r="A727" s="618"/>
      <c r="B727" s="618"/>
      <c r="C727" s="618"/>
      <c r="D727" s="5"/>
      <c r="E727" s="24"/>
      <c r="F727" s="24"/>
      <c r="G727" s="24"/>
      <c r="H727" s="25"/>
      <c r="I727" s="618"/>
      <c r="J727" s="618"/>
      <c r="K727" s="618"/>
      <c r="L727" s="618"/>
      <c r="M727" s="618"/>
      <c r="N727" s="618"/>
      <c r="O727" s="618"/>
      <c r="P727" s="618"/>
      <c r="Q727" s="618"/>
      <c r="R727" s="618"/>
      <c r="S727" s="618"/>
      <c r="T727" s="618"/>
      <c r="U727" s="618"/>
      <c r="V727" s="618"/>
      <c r="W727" s="618"/>
      <c r="X727" s="618"/>
      <c r="Y727" s="618"/>
      <c r="Z727" s="618"/>
      <c r="AA727" s="618"/>
      <c r="AB727" s="618"/>
      <c r="AC727" s="618"/>
      <c r="AD727" s="618"/>
      <c r="AE727" s="618"/>
      <c r="AF727" s="618"/>
      <c r="AG727" s="618"/>
      <c r="AH727" s="618"/>
      <c r="AI727" s="618"/>
      <c r="AJ727" s="618"/>
      <c r="AK727" s="618"/>
      <c r="AL727" s="618"/>
      <c r="AM727" s="3"/>
      <c r="AN727" s="3"/>
      <c r="AO727" s="3"/>
      <c r="AP727" s="3"/>
      <c r="AQ727" s="3"/>
      <c r="AR727" s="3"/>
      <c r="AS727" s="3"/>
      <c r="AT727" s="3"/>
      <c r="AU727" s="3"/>
      <c r="AV727" s="3"/>
      <c r="AW727" s="3"/>
      <c r="AX727" s="3"/>
      <c r="AY727" s="3"/>
      <c r="AZ727" s="3"/>
      <c r="BA727" s="3"/>
      <c r="BB727" s="3"/>
      <c r="BC727" s="3"/>
      <c r="BD727" s="3"/>
      <c r="BE727" s="3"/>
      <c r="BF727" s="3"/>
    </row>
    <row r="728" spans="1:58" ht="14.25" customHeight="1" x14ac:dyDescent="0.45">
      <c r="A728" s="618"/>
      <c r="B728" s="618"/>
      <c r="C728" s="618"/>
      <c r="D728" s="5"/>
      <c r="E728" s="24"/>
      <c r="F728" s="24"/>
      <c r="G728" s="24"/>
      <c r="H728" s="25"/>
      <c r="I728" s="618"/>
      <c r="J728" s="618"/>
      <c r="K728" s="618"/>
      <c r="L728" s="618"/>
      <c r="M728" s="618"/>
      <c r="N728" s="618"/>
      <c r="O728" s="618"/>
      <c r="P728" s="618"/>
      <c r="Q728" s="618"/>
      <c r="R728" s="618"/>
      <c r="S728" s="618"/>
      <c r="T728" s="618"/>
      <c r="U728" s="618"/>
      <c r="V728" s="618"/>
      <c r="W728" s="618"/>
      <c r="X728" s="618"/>
      <c r="Y728" s="618"/>
      <c r="Z728" s="618"/>
      <c r="AA728" s="618"/>
      <c r="AB728" s="618"/>
      <c r="AC728" s="618"/>
      <c r="AD728" s="618"/>
      <c r="AE728" s="618"/>
      <c r="AF728" s="618"/>
      <c r="AG728" s="618"/>
      <c r="AH728" s="618"/>
      <c r="AI728" s="618"/>
      <c r="AJ728" s="618"/>
      <c r="AK728" s="618"/>
      <c r="AL728" s="618"/>
      <c r="AM728" s="3"/>
      <c r="AN728" s="3"/>
      <c r="AO728" s="3"/>
      <c r="AP728" s="3"/>
      <c r="AQ728" s="3"/>
      <c r="AR728" s="3"/>
      <c r="AS728" s="3"/>
      <c r="AT728" s="3"/>
      <c r="AU728" s="3"/>
      <c r="AV728" s="3"/>
      <c r="AW728" s="3"/>
      <c r="AX728" s="3"/>
      <c r="AY728" s="3"/>
      <c r="AZ728" s="3"/>
      <c r="BA728" s="3"/>
      <c r="BB728" s="3"/>
      <c r="BC728" s="3"/>
      <c r="BD728" s="3"/>
      <c r="BE728" s="3"/>
      <c r="BF728" s="3"/>
    </row>
    <row r="729" spans="1:58" ht="14.25" customHeight="1" x14ac:dyDescent="0.45">
      <c r="A729" s="618"/>
      <c r="B729" s="618"/>
      <c r="C729" s="618"/>
      <c r="D729" s="5"/>
      <c r="E729" s="24"/>
      <c r="F729" s="24"/>
      <c r="G729" s="24"/>
      <c r="H729" s="25"/>
      <c r="I729" s="618"/>
      <c r="J729" s="618"/>
      <c r="K729" s="618"/>
      <c r="L729" s="618"/>
      <c r="M729" s="618"/>
      <c r="N729" s="618"/>
      <c r="O729" s="618"/>
      <c r="P729" s="618"/>
      <c r="Q729" s="618"/>
      <c r="R729" s="618"/>
      <c r="S729" s="618"/>
      <c r="T729" s="618"/>
      <c r="U729" s="618"/>
      <c r="V729" s="618"/>
      <c r="W729" s="618"/>
      <c r="X729" s="618"/>
      <c r="Y729" s="618"/>
      <c r="Z729" s="618"/>
      <c r="AA729" s="618"/>
      <c r="AB729" s="618"/>
      <c r="AC729" s="618"/>
      <c r="AD729" s="618"/>
      <c r="AE729" s="618"/>
      <c r="AF729" s="618"/>
      <c r="AG729" s="618"/>
      <c r="AH729" s="618"/>
      <c r="AI729" s="618"/>
      <c r="AJ729" s="618"/>
      <c r="AK729" s="618"/>
      <c r="AL729" s="618"/>
      <c r="AM729" s="3"/>
      <c r="AN729" s="3"/>
      <c r="AO729" s="3"/>
      <c r="AP729" s="3"/>
      <c r="AQ729" s="3"/>
      <c r="AR729" s="3"/>
      <c r="AS729" s="3"/>
      <c r="AT729" s="3"/>
      <c r="AU729" s="3"/>
      <c r="AV729" s="3"/>
      <c r="AW729" s="3"/>
      <c r="AX729" s="3"/>
      <c r="AY729" s="3"/>
      <c r="AZ729" s="3"/>
      <c r="BA729" s="3"/>
      <c r="BB729" s="3"/>
      <c r="BC729" s="3"/>
      <c r="BD729" s="3"/>
      <c r="BE729" s="3"/>
      <c r="BF729" s="3"/>
    </row>
    <row r="730" spans="1:58" ht="14.25" customHeight="1" x14ac:dyDescent="0.45">
      <c r="A730" s="618"/>
      <c r="B730" s="618"/>
      <c r="C730" s="618"/>
      <c r="D730" s="5"/>
      <c r="E730" s="24"/>
      <c r="F730" s="24"/>
      <c r="G730" s="24"/>
      <c r="H730" s="25"/>
      <c r="I730" s="618"/>
      <c r="J730" s="618"/>
      <c r="K730" s="618"/>
      <c r="L730" s="618"/>
      <c r="M730" s="618"/>
      <c r="N730" s="618"/>
      <c r="O730" s="618"/>
      <c r="P730" s="618"/>
      <c r="Q730" s="618"/>
      <c r="R730" s="618"/>
      <c r="S730" s="618"/>
      <c r="T730" s="618"/>
      <c r="U730" s="618"/>
      <c r="V730" s="618"/>
      <c r="W730" s="618"/>
      <c r="X730" s="618"/>
      <c r="Y730" s="618"/>
      <c r="Z730" s="618"/>
      <c r="AA730" s="618"/>
      <c r="AB730" s="618"/>
      <c r="AC730" s="618"/>
      <c r="AD730" s="618"/>
      <c r="AE730" s="618"/>
      <c r="AF730" s="618"/>
      <c r="AG730" s="618"/>
      <c r="AH730" s="618"/>
      <c r="AI730" s="618"/>
      <c r="AJ730" s="618"/>
      <c r="AK730" s="618"/>
      <c r="AL730" s="618"/>
      <c r="AM730" s="3"/>
      <c r="AN730" s="3"/>
      <c r="AO730" s="3"/>
      <c r="AP730" s="3"/>
      <c r="AQ730" s="3"/>
      <c r="AR730" s="3"/>
      <c r="AS730" s="3"/>
      <c r="AT730" s="3"/>
      <c r="AU730" s="3"/>
      <c r="AV730" s="3"/>
      <c r="AW730" s="3"/>
      <c r="AX730" s="3"/>
      <c r="AY730" s="3"/>
      <c r="AZ730" s="3"/>
      <c r="BA730" s="3"/>
      <c r="BB730" s="3"/>
      <c r="BC730" s="3"/>
      <c r="BD730" s="3"/>
      <c r="BE730" s="3"/>
      <c r="BF730" s="3"/>
    </row>
    <row r="731" spans="1:58" ht="14.25" customHeight="1" x14ac:dyDescent="0.45">
      <c r="A731" s="618"/>
      <c r="B731" s="618"/>
      <c r="C731" s="618"/>
      <c r="D731" s="5"/>
      <c r="E731" s="24"/>
      <c r="F731" s="24"/>
      <c r="G731" s="24"/>
      <c r="H731" s="25"/>
      <c r="I731" s="618"/>
      <c r="J731" s="618"/>
      <c r="K731" s="618"/>
      <c r="L731" s="618"/>
      <c r="M731" s="618"/>
      <c r="N731" s="618"/>
      <c r="O731" s="618"/>
      <c r="P731" s="618"/>
      <c r="Q731" s="618"/>
      <c r="R731" s="618"/>
      <c r="S731" s="618"/>
      <c r="T731" s="618"/>
      <c r="U731" s="618"/>
      <c r="V731" s="618"/>
      <c r="W731" s="618"/>
      <c r="X731" s="618"/>
      <c r="Y731" s="618"/>
      <c r="Z731" s="618"/>
      <c r="AA731" s="618"/>
      <c r="AB731" s="618"/>
      <c r="AC731" s="618"/>
      <c r="AD731" s="618"/>
      <c r="AE731" s="618"/>
      <c r="AF731" s="618"/>
      <c r="AG731" s="618"/>
      <c r="AH731" s="618"/>
      <c r="AI731" s="618"/>
      <c r="AJ731" s="618"/>
      <c r="AK731" s="618"/>
      <c r="AL731" s="618"/>
      <c r="AM731" s="3"/>
      <c r="AN731" s="3"/>
      <c r="AO731" s="3"/>
      <c r="AP731" s="3"/>
      <c r="AQ731" s="3"/>
      <c r="AR731" s="3"/>
      <c r="AS731" s="3"/>
      <c r="AT731" s="3"/>
      <c r="AU731" s="3"/>
      <c r="AV731" s="3"/>
      <c r="AW731" s="3"/>
      <c r="AX731" s="3"/>
      <c r="AY731" s="3"/>
      <c r="AZ731" s="3"/>
      <c r="BA731" s="3"/>
      <c r="BB731" s="3"/>
      <c r="BC731" s="3"/>
      <c r="BD731" s="3"/>
      <c r="BE731" s="3"/>
      <c r="BF731" s="3"/>
    </row>
    <row r="732" spans="1:58" ht="14.25" customHeight="1" x14ac:dyDescent="0.45">
      <c r="A732" s="618"/>
      <c r="B732" s="618"/>
      <c r="C732" s="618"/>
      <c r="D732" s="5"/>
      <c r="E732" s="24"/>
      <c r="F732" s="24"/>
      <c r="G732" s="24"/>
      <c r="H732" s="25"/>
      <c r="I732" s="618"/>
      <c r="J732" s="618"/>
      <c r="K732" s="618"/>
      <c r="L732" s="618"/>
      <c r="M732" s="618"/>
      <c r="N732" s="618"/>
      <c r="O732" s="618"/>
      <c r="P732" s="618"/>
      <c r="Q732" s="618"/>
      <c r="R732" s="618"/>
      <c r="S732" s="618"/>
      <c r="T732" s="618"/>
      <c r="U732" s="618"/>
      <c r="V732" s="618"/>
      <c r="W732" s="618"/>
      <c r="X732" s="618"/>
      <c r="Y732" s="618"/>
      <c r="Z732" s="618"/>
      <c r="AA732" s="618"/>
      <c r="AB732" s="618"/>
      <c r="AC732" s="618"/>
      <c r="AD732" s="618"/>
      <c r="AE732" s="618"/>
      <c r="AF732" s="618"/>
      <c r="AG732" s="618"/>
      <c r="AH732" s="618"/>
      <c r="AI732" s="618"/>
      <c r="AJ732" s="618"/>
      <c r="AK732" s="618"/>
      <c r="AL732" s="618"/>
      <c r="AM732" s="3"/>
      <c r="AN732" s="3"/>
      <c r="AO732" s="3"/>
      <c r="AP732" s="3"/>
      <c r="AQ732" s="3"/>
      <c r="AR732" s="3"/>
      <c r="AS732" s="3"/>
      <c r="AT732" s="3"/>
      <c r="AU732" s="3"/>
      <c r="AV732" s="3"/>
      <c r="AW732" s="3"/>
      <c r="AX732" s="3"/>
      <c r="AY732" s="3"/>
      <c r="AZ732" s="3"/>
      <c r="BA732" s="3"/>
      <c r="BB732" s="3"/>
      <c r="BC732" s="3"/>
      <c r="BD732" s="3"/>
      <c r="BE732" s="3"/>
      <c r="BF732" s="3"/>
    </row>
    <row r="733" spans="1:58" ht="14.25" customHeight="1" x14ac:dyDescent="0.45">
      <c r="A733" s="618"/>
      <c r="B733" s="618"/>
      <c r="C733" s="618"/>
      <c r="D733" s="5"/>
      <c r="E733" s="24"/>
      <c r="F733" s="24"/>
      <c r="G733" s="24"/>
      <c r="H733" s="25"/>
      <c r="I733" s="618"/>
      <c r="J733" s="618"/>
      <c r="K733" s="618"/>
      <c r="L733" s="618"/>
      <c r="M733" s="618"/>
      <c r="N733" s="618"/>
      <c r="O733" s="618"/>
      <c r="P733" s="618"/>
      <c r="Q733" s="618"/>
      <c r="R733" s="618"/>
      <c r="S733" s="618"/>
      <c r="T733" s="618"/>
      <c r="U733" s="618"/>
      <c r="V733" s="618"/>
      <c r="W733" s="618"/>
      <c r="X733" s="618"/>
      <c r="Y733" s="618"/>
      <c r="Z733" s="618"/>
      <c r="AA733" s="618"/>
      <c r="AB733" s="618"/>
      <c r="AC733" s="618"/>
      <c r="AD733" s="618"/>
      <c r="AE733" s="618"/>
      <c r="AF733" s="618"/>
      <c r="AG733" s="618"/>
      <c r="AH733" s="618"/>
      <c r="AI733" s="618"/>
      <c r="AJ733" s="618"/>
      <c r="AK733" s="618"/>
      <c r="AL733" s="618"/>
      <c r="AM733" s="3"/>
      <c r="AN733" s="3"/>
      <c r="AO733" s="3"/>
      <c r="AP733" s="3"/>
      <c r="AQ733" s="3"/>
      <c r="AR733" s="3"/>
      <c r="AS733" s="3"/>
      <c r="AT733" s="3"/>
      <c r="AU733" s="3"/>
      <c r="AV733" s="3"/>
      <c r="AW733" s="3"/>
      <c r="AX733" s="3"/>
      <c r="AY733" s="3"/>
      <c r="AZ733" s="3"/>
      <c r="BA733" s="3"/>
      <c r="BB733" s="3"/>
      <c r="BC733" s="3"/>
      <c r="BD733" s="3"/>
      <c r="BE733" s="3"/>
      <c r="BF733" s="3"/>
    </row>
    <row r="734" spans="1:58" ht="14.25" customHeight="1" x14ac:dyDescent="0.45">
      <c r="A734" s="618"/>
      <c r="B734" s="618"/>
      <c r="C734" s="618"/>
      <c r="D734" s="5"/>
      <c r="E734" s="24"/>
      <c r="F734" s="24"/>
      <c r="G734" s="24"/>
      <c r="H734" s="25"/>
      <c r="I734" s="618"/>
      <c r="J734" s="618"/>
      <c r="K734" s="618"/>
      <c r="L734" s="618"/>
      <c r="M734" s="618"/>
      <c r="N734" s="618"/>
      <c r="O734" s="618"/>
      <c r="P734" s="618"/>
      <c r="Q734" s="618"/>
      <c r="R734" s="618"/>
      <c r="S734" s="618"/>
      <c r="T734" s="618"/>
      <c r="U734" s="618"/>
      <c r="V734" s="618"/>
      <c r="W734" s="618"/>
      <c r="X734" s="618"/>
      <c r="Y734" s="618"/>
      <c r="Z734" s="618"/>
      <c r="AA734" s="618"/>
      <c r="AB734" s="618"/>
      <c r="AC734" s="618"/>
      <c r="AD734" s="618"/>
      <c r="AE734" s="618"/>
      <c r="AF734" s="618"/>
      <c r="AG734" s="618"/>
      <c r="AH734" s="618"/>
      <c r="AI734" s="618"/>
      <c r="AJ734" s="618"/>
      <c r="AK734" s="618"/>
      <c r="AL734" s="618"/>
      <c r="AM734" s="3"/>
      <c r="AN734" s="3"/>
      <c r="AO734" s="3"/>
      <c r="AP734" s="3"/>
      <c r="AQ734" s="3"/>
      <c r="AR734" s="3"/>
      <c r="AS734" s="3"/>
      <c r="AT734" s="3"/>
      <c r="AU734" s="3"/>
      <c r="AV734" s="3"/>
      <c r="AW734" s="3"/>
      <c r="AX734" s="3"/>
      <c r="AY734" s="3"/>
      <c r="AZ734" s="3"/>
      <c r="BA734" s="3"/>
      <c r="BB734" s="3"/>
      <c r="BC734" s="3"/>
      <c r="BD734" s="3"/>
      <c r="BE734" s="3"/>
      <c r="BF734" s="3"/>
    </row>
    <row r="735" spans="1:58" ht="14.25" customHeight="1" x14ac:dyDescent="0.45">
      <c r="A735" s="618"/>
      <c r="B735" s="618"/>
      <c r="C735" s="618"/>
      <c r="D735" s="5"/>
      <c r="E735" s="24"/>
      <c r="F735" s="24"/>
      <c r="G735" s="24"/>
      <c r="H735" s="25"/>
      <c r="I735" s="618"/>
      <c r="J735" s="618"/>
      <c r="K735" s="618"/>
      <c r="L735" s="618"/>
      <c r="M735" s="618"/>
      <c r="N735" s="618"/>
      <c r="O735" s="618"/>
      <c r="P735" s="618"/>
      <c r="Q735" s="618"/>
      <c r="R735" s="618"/>
      <c r="S735" s="618"/>
      <c r="T735" s="618"/>
      <c r="U735" s="618"/>
      <c r="V735" s="618"/>
      <c r="W735" s="618"/>
      <c r="X735" s="618"/>
      <c r="Y735" s="618"/>
      <c r="Z735" s="618"/>
      <c r="AA735" s="618"/>
      <c r="AB735" s="618"/>
      <c r="AC735" s="618"/>
      <c r="AD735" s="618"/>
      <c r="AE735" s="618"/>
      <c r="AF735" s="618"/>
      <c r="AG735" s="618"/>
      <c r="AH735" s="618"/>
      <c r="AI735" s="618"/>
      <c r="AJ735" s="618"/>
      <c r="AK735" s="618"/>
      <c r="AL735" s="618"/>
      <c r="AM735" s="3"/>
      <c r="AN735" s="3"/>
      <c r="AO735" s="3"/>
      <c r="AP735" s="3"/>
      <c r="AQ735" s="3"/>
      <c r="AR735" s="3"/>
      <c r="AS735" s="3"/>
      <c r="AT735" s="3"/>
      <c r="AU735" s="3"/>
      <c r="AV735" s="3"/>
      <c r="AW735" s="3"/>
      <c r="AX735" s="3"/>
      <c r="AY735" s="3"/>
      <c r="AZ735" s="3"/>
      <c r="BA735" s="3"/>
      <c r="BB735" s="3"/>
      <c r="BC735" s="3"/>
      <c r="BD735" s="3"/>
      <c r="BE735" s="3"/>
      <c r="BF735" s="3"/>
    </row>
    <row r="736" spans="1:58" ht="14.25" customHeight="1" x14ac:dyDescent="0.45">
      <c r="A736" s="618"/>
      <c r="B736" s="618"/>
      <c r="C736" s="618"/>
      <c r="D736" s="5"/>
      <c r="E736" s="24"/>
      <c r="F736" s="24"/>
      <c r="G736" s="24"/>
      <c r="H736" s="25"/>
      <c r="I736" s="618"/>
      <c r="J736" s="618"/>
      <c r="K736" s="618"/>
      <c r="L736" s="618"/>
      <c r="M736" s="618"/>
      <c r="N736" s="618"/>
      <c r="O736" s="618"/>
      <c r="P736" s="618"/>
      <c r="Q736" s="618"/>
      <c r="R736" s="618"/>
      <c r="S736" s="618"/>
      <c r="T736" s="618"/>
      <c r="U736" s="618"/>
      <c r="V736" s="618"/>
      <c r="W736" s="618"/>
      <c r="X736" s="618"/>
      <c r="Y736" s="618"/>
      <c r="Z736" s="618"/>
      <c r="AA736" s="618"/>
      <c r="AB736" s="618"/>
      <c r="AC736" s="618"/>
      <c r="AD736" s="618"/>
      <c r="AE736" s="618"/>
      <c r="AF736" s="618"/>
      <c r="AG736" s="618"/>
      <c r="AH736" s="618"/>
      <c r="AI736" s="618"/>
      <c r="AJ736" s="618"/>
      <c r="AK736" s="618"/>
      <c r="AL736" s="618"/>
      <c r="AM736" s="3"/>
      <c r="AN736" s="3"/>
      <c r="AO736" s="3"/>
      <c r="AP736" s="3"/>
      <c r="AQ736" s="3"/>
      <c r="AR736" s="3"/>
      <c r="AS736" s="3"/>
      <c r="AT736" s="3"/>
      <c r="AU736" s="3"/>
      <c r="AV736" s="3"/>
      <c r="AW736" s="3"/>
      <c r="AX736" s="3"/>
      <c r="AY736" s="3"/>
      <c r="AZ736" s="3"/>
      <c r="BA736" s="3"/>
      <c r="BB736" s="3"/>
      <c r="BC736" s="3"/>
      <c r="BD736" s="3"/>
      <c r="BE736" s="3"/>
      <c r="BF736" s="3"/>
    </row>
    <row r="737" spans="1:58" ht="14.25" customHeight="1" x14ac:dyDescent="0.45">
      <c r="A737" s="618"/>
      <c r="B737" s="618"/>
      <c r="C737" s="618"/>
      <c r="D737" s="5"/>
      <c r="E737" s="24"/>
      <c r="F737" s="24"/>
      <c r="G737" s="24"/>
      <c r="H737" s="25"/>
      <c r="I737" s="618"/>
      <c r="J737" s="618"/>
      <c r="K737" s="618"/>
      <c r="L737" s="618"/>
      <c r="M737" s="618"/>
      <c r="N737" s="618"/>
      <c r="O737" s="618"/>
      <c r="P737" s="618"/>
      <c r="Q737" s="618"/>
      <c r="R737" s="618"/>
      <c r="S737" s="618"/>
      <c r="T737" s="618"/>
      <c r="U737" s="618"/>
      <c r="V737" s="618"/>
      <c r="W737" s="618"/>
      <c r="X737" s="618"/>
      <c r="Y737" s="618"/>
      <c r="Z737" s="618"/>
      <c r="AA737" s="618"/>
      <c r="AB737" s="618"/>
      <c r="AC737" s="618"/>
      <c r="AD737" s="618"/>
      <c r="AE737" s="618"/>
      <c r="AF737" s="618"/>
      <c r="AG737" s="618"/>
      <c r="AH737" s="618"/>
      <c r="AI737" s="618"/>
      <c r="AJ737" s="618"/>
      <c r="AK737" s="618"/>
      <c r="AL737" s="618"/>
      <c r="AM737" s="3"/>
      <c r="AN737" s="3"/>
      <c r="AO737" s="3"/>
      <c r="AP737" s="3"/>
      <c r="AQ737" s="3"/>
      <c r="AR737" s="3"/>
      <c r="AS737" s="3"/>
      <c r="AT737" s="3"/>
      <c r="AU737" s="3"/>
      <c r="AV737" s="3"/>
      <c r="AW737" s="3"/>
      <c r="AX737" s="3"/>
      <c r="AY737" s="3"/>
      <c r="AZ737" s="3"/>
      <c r="BA737" s="3"/>
      <c r="BB737" s="3"/>
      <c r="BC737" s="3"/>
      <c r="BD737" s="3"/>
      <c r="BE737" s="3"/>
      <c r="BF737" s="3"/>
    </row>
    <row r="738" spans="1:58" ht="14.25" customHeight="1" x14ac:dyDescent="0.45">
      <c r="A738" s="618"/>
      <c r="B738" s="618"/>
      <c r="C738" s="618"/>
      <c r="D738" s="5"/>
      <c r="E738" s="24"/>
      <c r="F738" s="24"/>
      <c r="G738" s="24"/>
      <c r="H738" s="25"/>
      <c r="I738" s="618"/>
      <c r="J738" s="618"/>
      <c r="K738" s="618"/>
      <c r="L738" s="618"/>
      <c r="M738" s="618"/>
      <c r="N738" s="618"/>
      <c r="O738" s="618"/>
      <c r="P738" s="618"/>
      <c r="Q738" s="618"/>
      <c r="R738" s="618"/>
      <c r="S738" s="618"/>
      <c r="T738" s="618"/>
      <c r="U738" s="618"/>
      <c r="V738" s="618"/>
      <c r="W738" s="618"/>
      <c r="X738" s="618"/>
      <c r="Y738" s="618"/>
      <c r="Z738" s="618"/>
      <c r="AA738" s="618"/>
      <c r="AB738" s="618"/>
      <c r="AC738" s="618"/>
      <c r="AD738" s="618"/>
      <c r="AE738" s="618"/>
      <c r="AF738" s="618"/>
      <c r="AG738" s="618"/>
      <c r="AH738" s="618"/>
      <c r="AI738" s="618"/>
      <c r="AJ738" s="618"/>
      <c r="AK738" s="618"/>
      <c r="AL738" s="618"/>
      <c r="AM738" s="3"/>
      <c r="AN738" s="3"/>
      <c r="AO738" s="3"/>
      <c r="AP738" s="3"/>
      <c r="AQ738" s="3"/>
      <c r="AR738" s="3"/>
      <c r="AS738" s="3"/>
      <c r="AT738" s="3"/>
      <c r="AU738" s="3"/>
      <c r="AV738" s="3"/>
      <c r="AW738" s="3"/>
      <c r="AX738" s="3"/>
      <c r="AY738" s="3"/>
      <c r="AZ738" s="3"/>
      <c r="BA738" s="3"/>
      <c r="BB738" s="3"/>
      <c r="BC738" s="3"/>
      <c r="BD738" s="3"/>
      <c r="BE738" s="3"/>
      <c r="BF738" s="3"/>
    </row>
    <row r="739" spans="1:58" ht="14.25" customHeight="1" x14ac:dyDescent="0.45">
      <c r="A739" s="618"/>
      <c r="B739" s="618"/>
      <c r="C739" s="618"/>
      <c r="D739" s="5"/>
      <c r="E739" s="24"/>
      <c r="F739" s="24"/>
      <c r="G739" s="24"/>
      <c r="H739" s="25"/>
      <c r="I739" s="618"/>
      <c r="J739" s="618"/>
      <c r="K739" s="618"/>
      <c r="L739" s="618"/>
      <c r="M739" s="618"/>
      <c r="N739" s="618"/>
      <c r="O739" s="618"/>
      <c r="P739" s="618"/>
      <c r="Q739" s="618"/>
      <c r="R739" s="618"/>
      <c r="S739" s="618"/>
      <c r="T739" s="618"/>
      <c r="U739" s="618"/>
      <c r="V739" s="618"/>
      <c r="W739" s="618"/>
      <c r="X739" s="618"/>
      <c r="Y739" s="618"/>
      <c r="Z739" s="618"/>
      <c r="AA739" s="618"/>
      <c r="AB739" s="618"/>
      <c r="AC739" s="618"/>
      <c r="AD739" s="618"/>
      <c r="AE739" s="618"/>
      <c r="AF739" s="618"/>
      <c r="AG739" s="618"/>
      <c r="AH739" s="618"/>
      <c r="AI739" s="618"/>
      <c r="AJ739" s="618"/>
      <c r="AK739" s="618"/>
      <c r="AL739" s="618"/>
      <c r="AM739" s="3"/>
      <c r="AN739" s="3"/>
      <c r="AO739" s="3"/>
      <c r="AP739" s="3"/>
      <c r="AQ739" s="3"/>
      <c r="AR739" s="3"/>
      <c r="AS739" s="3"/>
      <c r="AT739" s="3"/>
      <c r="AU739" s="3"/>
      <c r="AV739" s="3"/>
      <c r="AW739" s="3"/>
      <c r="AX739" s="3"/>
      <c r="AY739" s="3"/>
      <c r="AZ739" s="3"/>
      <c r="BA739" s="3"/>
      <c r="BB739" s="3"/>
      <c r="BC739" s="3"/>
      <c r="BD739" s="3"/>
      <c r="BE739" s="3"/>
      <c r="BF739" s="3"/>
    </row>
    <row r="740" spans="1:58" ht="14.25" customHeight="1" x14ac:dyDescent="0.45">
      <c r="A740" s="618"/>
      <c r="B740" s="618"/>
      <c r="C740" s="618"/>
      <c r="D740" s="5"/>
      <c r="E740" s="24"/>
      <c r="F740" s="24"/>
      <c r="G740" s="24"/>
      <c r="H740" s="25"/>
      <c r="I740" s="618"/>
      <c r="J740" s="618"/>
      <c r="K740" s="618"/>
      <c r="L740" s="618"/>
      <c r="M740" s="618"/>
      <c r="N740" s="618"/>
      <c r="O740" s="618"/>
      <c r="P740" s="618"/>
      <c r="Q740" s="618"/>
      <c r="R740" s="618"/>
      <c r="S740" s="618"/>
      <c r="T740" s="618"/>
      <c r="U740" s="618"/>
      <c r="V740" s="618"/>
      <c r="W740" s="618"/>
      <c r="X740" s="618"/>
      <c r="Y740" s="618"/>
      <c r="Z740" s="618"/>
      <c r="AA740" s="618"/>
      <c r="AB740" s="618"/>
      <c r="AC740" s="618"/>
      <c r="AD740" s="618"/>
      <c r="AE740" s="618"/>
      <c r="AF740" s="618"/>
      <c r="AG740" s="618"/>
      <c r="AH740" s="618"/>
      <c r="AI740" s="618"/>
      <c r="AJ740" s="618"/>
      <c r="AK740" s="618"/>
      <c r="AL740" s="618"/>
      <c r="AM740" s="3"/>
      <c r="AN740" s="3"/>
      <c r="AO740" s="3"/>
      <c r="AP740" s="3"/>
      <c r="AQ740" s="3"/>
      <c r="AR740" s="3"/>
      <c r="AS740" s="3"/>
      <c r="AT740" s="3"/>
      <c r="AU740" s="3"/>
      <c r="AV740" s="3"/>
      <c r="AW740" s="3"/>
      <c r="AX740" s="3"/>
      <c r="AY740" s="3"/>
      <c r="AZ740" s="3"/>
      <c r="BA740" s="3"/>
      <c r="BB740" s="3"/>
      <c r="BC740" s="3"/>
      <c r="BD740" s="3"/>
      <c r="BE740" s="3"/>
      <c r="BF740" s="3"/>
    </row>
    <row r="741" spans="1:58" ht="14.25" customHeight="1" x14ac:dyDescent="0.45">
      <c r="A741" s="618"/>
      <c r="B741" s="618"/>
      <c r="C741" s="618"/>
      <c r="D741" s="5"/>
      <c r="E741" s="24"/>
      <c r="F741" s="24"/>
      <c r="G741" s="24"/>
      <c r="H741" s="25"/>
      <c r="I741" s="618"/>
      <c r="J741" s="618"/>
      <c r="K741" s="618"/>
      <c r="L741" s="618"/>
      <c r="M741" s="618"/>
      <c r="N741" s="618"/>
      <c r="O741" s="618"/>
      <c r="P741" s="618"/>
      <c r="Q741" s="618"/>
      <c r="R741" s="618"/>
      <c r="S741" s="618"/>
      <c r="T741" s="618"/>
      <c r="U741" s="618"/>
      <c r="V741" s="618"/>
      <c r="W741" s="618"/>
      <c r="X741" s="618"/>
      <c r="Y741" s="618"/>
      <c r="Z741" s="618"/>
      <c r="AA741" s="618"/>
      <c r="AB741" s="618"/>
      <c r="AC741" s="618"/>
      <c r="AD741" s="618"/>
      <c r="AE741" s="618"/>
      <c r="AF741" s="618"/>
      <c r="AG741" s="618"/>
      <c r="AH741" s="618"/>
      <c r="AI741" s="618"/>
      <c r="AJ741" s="618"/>
      <c r="AK741" s="618"/>
      <c r="AL741" s="618"/>
      <c r="AM741" s="3"/>
      <c r="AN741" s="3"/>
      <c r="AO741" s="3"/>
      <c r="AP741" s="3"/>
      <c r="AQ741" s="3"/>
      <c r="AR741" s="3"/>
      <c r="AS741" s="3"/>
      <c r="AT741" s="3"/>
      <c r="AU741" s="3"/>
      <c r="AV741" s="3"/>
      <c r="AW741" s="3"/>
      <c r="AX741" s="3"/>
      <c r="AY741" s="3"/>
      <c r="AZ741" s="3"/>
      <c r="BA741" s="3"/>
      <c r="BB741" s="3"/>
      <c r="BC741" s="3"/>
      <c r="BD741" s="3"/>
      <c r="BE741" s="3"/>
      <c r="BF741" s="3"/>
    </row>
    <row r="742" spans="1:58" ht="14.25" customHeight="1" x14ac:dyDescent="0.45">
      <c r="A742" s="618"/>
      <c r="B742" s="618"/>
      <c r="C742" s="618"/>
      <c r="D742" s="5"/>
      <c r="E742" s="24"/>
      <c r="F742" s="24"/>
      <c r="G742" s="24"/>
      <c r="H742" s="25"/>
      <c r="I742" s="618"/>
      <c r="J742" s="618"/>
      <c r="K742" s="618"/>
      <c r="L742" s="618"/>
      <c r="M742" s="618"/>
      <c r="N742" s="618"/>
      <c r="O742" s="618"/>
      <c r="P742" s="618"/>
      <c r="Q742" s="618"/>
      <c r="R742" s="618"/>
      <c r="S742" s="618"/>
      <c r="T742" s="618"/>
      <c r="U742" s="618"/>
      <c r="V742" s="618"/>
      <c r="W742" s="618"/>
      <c r="X742" s="618"/>
      <c r="Y742" s="618"/>
      <c r="Z742" s="618"/>
      <c r="AA742" s="618"/>
      <c r="AB742" s="618"/>
      <c r="AC742" s="618"/>
      <c r="AD742" s="618"/>
      <c r="AE742" s="618"/>
      <c r="AF742" s="618"/>
      <c r="AG742" s="618"/>
      <c r="AH742" s="618"/>
      <c r="AI742" s="618"/>
      <c r="AJ742" s="618"/>
      <c r="AK742" s="618"/>
      <c r="AL742" s="618"/>
      <c r="AM742" s="3"/>
      <c r="AN742" s="3"/>
      <c r="AO742" s="3"/>
      <c r="AP742" s="3"/>
      <c r="AQ742" s="3"/>
      <c r="AR742" s="3"/>
      <c r="AS742" s="3"/>
      <c r="AT742" s="3"/>
      <c r="AU742" s="3"/>
      <c r="AV742" s="3"/>
      <c r="AW742" s="3"/>
      <c r="AX742" s="3"/>
      <c r="AY742" s="3"/>
      <c r="AZ742" s="3"/>
      <c r="BA742" s="3"/>
      <c r="BB742" s="3"/>
      <c r="BC742" s="3"/>
      <c r="BD742" s="3"/>
      <c r="BE742" s="3"/>
      <c r="BF742" s="3"/>
    </row>
    <row r="743" spans="1:58" ht="14.25" customHeight="1" x14ac:dyDescent="0.45">
      <c r="A743" s="618"/>
      <c r="B743" s="618"/>
      <c r="C743" s="618"/>
      <c r="D743" s="5"/>
      <c r="E743" s="24"/>
      <c r="F743" s="24"/>
      <c r="G743" s="24"/>
      <c r="H743" s="25"/>
      <c r="I743" s="618"/>
      <c r="J743" s="618"/>
      <c r="K743" s="618"/>
      <c r="L743" s="618"/>
      <c r="M743" s="618"/>
      <c r="N743" s="618"/>
      <c r="O743" s="618"/>
      <c r="P743" s="618"/>
      <c r="Q743" s="618"/>
      <c r="R743" s="618"/>
      <c r="S743" s="618"/>
      <c r="T743" s="618"/>
      <c r="U743" s="618"/>
      <c r="V743" s="618"/>
      <c r="W743" s="618"/>
      <c r="X743" s="618"/>
      <c r="Y743" s="618"/>
      <c r="Z743" s="618"/>
      <c r="AA743" s="618"/>
      <c r="AB743" s="618"/>
      <c r="AC743" s="618"/>
      <c r="AD743" s="618"/>
      <c r="AE743" s="618"/>
      <c r="AF743" s="618"/>
      <c r="AG743" s="618"/>
      <c r="AH743" s="618"/>
      <c r="AI743" s="618"/>
      <c r="AJ743" s="618"/>
      <c r="AK743" s="618"/>
      <c r="AL743" s="618"/>
      <c r="AM743" s="3"/>
      <c r="AN743" s="3"/>
      <c r="AO743" s="3"/>
      <c r="AP743" s="3"/>
      <c r="AQ743" s="3"/>
      <c r="AR743" s="3"/>
      <c r="AS743" s="3"/>
      <c r="AT743" s="3"/>
      <c r="AU743" s="3"/>
      <c r="AV743" s="3"/>
      <c r="AW743" s="3"/>
      <c r="AX743" s="3"/>
      <c r="AY743" s="3"/>
      <c r="AZ743" s="3"/>
      <c r="BA743" s="3"/>
      <c r="BB743" s="3"/>
      <c r="BC743" s="3"/>
      <c r="BD743" s="3"/>
      <c r="BE743" s="3"/>
      <c r="BF743" s="3"/>
    </row>
    <row r="744" spans="1:58" ht="14.25" customHeight="1" x14ac:dyDescent="0.45">
      <c r="A744" s="618"/>
      <c r="B744" s="618"/>
      <c r="C744" s="618"/>
      <c r="D744" s="5"/>
      <c r="E744" s="24"/>
      <c r="F744" s="24"/>
      <c r="G744" s="24"/>
      <c r="H744" s="25"/>
      <c r="I744" s="618"/>
      <c r="J744" s="618"/>
      <c r="K744" s="618"/>
      <c r="L744" s="618"/>
      <c r="M744" s="618"/>
      <c r="N744" s="618"/>
      <c r="O744" s="618"/>
      <c r="P744" s="618"/>
      <c r="Q744" s="618"/>
      <c r="R744" s="618"/>
      <c r="S744" s="618"/>
      <c r="T744" s="618"/>
      <c r="U744" s="618"/>
      <c r="V744" s="618"/>
      <c r="W744" s="618"/>
      <c r="X744" s="618"/>
      <c r="Y744" s="618"/>
      <c r="Z744" s="618"/>
      <c r="AA744" s="618"/>
      <c r="AB744" s="618"/>
      <c r="AC744" s="618"/>
      <c r="AD744" s="618"/>
      <c r="AE744" s="618"/>
      <c r="AF744" s="618"/>
      <c r="AG744" s="618"/>
      <c r="AH744" s="618"/>
      <c r="AI744" s="618"/>
      <c r="AJ744" s="618"/>
      <c r="AK744" s="618"/>
      <c r="AL744" s="618"/>
      <c r="AM744" s="3"/>
      <c r="AN744" s="3"/>
      <c r="AO744" s="3"/>
      <c r="AP744" s="3"/>
      <c r="AQ744" s="3"/>
      <c r="AR744" s="3"/>
      <c r="AS744" s="3"/>
      <c r="AT744" s="3"/>
      <c r="AU744" s="3"/>
      <c r="AV744" s="3"/>
      <c r="AW744" s="3"/>
      <c r="AX744" s="3"/>
      <c r="AY744" s="3"/>
      <c r="AZ744" s="3"/>
      <c r="BA744" s="3"/>
      <c r="BB744" s="3"/>
      <c r="BC744" s="3"/>
      <c r="BD744" s="3"/>
      <c r="BE744" s="3"/>
      <c r="BF744" s="3"/>
    </row>
    <row r="745" spans="1:58" ht="14.25" customHeight="1" x14ac:dyDescent="0.45">
      <c r="A745" s="618"/>
      <c r="B745" s="618"/>
      <c r="C745" s="618"/>
      <c r="D745" s="5"/>
      <c r="E745" s="24"/>
      <c r="F745" s="24"/>
      <c r="G745" s="24"/>
      <c r="H745" s="25"/>
      <c r="I745" s="618"/>
      <c r="J745" s="618"/>
      <c r="K745" s="618"/>
      <c r="L745" s="618"/>
      <c r="M745" s="618"/>
      <c r="N745" s="618"/>
      <c r="O745" s="618"/>
      <c r="P745" s="618"/>
      <c r="Q745" s="618"/>
      <c r="R745" s="618"/>
      <c r="S745" s="618"/>
      <c r="T745" s="618"/>
      <c r="U745" s="618"/>
      <c r="V745" s="618"/>
      <c r="W745" s="618"/>
      <c r="X745" s="618"/>
      <c r="Y745" s="618"/>
      <c r="Z745" s="618"/>
      <c r="AA745" s="618"/>
      <c r="AB745" s="618"/>
      <c r="AC745" s="618"/>
      <c r="AD745" s="618"/>
      <c r="AE745" s="618"/>
      <c r="AF745" s="618"/>
      <c r="AG745" s="618"/>
      <c r="AH745" s="618"/>
      <c r="AI745" s="618"/>
      <c r="AJ745" s="618"/>
      <c r="AK745" s="618"/>
      <c r="AL745" s="618"/>
      <c r="AM745" s="3"/>
      <c r="AN745" s="3"/>
      <c r="AO745" s="3"/>
      <c r="AP745" s="3"/>
      <c r="AQ745" s="3"/>
      <c r="AR745" s="3"/>
      <c r="AS745" s="3"/>
      <c r="AT745" s="3"/>
      <c r="AU745" s="3"/>
      <c r="AV745" s="3"/>
      <c r="AW745" s="3"/>
      <c r="AX745" s="3"/>
      <c r="AY745" s="3"/>
      <c r="AZ745" s="3"/>
      <c r="BA745" s="3"/>
      <c r="BB745" s="3"/>
      <c r="BC745" s="3"/>
      <c r="BD745" s="3"/>
      <c r="BE745" s="3"/>
      <c r="BF745" s="3"/>
    </row>
    <row r="746" spans="1:58" ht="14.25" customHeight="1" x14ac:dyDescent="0.45">
      <c r="A746" s="618"/>
      <c r="B746" s="618"/>
      <c r="C746" s="618"/>
      <c r="D746" s="5"/>
      <c r="E746" s="24"/>
      <c r="F746" s="24"/>
      <c r="G746" s="24"/>
      <c r="H746" s="25"/>
      <c r="I746" s="618"/>
      <c r="J746" s="618"/>
      <c r="K746" s="618"/>
      <c r="L746" s="618"/>
      <c r="M746" s="618"/>
      <c r="N746" s="618"/>
      <c r="O746" s="618"/>
      <c r="P746" s="618"/>
      <c r="Q746" s="618"/>
      <c r="R746" s="618"/>
      <c r="S746" s="618"/>
      <c r="T746" s="618"/>
      <c r="U746" s="618"/>
      <c r="V746" s="618"/>
      <c r="W746" s="618"/>
      <c r="X746" s="618"/>
      <c r="Y746" s="618"/>
      <c r="Z746" s="618"/>
      <c r="AA746" s="618"/>
      <c r="AB746" s="618"/>
      <c r="AC746" s="618"/>
      <c r="AD746" s="618"/>
      <c r="AE746" s="618"/>
      <c r="AF746" s="618"/>
      <c r="AG746" s="618"/>
      <c r="AH746" s="618"/>
      <c r="AI746" s="618"/>
      <c r="AJ746" s="618"/>
      <c r="AK746" s="618"/>
      <c r="AL746" s="618"/>
      <c r="AM746" s="3"/>
      <c r="AN746" s="3"/>
      <c r="AO746" s="3"/>
      <c r="AP746" s="3"/>
      <c r="AQ746" s="3"/>
      <c r="AR746" s="3"/>
      <c r="AS746" s="3"/>
      <c r="AT746" s="3"/>
      <c r="AU746" s="3"/>
      <c r="AV746" s="3"/>
      <c r="AW746" s="3"/>
      <c r="AX746" s="3"/>
      <c r="AY746" s="3"/>
      <c r="AZ746" s="3"/>
      <c r="BA746" s="3"/>
      <c r="BB746" s="3"/>
      <c r="BC746" s="3"/>
      <c r="BD746" s="3"/>
      <c r="BE746" s="3"/>
      <c r="BF746" s="3"/>
    </row>
    <row r="747" spans="1:58" ht="14.25" customHeight="1" x14ac:dyDescent="0.45">
      <c r="A747" s="618"/>
      <c r="B747" s="618"/>
      <c r="C747" s="618"/>
      <c r="D747" s="5"/>
      <c r="E747" s="24"/>
      <c r="F747" s="24"/>
      <c r="G747" s="24"/>
      <c r="H747" s="25"/>
      <c r="I747" s="618"/>
      <c r="J747" s="618"/>
      <c r="K747" s="618"/>
      <c r="L747" s="618"/>
      <c r="M747" s="618"/>
      <c r="N747" s="618"/>
      <c r="O747" s="618"/>
      <c r="P747" s="618"/>
      <c r="Q747" s="618"/>
      <c r="R747" s="618"/>
      <c r="S747" s="618"/>
      <c r="T747" s="618"/>
      <c r="U747" s="618"/>
      <c r="V747" s="618"/>
      <c r="W747" s="618"/>
      <c r="X747" s="618"/>
      <c r="Y747" s="618"/>
      <c r="Z747" s="618"/>
      <c r="AA747" s="618"/>
      <c r="AB747" s="618"/>
      <c r="AC747" s="618"/>
      <c r="AD747" s="618"/>
      <c r="AE747" s="618"/>
      <c r="AF747" s="618"/>
      <c r="AG747" s="618"/>
      <c r="AH747" s="618"/>
      <c r="AI747" s="618"/>
      <c r="AJ747" s="618"/>
      <c r="AK747" s="618"/>
      <c r="AL747" s="618"/>
      <c r="AM747" s="3"/>
      <c r="AN747" s="3"/>
      <c r="AO747" s="3"/>
      <c r="AP747" s="3"/>
      <c r="AQ747" s="3"/>
      <c r="AR747" s="3"/>
      <c r="AS747" s="3"/>
      <c r="AT747" s="3"/>
      <c r="AU747" s="3"/>
      <c r="AV747" s="3"/>
      <c r="AW747" s="3"/>
      <c r="AX747" s="3"/>
      <c r="AY747" s="3"/>
      <c r="AZ747" s="3"/>
      <c r="BA747" s="3"/>
      <c r="BB747" s="3"/>
      <c r="BC747" s="3"/>
      <c r="BD747" s="3"/>
      <c r="BE747" s="3"/>
      <c r="BF747" s="3"/>
    </row>
    <row r="748" spans="1:58" ht="14.25" customHeight="1" x14ac:dyDescent="0.45">
      <c r="A748" s="618"/>
      <c r="B748" s="618"/>
      <c r="C748" s="618"/>
      <c r="D748" s="5"/>
      <c r="E748" s="24"/>
      <c r="F748" s="24"/>
      <c r="G748" s="24"/>
      <c r="H748" s="25"/>
      <c r="I748" s="618"/>
      <c r="J748" s="618"/>
      <c r="K748" s="618"/>
      <c r="L748" s="618"/>
      <c r="M748" s="618"/>
      <c r="N748" s="618"/>
      <c r="O748" s="618"/>
      <c r="P748" s="618"/>
      <c r="Q748" s="618"/>
      <c r="R748" s="618"/>
      <c r="S748" s="618"/>
      <c r="T748" s="618"/>
      <c r="U748" s="618"/>
      <c r="V748" s="618"/>
      <c r="W748" s="618"/>
      <c r="X748" s="618"/>
      <c r="Y748" s="618"/>
      <c r="Z748" s="618"/>
      <c r="AA748" s="618"/>
      <c r="AB748" s="618"/>
      <c r="AC748" s="618"/>
      <c r="AD748" s="618"/>
      <c r="AE748" s="618"/>
      <c r="AF748" s="618"/>
      <c r="AG748" s="618"/>
      <c r="AH748" s="618"/>
      <c r="AI748" s="618"/>
      <c r="AJ748" s="618"/>
      <c r="AK748" s="618"/>
      <c r="AL748" s="618"/>
      <c r="AM748" s="3"/>
      <c r="AN748" s="3"/>
      <c r="AO748" s="3"/>
      <c r="AP748" s="3"/>
      <c r="AQ748" s="3"/>
      <c r="AR748" s="3"/>
      <c r="AS748" s="3"/>
      <c r="AT748" s="3"/>
      <c r="AU748" s="3"/>
      <c r="AV748" s="3"/>
      <c r="AW748" s="3"/>
      <c r="AX748" s="3"/>
      <c r="AY748" s="3"/>
      <c r="AZ748" s="3"/>
      <c r="BA748" s="3"/>
      <c r="BB748" s="3"/>
      <c r="BC748" s="3"/>
      <c r="BD748" s="3"/>
      <c r="BE748" s="3"/>
      <c r="BF748" s="3"/>
    </row>
    <row r="749" spans="1:58" ht="14.25" customHeight="1" x14ac:dyDescent="0.45">
      <c r="A749" s="618"/>
      <c r="B749" s="618"/>
      <c r="C749" s="618"/>
      <c r="D749" s="5"/>
      <c r="E749" s="24"/>
      <c r="F749" s="24"/>
      <c r="G749" s="24"/>
      <c r="H749" s="25"/>
      <c r="I749" s="618"/>
      <c r="J749" s="618"/>
      <c r="K749" s="618"/>
      <c r="L749" s="618"/>
      <c r="M749" s="618"/>
      <c r="N749" s="618"/>
      <c r="O749" s="618"/>
      <c r="P749" s="618"/>
      <c r="Q749" s="618"/>
      <c r="R749" s="618"/>
      <c r="S749" s="618"/>
      <c r="T749" s="618"/>
      <c r="U749" s="618"/>
      <c r="V749" s="618"/>
      <c r="W749" s="618"/>
      <c r="X749" s="618"/>
      <c r="Y749" s="618"/>
      <c r="Z749" s="618"/>
      <c r="AA749" s="618"/>
      <c r="AB749" s="618"/>
      <c r="AC749" s="618"/>
      <c r="AD749" s="618"/>
      <c r="AE749" s="618"/>
      <c r="AF749" s="618"/>
      <c r="AG749" s="618"/>
      <c r="AH749" s="618"/>
      <c r="AI749" s="618"/>
      <c r="AJ749" s="618"/>
      <c r="AK749" s="618"/>
      <c r="AL749" s="618"/>
      <c r="AM749" s="3"/>
      <c r="AN749" s="3"/>
      <c r="AO749" s="3"/>
      <c r="AP749" s="3"/>
      <c r="AQ749" s="3"/>
      <c r="AR749" s="3"/>
      <c r="AS749" s="3"/>
      <c r="AT749" s="3"/>
      <c r="AU749" s="3"/>
      <c r="AV749" s="3"/>
      <c r="AW749" s="3"/>
      <c r="AX749" s="3"/>
      <c r="AY749" s="3"/>
      <c r="AZ749" s="3"/>
      <c r="BA749" s="3"/>
      <c r="BB749" s="3"/>
      <c r="BC749" s="3"/>
      <c r="BD749" s="3"/>
      <c r="BE749" s="3"/>
      <c r="BF749" s="3"/>
    </row>
    <row r="750" spans="1:58" ht="14.25" customHeight="1" x14ac:dyDescent="0.45">
      <c r="A750" s="618"/>
      <c r="B750" s="618"/>
      <c r="C750" s="618"/>
      <c r="D750" s="5"/>
      <c r="E750" s="24"/>
      <c r="F750" s="24"/>
      <c r="G750" s="24"/>
      <c r="H750" s="25"/>
      <c r="I750" s="618"/>
      <c r="J750" s="618"/>
      <c r="K750" s="618"/>
      <c r="L750" s="618"/>
      <c r="M750" s="618"/>
      <c r="N750" s="618"/>
      <c r="O750" s="618"/>
      <c r="P750" s="618"/>
      <c r="Q750" s="618"/>
      <c r="R750" s="618"/>
      <c r="S750" s="618"/>
      <c r="T750" s="618"/>
      <c r="U750" s="618"/>
      <c r="V750" s="618"/>
      <c r="W750" s="618"/>
      <c r="X750" s="618"/>
      <c r="Y750" s="618"/>
      <c r="Z750" s="618"/>
      <c r="AA750" s="618"/>
      <c r="AB750" s="618"/>
      <c r="AC750" s="618"/>
      <c r="AD750" s="618"/>
      <c r="AE750" s="618"/>
      <c r="AF750" s="618"/>
      <c r="AG750" s="618"/>
      <c r="AH750" s="618"/>
      <c r="AI750" s="618"/>
      <c r="AJ750" s="618"/>
      <c r="AK750" s="618"/>
      <c r="AL750" s="618"/>
      <c r="AM750" s="3"/>
      <c r="AN750" s="3"/>
      <c r="AO750" s="3"/>
      <c r="AP750" s="3"/>
      <c r="AQ750" s="3"/>
      <c r="AR750" s="3"/>
      <c r="AS750" s="3"/>
      <c r="AT750" s="3"/>
      <c r="AU750" s="3"/>
      <c r="AV750" s="3"/>
      <c r="AW750" s="3"/>
      <c r="AX750" s="3"/>
      <c r="AY750" s="3"/>
      <c r="AZ750" s="3"/>
      <c r="BA750" s="3"/>
      <c r="BB750" s="3"/>
      <c r="BC750" s="3"/>
      <c r="BD750" s="3"/>
      <c r="BE750" s="3"/>
      <c r="BF750" s="3"/>
    </row>
    <row r="751" spans="1:58" ht="14.25" customHeight="1" x14ac:dyDescent="0.45">
      <c r="A751" s="618"/>
      <c r="B751" s="618"/>
      <c r="C751" s="618"/>
      <c r="D751" s="5"/>
      <c r="E751" s="24"/>
      <c r="F751" s="24"/>
      <c r="G751" s="24"/>
      <c r="H751" s="25"/>
      <c r="I751" s="618"/>
      <c r="J751" s="618"/>
      <c r="K751" s="618"/>
      <c r="L751" s="618"/>
      <c r="M751" s="618"/>
      <c r="N751" s="618"/>
      <c r="O751" s="618"/>
      <c r="P751" s="618"/>
      <c r="Q751" s="618"/>
      <c r="R751" s="618"/>
      <c r="S751" s="618"/>
      <c r="T751" s="618"/>
      <c r="U751" s="618"/>
      <c r="V751" s="618"/>
      <c r="W751" s="618"/>
      <c r="X751" s="618"/>
      <c r="Y751" s="618"/>
      <c r="Z751" s="618"/>
      <c r="AA751" s="618"/>
      <c r="AB751" s="618"/>
      <c r="AC751" s="618"/>
      <c r="AD751" s="618"/>
      <c r="AE751" s="618"/>
      <c r="AF751" s="618"/>
      <c r="AG751" s="618"/>
      <c r="AH751" s="618"/>
      <c r="AI751" s="618"/>
      <c r="AJ751" s="618"/>
      <c r="AK751" s="618"/>
      <c r="AL751" s="618"/>
      <c r="AM751" s="3"/>
      <c r="AN751" s="3"/>
      <c r="AO751" s="3"/>
      <c r="AP751" s="3"/>
      <c r="AQ751" s="3"/>
      <c r="AR751" s="3"/>
      <c r="AS751" s="3"/>
      <c r="AT751" s="3"/>
      <c r="AU751" s="3"/>
      <c r="AV751" s="3"/>
      <c r="AW751" s="3"/>
      <c r="AX751" s="3"/>
      <c r="AY751" s="3"/>
      <c r="AZ751" s="3"/>
      <c r="BA751" s="3"/>
      <c r="BB751" s="3"/>
      <c r="BC751" s="3"/>
      <c r="BD751" s="3"/>
      <c r="BE751" s="3"/>
      <c r="BF751" s="3"/>
    </row>
    <row r="752" spans="1:58" ht="14.25" customHeight="1" x14ac:dyDescent="0.45">
      <c r="A752" s="618"/>
      <c r="B752" s="618"/>
      <c r="C752" s="618"/>
      <c r="D752" s="5"/>
      <c r="E752" s="24"/>
      <c r="F752" s="24"/>
      <c r="G752" s="24"/>
      <c r="H752" s="25"/>
      <c r="I752" s="618"/>
      <c r="J752" s="618"/>
      <c r="K752" s="618"/>
      <c r="L752" s="618"/>
      <c r="M752" s="618"/>
      <c r="N752" s="618"/>
      <c r="O752" s="618"/>
      <c r="P752" s="618"/>
      <c r="Q752" s="618"/>
      <c r="R752" s="618"/>
      <c r="S752" s="618"/>
      <c r="T752" s="618"/>
      <c r="U752" s="618"/>
      <c r="V752" s="618"/>
      <c r="W752" s="618"/>
      <c r="X752" s="618"/>
      <c r="Y752" s="618"/>
      <c r="Z752" s="618"/>
      <c r="AA752" s="618"/>
      <c r="AB752" s="618"/>
      <c r="AC752" s="618"/>
      <c r="AD752" s="618"/>
      <c r="AE752" s="618"/>
      <c r="AF752" s="618"/>
      <c r="AG752" s="618"/>
      <c r="AH752" s="618"/>
      <c r="AI752" s="618"/>
      <c r="AJ752" s="618"/>
      <c r="AK752" s="618"/>
      <c r="AL752" s="618"/>
      <c r="AM752" s="3"/>
      <c r="AN752" s="3"/>
      <c r="AO752" s="3"/>
      <c r="AP752" s="3"/>
      <c r="AQ752" s="3"/>
      <c r="AR752" s="3"/>
      <c r="AS752" s="3"/>
      <c r="AT752" s="3"/>
      <c r="AU752" s="3"/>
      <c r="AV752" s="3"/>
      <c r="AW752" s="3"/>
      <c r="AX752" s="3"/>
      <c r="AY752" s="3"/>
      <c r="AZ752" s="3"/>
      <c r="BA752" s="3"/>
      <c r="BB752" s="3"/>
      <c r="BC752" s="3"/>
      <c r="BD752" s="3"/>
      <c r="BE752" s="3"/>
      <c r="BF752" s="3"/>
    </row>
    <row r="753" spans="1:58" ht="14.25" customHeight="1" x14ac:dyDescent="0.45">
      <c r="A753" s="618"/>
      <c r="B753" s="618"/>
      <c r="C753" s="618"/>
      <c r="D753" s="5"/>
      <c r="E753" s="24"/>
      <c r="F753" s="24"/>
      <c r="G753" s="24"/>
      <c r="H753" s="25"/>
      <c r="I753" s="618"/>
      <c r="J753" s="618"/>
      <c r="K753" s="618"/>
      <c r="L753" s="618"/>
      <c r="M753" s="618"/>
      <c r="N753" s="618"/>
      <c r="O753" s="618"/>
      <c r="P753" s="618"/>
      <c r="Q753" s="618"/>
      <c r="R753" s="618"/>
      <c r="S753" s="618"/>
      <c r="T753" s="618"/>
      <c r="U753" s="618"/>
      <c r="V753" s="618"/>
      <c r="W753" s="618"/>
      <c r="X753" s="618"/>
      <c r="Y753" s="618"/>
      <c r="Z753" s="618"/>
      <c r="AA753" s="618"/>
      <c r="AB753" s="618"/>
      <c r="AC753" s="618"/>
      <c r="AD753" s="618"/>
      <c r="AE753" s="618"/>
      <c r="AF753" s="618"/>
      <c r="AG753" s="618"/>
      <c r="AH753" s="618"/>
      <c r="AI753" s="618"/>
      <c r="AJ753" s="618"/>
      <c r="AK753" s="618"/>
      <c r="AL753" s="618"/>
      <c r="AM753" s="3"/>
      <c r="AN753" s="3"/>
      <c r="AO753" s="3"/>
      <c r="AP753" s="3"/>
      <c r="AQ753" s="3"/>
      <c r="AR753" s="3"/>
      <c r="AS753" s="3"/>
      <c r="AT753" s="3"/>
      <c r="AU753" s="3"/>
      <c r="AV753" s="3"/>
      <c r="AW753" s="3"/>
      <c r="AX753" s="3"/>
      <c r="AY753" s="3"/>
      <c r="AZ753" s="3"/>
      <c r="BA753" s="3"/>
      <c r="BB753" s="3"/>
      <c r="BC753" s="3"/>
      <c r="BD753" s="3"/>
      <c r="BE753" s="3"/>
      <c r="BF753" s="3"/>
    </row>
    <row r="754" spans="1:58" ht="14.25" customHeight="1" x14ac:dyDescent="0.45">
      <c r="A754" s="618"/>
      <c r="B754" s="618"/>
      <c r="C754" s="618"/>
      <c r="D754" s="5"/>
      <c r="E754" s="24"/>
      <c r="F754" s="24"/>
      <c r="G754" s="24"/>
      <c r="H754" s="25"/>
      <c r="I754" s="618"/>
      <c r="J754" s="618"/>
      <c r="K754" s="618"/>
      <c r="L754" s="618"/>
      <c r="M754" s="618"/>
      <c r="N754" s="618"/>
      <c r="O754" s="618"/>
      <c r="P754" s="618"/>
      <c r="Q754" s="618"/>
      <c r="R754" s="618"/>
      <c r="S754" s="618"/>
      <c r="T754" s="618"/>
      <c r="U754" s="618"/>
      <c r="V754" s="618"/>
      <c r="W754" s="618"/>
      <c r="X754" s="618"/>
      <c r="Y754" s="618"/>
      <c r="Z754" s="618"/>
      <c r="AA754" s="618"/>
      <c r="AB754" s="618"/>
      <c r="AC754" s="618"/>
      <c r="AD754" s="618"/>
      <c r="AE754" s="618"/>
      <c r="AF754" s="618"/>
      <c r="AG754" s="618"/>
      <c r="AH754" s="618"/>
      <c r="AI754" s="618"/>
      <c r="AJ754" s="618"/>
      <c r="AK754" s="618"/>
      <c r="AL754" s="618"/>
      <c r="AM754" s="3"/>
      <c r="AN754" s="3"/>
      <c r="AO754" s="3"/>
      <c r="AP754" s="3"/>
      <c r="AQ754" s="3"/>
      <c r="AR754" s="3"/>
      <c r="AS754" s="3"/>
      <c r="AT754" s="3"/>
      <c r="AU754" s="3"/>
      <c r="AV754" s="3"/>
      <c r="AW754" s="3"/>
      <c r="AX754" s="3"/>
      <c r="AY754" s="3"/>
      <c r="AZ754" s="3"/>
      <c r="BA754" s="3"/>
      <c r="BB754" s="3"/>
      <c r="BC754" s="3"/>
      <c r="BD754" s="3"/>
      <c r="BE754" s="3"/>
      <c r="BF754" s="3"/>
    </row>
    <row r="755" spans="1:58" ht="14.25" customHeight="1" x14ac:dyDescent="0.45">
      <c r="A755" s="618"/>
      <c r="B755" s="618"/>
      <c r="C755" s="618"/>
      <c r="D755" s="5"/>
      <c r="E755" s="24"/>
      <c r="F755" s="24"/>
      <c r="G755" s="24"/>
      <c r="H755" s="25"/>
      <c r="I755" s="618"/>
      <c r="J755" s="618"/>
      <c r="K755" s="618"/>
      <c r="L755" s="618"/>
      <c r="M755" s="618"/>
      <c r="N755" s="618"/>
      <c r="O755" s="618"/>
      <c r="P755" s="618"/>
      <c r="Q755" s="618"/>
      <c r="R755" s="618"/>
      <c r="S755" s="618"/>
      <c r="T755" s="618"/>
      <c r="U755" s="618"/>
      <c r="V755" s="618"/>
      <c r="W755" s="618"/>
      <c r="X755" s="618"/>
      <c r="Y755" s="618"/>
      <c r="Z755" s="618"/>
      <c r="AA755" s="618"/>
      <c r="AB755" s="618"/>
      <c r="AC755" s="618"/>
      <c r="AD755" s="618"/>
      <c r="AE755" s="618"/>
      <c r="AF755" s="618"/>
      <c r="AG755" s="618"/>
      <c r="AH755" s="618"/>
      <c r="AI755" s="618"/>
      <c r="AJ755" s="618"/>
      <c r="AK755" s="618"/>
      <c r="AL755" s="618"/>
      <c r="AM755" s="3"/>
      <c r="AN755" s="3"/>
      <c r="AO755" s="3"/>
      <c r="AP755" s="3"/>
      <c r="AQ755" s="3"/>
      <c r="AR755" s="3"/>
      <c r="AS755" s="3"/>
      <c r="AT755" s="3"/>
      <c r="AU755" s="3"/>
      <c r="AV755" s="3"/>
      <c r="AW755" s="3"/>
      <c r="AX755" s="3"/>
      <c r="AY755" s="3"/>
      <c r="AZ755" s="3"/>
      <c r="BA755" s="3"/>
      <c r="BB755" s="3"/>
      <c r="BC755" s="3"/>
      <c r="BD755" s="3"/>
      <c r="BE755" s="3"/>
      <c r="BF755" s="3"/>
    </row>
    <row r="756" spans="1:58" ht="14.25" customHeight="1" x14ac:dyDescent="0.45">
      <c r="A756" s="618"/>
      <c r="B756" s="618"/>
      <c r="C756" s="618"/>
      <c r="D756" s="5"/>
      <c r="E756" s="24"/>
      <c r="F756" s="24"/>
      <c r="G756" s="24"/>
      <c r="H756" s="25"/>
      <c r="I756" s="618"/>
      <c r="J756" s="618"/>
      <c r="K756" s="618"/>
      <c r="L756" s="618"/>
      <c r="M756" s="618"/>
      <c r="N756" s="618"/>
      <c r="O756" s="618"/>
      <c r="P756" s="618"/>
      <c r="Q756" s="618"/>
      <c r="R756" s="618"/>
      <c r="S756" s="618"/>
      <c r="T756" s="618"/>
      <c r="U756" s="618"/>
      <c r="V756" s="618"/>
      <c r="W756" s="618"/>
      <c r="X756" s="618"/>
      <c r="Y756" s="618"/>
      <c r="Z756" s="618"/>
      <c r="AA756" s="618"/>
      <c r="AB756" s="618"/>
      <c r="AC756" s="618"/>
      <c r="AD756" s="618"/>
      <c r="AE756" s="618"/>
      <c r="AF756" s="618"/>
      <c r="AG756" s="618"/>
      <c r="AH756" s="618"/>
      <c r="AI756" s="618"/>
      <c r="AJ756" s="618"/>
      <c r="AK756" s="618"/>
      <c r="AL756" s="618"/>
      <c r="AM756" s="3"/>
      <c r="AN756" s="3"/>
      <c r="AO756" s="3"/>
      <c r="AP756" s="3"/>
      <c r="AQ756" s="3"/>
      <c r="AR756" s="3"/>
      <c r="AS756" s="3"/>
      <c r="AT756" s="3"/>
      <c r="AU756" s="3"/>
      <c r="AV756" s="3"/>
      <c r="AW756" s="3"/>
      <c r="AX756" s="3"/>
      <c r="AY756" s="3"/>
      <c r="AZ756" s="3"/>
      <c r="BA756" s="3"/>
      <c r="BB756" s="3"/>
      <c r="BC756" s="3"/>
      <c r="BD756" s="3"/>
      <c r="BE756" s="3"/>
      <c r="BF756" s="3"/>
    </row>
    <row r="757" spans="1:58" ht="14.25" customHeight="1" x14ac:dyDescent="0.45">
      <c r="A757" s="618"/>
      <c r="B757" s="618"/>
      <c r="C757" s="618"/>
      <c r="D757" s="5"/>
      <c r="E757" s="24"/>
      <c r="F757" s="24"/>
      <c r="G757" s="24"/>
      <c r="H757" s="25"/>
      <c r="I757" s="618"/>
      <c r="J757" s="618"/>
      <c r="K757" s="618"/>
      <c r="L757" s="618"/>
      <c r="M757" s="618"/>
      <c r="N757" s="618"/>
      <c r="O757" s="618"/>
      <c r="P757" s="618"/>
      <c r="Q757" s="618"/>
      <c r="R757" s="618"/>
      <c r="S757" s="618"/>
      <c r="T757" s="618"/>
      <c r="U757" s="618"/>
      <c r="V757" s="618"/>
      <c r="W757" s="618"/>
      <c r="X757" s="618"/>
      <c r="Y757" s="618"/>
      <c r="Z757" s="618"/>
      <c r="AA757" s="618"/>
      <c r="AB757" s="618"/>
      <c r="AC757" s="618"/>
      <c r="AD757" s="618"/>
      <c r="AE757" s="618"/>
      <c r="AF757" s="618"/>
      <c r="AG757" s="618"/>
      <c r="AH757" s="618"/>
      <c r="AI757" s="618"/>
      <c r="AJ757" s="618"/>
      <c r="AK757" s="618"/>
      <c r="AL757" s="618"/>
      <c r="AM757" s="3"/>
      <c r="AN757" s="3"/>
      <c r="AO757" s="3"/>
      <c r="AP757" s="3"/>
      <c r="AQ757" s="3"/>
      <c r="AR757" s="3"/>
      <c r="AS757" s="3"/>
      <c r="AT757" s="3"/>
      <c r="AU757" s="3"/>
      <c r="AV757" s="3"/>
      <c r="AW757" s="3"/>
      <c r="AX757" s="3"/>
      <c r="AY757" s="3"/>
      <c r="AZ757" s="3"/>
      <c r="BA757" s="3"/>
      <c r="BB757" s="3"/>
      <c r="BC757" s="3"/>
      <c r="BD757" s="3"/>
      <c r="BE757" s="3"/>
      <c r="BF757" s="3"/>
    </row>
    <row r="758" spans="1:58" ht="14.25" customHeight="1" x14ac:dyDescent="0.45">
      <c r="A758" s="618"/>
      <c r="B758" s="618"/>
      <c r="C758" s="618"/>
      <c r="D758" s="5"/>
      <c r="E758" s="24"/>
      <c r="F758" s="24"/>
      <c r="G758" s="24"/>
      <c r="H758" s="25"/>
      <c r="I758" s="618"/>
      <c r="J758" s="618"/>
      <c r="K758" s="618"/>
      <c r="L758" s="618"/>
      <c r="M758" s="618"/>
      <c r="N758" s="618"/>
      <c r="O758" s="618"/>
      <c r="P758" s="618"/>
      <c r="Q758" s="618"/>
      <c r="R758" s="618"/>
      <c r="S758" s="618"/>
      <c r="T758" s="618"/>
      <c r="U758" s="618"/>
      <c r="V758" s="618"/>
      <c r="W758" s="618"/>
      <c r="X758" s="618"/>
      <c r="Y758" s="618"/>
      <c r="Z758" s="618"/>
      <c r="AA758" s="618"/>
      <c r="AB758" s="618"/>
      <c r="AC758" s="618"/>
      <c r="AD758" s="618"/>
      <c r="AE758" s="618"/>
      <c r="AF758" s="618"/>
      <c r="AG758" s="618"/>
      <c r="AH758" s="618"/>
      <c r="AI758" s="618"/>
      <c r="AJ758" s="618"/>
      <c r="AK758" s="618"/>
      <c r="AL758" s="618"/>
      <c r="AM758" s="3"/>
      <c r="AN758" s="3"/>
      <c r="AO758" s="3"/>
      <c r="AP758" s="3"/>
      <c r="AQ758" s="3"/>
      <c r="AR758" s="3"/>
      <c r="AS758" s="3"/>
      <c r="AT758" s="3"/>
      <c r="AU758" s="3"/>
      <c r="AV758" s="3"/>
      <c r="AW758" s="3"/>
      <c r="AX758" s="3"/>
      <c r="AY758" s="3"/>
      <c r="AZ758" s="3"/>
      <c r="BA758" s="3"/>
      <c r="BB758" s="3"/>
      <c r="BC758" s="3"/>
      <c r="BD758" s="3"/>
      <c r="BE758" s="3"/>
      <c r="BF758" s="3"/>
    </row>
    <row r="759" spans="1:58" ht="14.25" customHeight="1" x14ac:dyDescent="0.45">
      <c r="A759" s="618"/>
      <c r="B759" s="618"/>
      <c r="C759" s="618"/>
      <c r="D759" s="5"/>
      <c r="E759" s="24"/>
      <c r="F759" s="24"/>
      <c r="G759" s="24"/>
      <c r="H759" s="25"/>
      <c r="I759" s="618"/>
      <c r="J759" s="618"/>
      <c r="K759" s="618"/>
      <c r="L759" s="618"/>
      <c r="M759" s="618"/>
      <c r="N759" s="618"/>
      <c r="O759" s="618"/>
      <c r="P759" s="618"/>
      <c r="Q759" s="618"/>
      <c r="R759" s="618"/>
      <c r="S759" s="618"/>
      <c r="T759" s="618"/>
      <c r="U759" s="618"/>
      <c r="V759" s="618"/>
      <c r="W759" s="618"/>
      <c r="X759" s="618"/>
      <c r="Y759" s="618"/>
      <c r="Z759" s="618"/>
      <c r="AA759" s="618"/>
      <c r="AB759" s="618"/>
      <c r="AC759" s="618"/>
      <c r="AD759" s="618"/>
      <c r="AE759" s="618"/>
      <c r="AF759" s="618"/>
      <c r="AG759" s="618"/>
      <c r="AH759" s="618"/>
      <c r="AI759" s="618"/>
      <c r="AJ759" s="618"/>
      <c r="AK759" s="618"/>
      <c r="AL759" s="618"/>
      <c r="AM759" s="3"/>
      <c r="AN759" s="3"/>
      <c r="AO759" s="3"/>
      <c r="AP759" s="3"/>
      <c r="AQ759" s="3"/>
      <c r="AR759" s="3"/>
      <c r="AS759" s="3"/>
      <c r="AT759" s="3"/>
      <c r="AU759" s="3"/>
      <c r="AV759" s="3"/>
      <c r="AW759" s="3"/>
      <c r="AX759" s="3"/>
      <c r="AY759" s="3"/>
      <c r="AZ759" s="3"/>
      <c r="BA759" s="3"/>
      <c r="BB759" s="3"/>
      <c r="BC759" s="3"/>
      <c r="BD759" s="3"/>
      <c r="BE759" s="3"/>
      <c r="BF759" s="3"/>
    </row>
    <row r="760" spans="1:58" ht="14.25" customHeight="1" x14ac:dyDescent="0.45">
      <c r="A760" s="618"/>
      <c r="B760" s="618"/>
      <c r="C760" s="618"/>
      <c r="D760" s="5"/>
      <c r="E760" s="24"/>
      <c r="F760" s="24"/>
      <c r="G760" s="24"/>
      <c r="H760" s="25"/>
      <c r="I760" s="618"/>
      <c r="J760" s="618"/>
      <c r="K760" s="618"/>
      <c r="L760" s="618"/>
      <c r="M760" s="618"/>
      <c r="N760" s="618"/>
      <c r="O760" s="618"/>
      <c r="P760" s="618"/>
      <c r="Q760" s="618"/>
      <c r="R760" s="618"/>
      <c r="S760" s="618"/>
      <c r="T760" s="618"/>
      <c r="U760" s="618"/>
      <c r="V760" s="618"/>
      <c r="W760" s="618"/>
      <c r="X760" s="618"/>
      <c r="Y760" s="618"/>
      <c r="Z760" s="618"/>
      <c r="AA760" s="618"/>
      <c r="AB760" s="618"/>
      <c r="AC760" s="618"/>
      <c r="AD760" s="618"/>
      <c r="AE760" s="618"/>
      <c r="AF760" s="618"/>
      <c r="AG760" s="618"/>
      <c r="AH760" s="618"/>
      <c r="AI760" s="618"/>
      <c r="AJ760" s="618"/>
      <c r="AK760" s="618"/>
      <c r="AL760" s="618"/>
      <c r="AM760" s="3"/>
      <c r="AN760" s="3"/>
      <c r="AO760" s="3"/>
      <c r="AP760" s="3"/>
      <c r="AQ760" s="3"/>
      <c r="AR760" s="3"/>
      <c r="AS760" s="3"/>
      <c r="AT760" s="3"/>
      <c r="AU760" s="3"/>
      <c r="AV760" s="3"/>
      <c r="AW760" s="3"/>
      <c r="AX760" s="3"/>
      <c r="AY760" s="3"/>
      <c r="AZ760" s="3"/>
      <c r="BA760" s="3"/>
      <c r="BB760" s="3"/>
      <c r="BC760" s="3"/>
      <c r="BD760" s="3"/>
      <c r="BE760" s="3"/>
      <c r="BF760" s="3"/>
    </row>
    <row r="761" spans="1:58" ht="14.25" customHeight="1" x14ac:dyDescent="0.45">
      <c r="A761" s="618"/>
      <c r="B761" s="618"/>
      <c r="C761" s="618"/>
      <c r="D761" s="5"/>
      <c r="E761" s="24"/>
      <c r="F761" s="24"/>
      <c r="G761" s="24"/>
      <c r="H761" s="25"/>
      <c r="I761" s="618"/>
      <c r="J761" s="618"/>
      <c r="K761" s="618"/>
      <c r="L761" s="618"/>
      <c r="M761" s="618"/>
      <c r="N761" s="618"/>
      <c r="O761" s="618"/>
      <c r="P761" s="618"/>
      <c r="Q761" s="618"/>
      <c r="R761" s="618"/>
      <c r="S761" s="618"/>
      <c r="T761" s="618"/>
      <c r="U761" s="618"/>
      <c r="V761" s="618"/>
      <c r="W761" s="618"/>
      <c r="X761" s="618"/>
      <c r="Y761" s="618"/>
      <c r="Z761" s="618"/>
      <c r="AA761" s="618"/>
      <c r="AB761" s="618"/>
      <c r="AC761" s="618"/>
      <c r="AD761" s="618"/>
      <c r="AE761" s="618"/>
      <c r="AF761" s="618"/>
      <c r="AG761" s="618"/>
      <c r="AH761" s="618"/>
      <c r="AI761" s="618"/>
      <c r="AJ761" s="618"/>
      <c r="AK761" s="618"/>
      <c r="AL761" s="618"/>
      <c r="AM761" s="3"/>
      <c r="AN761" s="3"/>
      <c r="AO761" s="3"/>
      <c r="AP761" s="3"/>
      <c r="AQ761" s="3"/>
      <c r="AR761" s="3"/>
      <c r="AS761" s="3"/>
      <c r="AT761" s="3"/>
      <c r="AU761" s="3"/>
      <c r="AV761" s="3"/>
      <c r="AW761" s="3"/>
      <c r="AX761" s="3"/>
      <c r="AY761" s="3"/>
      <c r="AZ761" s="3"/>
      <c r="BA761" s="3"/>
      <c r="BB761" s="3"/>
      <c r="BC761" s="3"/>
      <c r="BD761" s="3"/>
      <c r="BE761" s="3"/>
      <c r="BF761" s="3"/>
    </row>
    <row r="762" spans="1:58" ht="14.25" customHeight="1" x14ac:dyDescent="0.45">
      <c r="A762" s="618"/>
      <c r="B762" s="618"/>
      <c r="C762" s="618"/>
      <c r="D762" s="5"/>
      <c r="E762" s="24"/>
      <c r="F762" s="24"/>
      <c r="G762" s="24"/>
      <c r="H762" s="25"/>
      <c r="I762" s="618"/>
      <c r="J762" s="618"/>
      <c r="K762" s="618"/>
      <c r="L762" s="618"/>
      <c r="M762" s="618"/>
      <c r="N762" s="618"/>
      <c r="O762" s="618"/>
      <c r="P762" s="618"/>
      <c r="Q762" s="618"/>
      <c r="R762" s="618"/>
      <c r="S762" s="618"/>
      <c r="T762" s="618"/>
      <c r="U762" s="618"/>
      <c r="V762" s="618"/>
      <c r="W762" s="618"/>
      <c r="X762" s="618"/>
      <c r="Y762" s="618"/>
      <c r="Z762" s="618"/>
      <c r="AA762" s="618"/>
      <c r="AB762" s="618"/>
      <c r="AC762" s="618"/>
      <c r="AD762" s="618"/>
      <c r="AE762" s="618"/>
      <c r="AF762" s="618"/>
      <c r="AG762" s="618"/>
      <c r="AH762" s="618"/>
      <c r="AI762" s="618"/>
      <c r="AJ762" s="618"/>
      <c r="AK762" s="618"/>
      <c r="AL762" s="618"/>
      <c r="AM762" s="3"/>
      <c r="AN762" s="3"/>
      <c r="AO762" s="3"/>
      <c r="AP762" s="3"/>
      <c r="AQ762" s="3"/>
      <c r="AR762" s="3"/>
      <c r="AS762" s="3"/>
      <c r="AT762" s="3"/>
      <c r="AU762" s="3"/>
      <c r="AV762" s="3"/>
      <c r="AW762" s="3"/>
      <c r="AX762" s="3"/>
      <c r="AY762" s="3"/>
      <c r="AZ762" s="3"/>
      <c r="BA762" s="3"/>
      <c r="BB762" s="3"/>
      <c r="BC762" s="3"/>
      <c r="BD762" s="3"/>
      <c r="BE762" s="3"/>
      <c r="BF762" s="3"/>
    </row>
    <row r="763" spans="1:58" ht="14.25" customHeight="1" x14ac:dyDescent="0.45">
      <c r="A763" s="618"/>
      <c r="B763" s="618"/>
      <c r="C763" s="618"/>
      <c r="D763" s="5"/>
      <c r="E763" s="24"/>
      <c r="F763" s="24"/>
      <c r="G763" s="24"/>
      <c r="H763" s="25"/>
      <c r="I763" s="618"/>
      <c r="J763" s="618"/>
      <c r="K763" s="618"/>
      <c r="L763" s="618"/>
      <c r="M763" s="618"/>
      <c r="N763" s="618"/>
      <c r="O763" s="618"/>
      <c r="P763" s="618"/>
      <c r="Q763" s="618"/>
      <c r="R763" s="618"/>
      <c r="S763" s="618"/>
      <c r="T763" s="618"/>
      <c r="U763" s="618"/>
      <c r="V763" s="618"/>
      <c r="W763" s="618"/>
      <c r="X763" s="618"/>
      <c r="Y763" s="618"/>
      <c r="Z763" s="618"/>
      <c r="AA763" s="618"/>
      <c r="AB763" s="618"/>
      <c r="AC763" s="618"/>
      <c r="AD763" s="618"/>
      <c r="AE763" s="618"/>
      <c r="AF763" s="618"/>
      <c r="AG763" s="618"/>
      <c r="AH763" s="618"/>
      <c r="AI763" s="618"/>
      <c r="AJ763" s="618"/>
      <c r="AK763" s="618"/>
      <c r="AL763" s="618"/>
      <c r="AM763" s="3"/>
      <c r="AN763" s="3"/>
      <c r="AO763" s="3"/>
      <c r="AP763" s="3"/>
      <c r="AQ763" s="3"/>
      <c r="AR763" s="3"/>
      <c r="AS763" s="3"/>
      <c r="AT763" s="3"/>
      <c r="AU763" s="3"/>
      <c r="AV763" s="3"/>
      <c r="AW763" s="3"/>
      <c r="AX763" s="3"/>
      <c r="AY763" s="3"/>
      <c r="AZ763" s="3"/>
      <c r="BA763" s="3"/>
      <c r="BB763" s="3"/>
      <c r="BC763" s="3"/>
      <c r="BD763" s="3"/>
      <c r="BE763" s="3"/>
      <c r="BF763" s="3"/>
    </row>
    <row r="764" spans="1:58" ht="14.25" customHeight="1" x14ac:dyDescent="0.45">
      <c r="A764" s="618"/>
      <c r="B764" s="618"/>
      <c r="C764" s="618"/>
      <c r="D764" s="5"/>
      <c r="E764" s="24"/>
      <c r="F764" s="24"/>
      <c r="G764" s="24"/>
      <c r="H764" s="25"/>
      <c r="I764" s="618"/>
      <c r="J764" s="618"/>
      <c r="K764" s="618"/>
      <c r="L764" s="618"/>
      <c r="M764" s="618"/>
      <c r="N764" s="618"/>
      <c r="O764" s="618"/>
      <c r="P764" s="618"/>
      <c r="Q764" s="618"/>
      <c r="R764" s="618"/>
      <c r="S764" s="618"/>
      <c r="T764" s="618"/>
      <c r="U764" s="618"/>
      <c r="V764" s="618"/>
      <c r="W764" s="618"/>
      <c r="X764" s="618"/>
      <c r="Y764" s="618"/>
      <c r="Z764" s="618"/>
      <c r="AA764" s="618"/>
      <c r="AB764" s="618"/>
      <c r="AC764" s="618"/>
      <c r="AD764" s="618"/>
      <c r="AE764" s="618"/>
      <c r="AF764" s="618"/>
      <c r="AG764" s="618"/>
      <c r="AH764" s="618"/>
      <c r="AI764" s="618"/>
      <c r="AJ764" s="618"/>
      <c r="AK764" s="618"/>
      <c r="AL764" s="618"/>
      <c r="AM764" s="3"/>
      <c r="AN764" s="3"/>
      <c r="AO764" s="3"/>
      <c r="AP764" s="3"/>
      <c r="AQ764" s="3"/>
      <c r="AR764" s="3"/>
      <c r="AS764" s="3"/>
      <c r="AT764" s="3"/>
      <c r="AU764" s="3"/>
      <c r="AV764" s="3"/>
      <c r="AW764" s="3"/>
      <c r="AX764" s="3"/>
      <c r="AY764" s="3"/>
      <c r="AZ764" s="3"/>
      <c r="BA764" s="3"/>
      <c r="BB764" s="3"/>
      <c r="BC764" s="3"/>
      <c r="BD764" s="3"/>
      <c r="BE764" s="3"/>
      <c r="BF764" s="3"/>
    </row>
    <row r="765" spans="1:58" ht="14.25" customHeight="1" x14ac:dyDescent="0.45">
      <c r="A765" s="618"/>
      <c r="B765" s="618"/>
      <c r="C765" s="618"/>
      <c r="D765" s="5"/>
      <c r="E765" s="24"/>
      <c r="F765" s="24"/>
      <c r="G765" s="24"/>
      <c r="H765" s="25"/>
      <c r="I765" s="618"/>
      <c r="J765" s="618"/>
      <c r="K765" s="618"/>
      <c r="L765" s="618"/>
      <c r="M765" s="618"/>
      <c r="N765" s="618"/>
      <c r="O765" s="618"/>
      <c r="P765" s="618"/>
      <c r="Q765" s="618"/>
      <c r="R765" s="618"/>
      <c r="S765" s="618"/>
      <c r="T765" s="618"/>
      <c r="U765" s="618"/>
      <c r="V765" s="618"/>
      <c r="W765" s="618"/>
      <c r="X765" s="618"/>
      <c r="Y765" s="618"/>
      <c r="Z765" s="618"/>
      <c r="AA765" s="618"/>
      <c r="AB765" s="618"/>
      <c r="AC765" s="618"/>
      <c r="AD765" s="618"/>
      <c r="AE765" s="618"/>
      <c r="AF765" s="618"/>
      <c r="AG765" s="618"/>
      <c r="AH765" s="618"/>
      <c r="AI765" s="618"/>
      <c r="AJ765" s="618"/>
      <c r="AK765" s="618"/>
      <c r="AL765" s="618"/>
      <c r="AM765" s="3"/>
      <c r="AN765" s="3"/>
      <c r="AO765" s="3"/>
      <c r="AP765" s="3"/>
      <c r="AQ765" s="3"/>
      <c r="AR765" s="3"/>
      <c r="AS765" s="3"/>
      <c r="AT765" s="3"/>
      <c r="AU765" s="3"/>
      <c r="AV765" s="3"/>
      <c r="AW765" s="3"/>
      <c r="AX765" s="3"/>
      <c r="AY765" s="3"/>
      <c r="AZ765" s="3"/>
      <c r="BA765" s="3"/>
      <c r="BB765" s="3"/>
      <c r="BC765" s="3"/>
      <c r="BD765" s="3"/>
      <c r="BE765" s="3"/>
      <c r="BF765" s="3"/>
    </row>
    <row r="766" spans="1:58" ht="14.25" customHeight="1" x14ac:dyDescent="0.45">
      <c r="A766" s="618"/>
      <c r="B766" s="618"/>
      <c r="C766" s="618"/>
      <c r="D766" s="5"/>
      <c r="E766" s="24"/>
      <c r="F766" s="24"/>
      <c r="G766" s="24"/>
      <c r="H766" s="25"/>
      <c r="I766" s="618"/>
      <c r="J766" s="618"/>
      <c r="K766" s="618"/>
      <c r="L766" s="618"/>
      <c r="M766" s="618"/>
      <c r="N766" s="618"/>
      <c r="O766" s="618"/>
      <c r="P766" s="618"/>
      <c r="Q766" s="618"/>
      <c r="R766" s="618"/>
      <c r="S766" s="618"/>
      <c r="T766" s="618"/>
      <c r="U766" s="618"/>
      <c r="V766" s="618"/>
      <c r="W766" s="618"/>
      <c r="X766" s="618"/>
      <c r="Y766" s="618"/>
      <c r="Z766" s="618"/>
      <c r="AA766" s="618"/>
      <c r="AB766" s="618"/>
      <c r="AC766" s="618"/>
      <c r="AD766" s="618"/>
      <c r="AE766" s="618"/>
      <c r="AF766" s="618"/>
      <c r="AG766" s="618"/>
      <c r="AH766" s="618"/>
      <c r="AI766" s="618"/>
      <c r="AJ766" s="618"/>
      <c r="AK766" s="618"/>
      <c r="AL766" s="618"/>
      <c r="AM766" s="3"/>
      <c r="AN766" s="3"/>
      <c r="AO766" s="3"/>
      <c r="AP766" s="3"/>
      <c r="AQ766" s="3"/>
      <c r="AR766" s="3"/>
      <c r="AS766" s="3"/>
      <c r="AT766" s="3"/>
      <c r="AU766" s="3"/>
      <c r="AV766" s="3"/>
      <c r="AW766" s="3"/>
      <c r="AX766" s="3"/>
      <c r="AY766" s="3"/>
      <c r="AZ766" s="3"/>
      <c r="BA766" s="3"/>
      <c r="BB766" s="3"/>
      <c r="BC766" s="3"/>
      <c r="BD766" s="3"/>
      <c r="BE766" s="3"/>
      <c r="BF766" s="3"/>
    </row>
    <row r="767" spans="1:58" ht="14.25" customHeight="1" x14ac:dyDescent="0.45">
      <c r="A767" s="618"/>
      <c r="B767" s="618"/>
      <c r="C767" s="618"/>
      <c r="D767" s="5"/>
      <c r="E767" s="24"/>
      <c r="F767" s="24"/>
      <c r="G767" s="24"/>
      <c r="H767" s="25"/>
      <c r="I767" s="618"/>
      <c r="J767" s="618"/>
      <c r="K767" s="618"/>
      <c r="L767" s="618"/>
      <c r="M767" s="618"/>
      <c r="N767" s="618"/>
      <c r="O767" s="618"/>
      <c r="P767" s="618"/>
      <c r="Q767" s="618"/>
      <c r="R767" s="618"/>
      <c r="S767" s="618"/>
      <c r="T767" s="618"/>
      <c r="U767" s="618"/>
      <c r="V767" s="618"/>
      <c r="W767" s="618"/>
      <c r="X767" s="618"/>
      <c r="Y767" s="618"/>
      <c r="Z767" s="618"/>
      <c r="AA767" s="618"/>
      <c r="AB767" s="618"/>
      <c r="AC767" s="618"/>
      <c r="AD767" s="618"/>
      <c r="AE767" s="618"/>
      <c r="AF767" s="618"/>
      <c r="AG767" s="618"/>
      <c r="AH767" s="618"/>
      <c r="AI767" s="618"/>
      <c r="AJ767" s="618"/>
      <c r="AK767" s="618"/>
      <c r="AL767" s="618"/>
      <c r="AM767" s="3"/>
      <c r="AN767" s="3"/>
      <c r="AO767" s="3"/>
      <c r="AP767" s="3"/>
      <c r="AQ767" s="3"/>
      <c r="AR767" s="3"/>
      <c r="AS767" s="3"/>
      <c r="AT767" s="3"/>
      <c r="AU767" s="3"/>
      <c r="AV767" s="3"/>
      <c r="AW767" s="3"/>
      <c r="AX767" s="3"/>
      <c r="AY767" s="3"/>
      <c r="AZ767" s="3"/>
      <c r="BA767" s="3"/>
      <c r="BB767" s="3"/>
      <c r="BC767" s="3"/>
      <c r="BD767" s="3"/>
      <c r="BE767" s="3"/>
      <c r="BF767" s="3"/>
    </row>
    <row r="768" spans="1:58" ht="14.25" customHeight="1" x14ac:dyDescent="0.45">
      <c r="A768" s="618"/>
      <c r="B768" s="618"/>
      <c r="C768" s="618"/>
      <c r="D768" s="5"/>
      <c r="E768" s="24"/>
      <c r="F768" s="24"/>
      <c r="G768" s="24"/>
      <c r="H768" s="25"/>
      <c r="I768" s="618"/>
      <c r="J768" s="618"/>
      <c r="K768" s="618"/>
      <c r="L768" s="618"/>
      <c r="M768" s="618"/>
      <c r="N768" s="618"/>
      <c r="O768" s="618"/>
      <c r="P768" s="618"/>
      <c r="Q768" s="618"/>
      <c r="R768" s="618"/>
      <c r="S768" s="618"/>
      <c r="T768" s="618"/>
      <c r="U768" s="618"/>
      <c r="V768" s="618"/>
      <c r="W768" s="618"/>
      <c r="X768" s="618"/>
      <c r="Y768" s="618"/>
      <c r="Z768" s="618"/>
      <c r="AA768" s="618"/>
      <c r="AB768" s="618"/>
      <c r="AC768" s="618"/>
      <c r="AD768" s="618"/>
      <c r="AE768" s="618"/>
      <c r="AF768" s="618"/>
      <c r="AG768" s="618"/>
      <c r="AH768" s="618"/>
      <c r="AI768" s="618"/>
      <c r="AJ768" s="618"/>
      <c r="AK768" s="618"/>
      <c r="AL768" s="618"/>
      <c r="AM768" s="3"/>
      <c r="AN768" s="3"/>
      <c r="AO768" s="3"/>
      <c r="AP768" s="3"/>
      <c r="AQ768" s="3"/>
      <c r="AR768" s="3"/>
      <c r="AS768" s="3"/>
      <c r="AT768" s="3"/>
      <c r="AU768" s="3"/>
      <c r="AV768" s="3"/>
      <c r="AW768" s="3"/>
      <c r="AX768" s="3"/>
      <c r="AY768" s="3"/>
      <c r="AZ768" s="3"/>
      <c r="BA768" s="3"/>
      <c r="BB768" s="3"/>
      <c r="BC768" s="3"/>
      <c r="BD768" s="3"/>
      <c r="BE768" s="3"/>
      <c r="BF768" s="3"/>
    </row>
    <row r="769" spans="1:58" ht="14.25" customHeight="1" x14ac:dyDescent="0.45">
      <c r="A769" s="618"/>
      <c r="B769" s="618"/>
      <c r="C769" s="618"/>
      <c r="D769" s="5"/>
      <c r="E769" s="24"/>
      <c r="F769" s="24"/>
      <c r="G769" s="24"/>
      <c r="H769" s="25"/>
      <c r="I769" s="618"/>
      <c r="J769" s="618"/>
      <c r="K769" s="618"/>
      <c r="L769" s="618"/>
      <c r="M769" s="618"/>
      <c r="N769" s="618"/>
      <c r="O769" s="618"/>
      <c r="P769" s="618"/>
      <c r="Q769" s="618"/>
      <c r="R769" s="618"/>
      <c r="S769" s="618"/>
      <c r="T769" s="618"/>
      <c r="U769" s="618"/>
      <c r="V769" s="618"/>
      <c r="W769" s="618"/>
      <c r="X769" s="618"/>
      <c r="Y769" s="618"/>
      <c r="Z769" s="618"/>
      <c r="AA769" s="618"/>
      <c r="AB769" s="618"/>
      <c r="AC769" s="618"/>
      <c r="AD769" s="618"/>
      <c r="AE769" s="618"/>
      <c r="AF769" s="618"/>
      <c r="AG769" s="618"/>
      <c r="AH769" s="618"/>
      <c r="AI769" s="618"/>
      <c r="AJ769" s="618"/>
      <c r="AK769" s="618"/>
      <c r="AL769" s="618"/>
      <c r="AM769" s="3"/>
      <c r="AN769" s="3"/>
      <c r="AO769" s="3"/>
      <c r="AP769" s="3"/>
      <c r="AQ769" s="3"/>
      <c r="AR769" s="3"/>
      <c r="AS769" s="3"/>
      <c r="AT769" s="3"/>
      <c r="AU769" s="3"/>
      <c r="AV769" s="3"/>
      <c r="AW769" s="3"/>
      <c r="AX769" s="3"/>
      <c r="AY769" s="3"/>
      <c r="AZ769" s="3"/>
      <c r="BA769" s="3"/>
      <c r="BB769" s="3"/>
      <c r="BC769" s="3"/>
      <c r="BD769" s="3"/>
      <c r="BE769" s="3"/>
      <c r="BF769" s="3"/>
    </row>
    <row r="770" spans="1:58" ht="14.25" customHeight="1" x14ac:dyDescent="0.45">
      <c r="A770" s="618"/>
      <c r="B770" s="618"/>
      <c r="C770" s="618"/>
      <c r="D770" s="5"/>
      <c r="E770" s="24"/>
      <c r="F770" s="24"/>
      <c r="G770" s="24"/>
      <c r="H770" s="25"/>
      <c r="I770" s="618"/>
      <c r="J770" s="618"/>
      <c r="K770" s="618"/>
      <c r="L770" s="618"/>
      <c r="M770" s="618"/>
      <c r="N770" s="618"/>
      <c r="O770" s="618"/>
      <c r="P770" s="618"/>
      <c r="Q770" s="618"/>
      <c r="R770" s="618"/>
      <c r="S770" s="618"/>
      <c r="T770" s="618"/>
      <c r="U770" s="618"/>
      <c r="V770" s="618"/>
      <c r="W770" s="618"/>
      <c r="X770" s="618"/>
      <c r="Y770" s="618"/>
      <c r="Z770" s="618"/>
      <c r="AA770" s="618"/>
      <c r="AB770" s="618"/>
      <c r="AC770" s="618"/>
      <c r="AD770" s="618"/>
      <c r="AE770" s="618"/>
      <c r="AF770" s="618"/>
      <c r="AG770" s="618"/>
      <c r="AH770" s="618"/>
      <c r="AI770" s="618"/>
      <c r="AJ770" s="618"/>
      <c r="AK770" s="618"/>
      <c r="AL770" s="618"/>
      <c r="AM770" s="3"/>
      <c r="AN770" s="3"/>
      <c r="AO770" s="3"/>
      <c r="AP770" s="3"/>
      <c r="AQ770" s="3"/>
      <c r="AR770" s="3"/>
      <c r="AS770" s="3"/>
      <c r="AT770" s="3"/>
      <c r="AU770" s="3"/>
      <c r="AV770" s="3"/>
      <c r="AW770" s="3"/>
      <c r="AX770" s="3"/>
      <c r="AY770" s="3"/>
      <c r="AZ770" s="3"/>
      <c r="BA770" s="3"/>
      <c r="BB770" s="3"/>
      <c r="BC770" s="3"/>
      <c r="BD770" s="3"/>
      <c r="BE770" s="3"/>
      <c r="BF770" s="3"/>
    </row>
    <row r="771" spans="1:58" ht="14.25" customHeight="1" x14ac:dyDescent="0.45">
      <c r="A771" s="618"/>
      <c r="B771" s="618"/>
      <c r="C771" s="618"/>
      <c r="D771" s="5"/>
      <c r="E771" s="24"/>
      <c r="F771" s="24"/>
      <c r="G771" s="24"/>
      <c r="H771" s="25"/>
      <c r="I771" s="618"/>
      <c r="J771" s="618"/>
      <c r="K771" s="618"/>
      <c r="L771" s="618"/>
      <c r="M771" s="618"/>
      <c r="N771" s="618"/>
      <c r="O771" s="618"/>
      <c r="P771" s="618"/>
      <c r="Q771" s="618"/>
      <c r="R771" s="618"/>
      <c r="S771" s="618"/>
      <c r="T771" s="618"/>
      <c r="U771" s="618"/>
      <c r="V771" s="618"/>
      <c r="W771" s="618"/>
      <c r="X771" s="618"/>
      <c r="Y771" s="618"/>
      <c r="Z771" s="618"/>
      <c r="AA771" s="618"/>
      <c r="AB771" s="618"/>
      <c r="AC771" s="618"/>
      <c r="AD771" s="618"/>
      <c r="AE771" s="618"/>
      <c r="AF771" s="618"/>
      <c r="AG771" s="618"/>
      <c r="AH771" s="618"/>
      <c r="AI771" s="618"/>
      <c r="AJ771" s="618"/>
      <c r="AK771" s="618"/>
      <c r="AL771" s="618"/>
      <c r="AM771" s="3"/>
      <c r="AN771" s="3"/>
      <c r="AO771" s="3"/>
      <c r="AP771" s="3"/>
      <c r="AQ771" s="3"/>
      <c r="AR771" s="3"/>
      <c r="AS771" s="3"/>
      <c r="AT771" s="3"/>
      <c r="AU771" s="3"/>
      <c r="AV771" s="3"/>
      <c r="AW771" s="3"/>
      <c r="AX771" s="3"/>
      <c r="AY771" s="3"/>
      <c r="AZ771" s="3"/>
      <c r="BA771" s="3"/>
      <c r="BB771" s="3"/>
      <c r="BC771" s="3"/>
      <c r="BD771" s="3"/>
      <c r="BE771" s="3"/>
      <c r="BF771" s="3"/>
    </row>
    <row r="772" spans="1:58" ht="14.25" customHeight="1" x14ac:dyDescent="0.45">
      <c r="A772" s="618"/>
      <c r="B772" s="618"/>
      <c r="C772" s="618"/>
      <c r="D772" s="5"/>
      <c r="E772" s="24"/>
      <c r="F772" s="24"/>
      <c r="G772" s="24"/>
      <c r="H772" s="25"/>
      <c r="I772" s="618"/>
      <c r="J772" s="618"/>
      <c r="K772" s="618"/>
      <c r="L772" s="618"/>
      <c r="M772" s="618"/>
      <c r="N772" s="618"/>
      <c r="O772" s="618"/>
      <c r="P772" s="618"/>
      <c r="Q772" s="618"/>
      <c r="R772" s="618"/>
      <c r="S772" s="618"/>
      <c r="T772" s="618"/>
      <c r="U772" s="618"/>
      <c r="V772" s="618"/>
      <c r="W772" s="618"/>
      <c r="X772" s="618"/>
      <c r="Y772" s="618"/>
      <c r="Z772" s="618"/>
      <c r="AA772" s="618"/>
      <c r="AB772" s="618"/>
      <c r="AC772" s="618"/>
      <c r="AD772" s="618"/>
      <c r="AE772" s="618"/>
      <c r="AF772" s="618"/>
      <c r="AG772" s="618"/>
      <c r="AH772" s="618"/>
      <c r="AI772" s="618"/>
      <c r="AJ772" s="618"/>
      <c r="AK772" s="618"/>
      <c r="AL772" s="618"/>
      <c r="AM772" s="3"/>
      <c r="AN772" s="3"/>
      <c r="AO772" s="3"/>
      <c r="AP772" s="3"/>
      <c r="AQ772" s="3"/>
      <c r="AR772" s="3"/>
      <c r="AS772" s="3"/>
      <c r="AT772" s="3"/>
      <c r="AU772" s="3"/>
      <c r="AV772" s="3"/>
      <c r="AW772" s="3"/>
      <c r="AX772" s="3"/>
      <c r="AY772" s="3"/>
      <c r="AZ772" s="3"/>
      <c r="BA772" s="3"/>
      <c r="BB772" s="3"/>
      <c r="BC772" s="3"/>
      <c r="BD772" s="3"/>
      <c r="BE772" s="3"/>
      <c r="BF772" s="3"/>
    </row>
    <row r="773" spans="1:58" ht="14.25" customHeight="1" x14ac:dyDescent="0.45">
      <c r="A773" s="618"/>
      <c r="B773" s="618"/>
      <c r="C773" s="618"/>
      <c r="D773" s="5"/>
      <c r="E773" s="24"/>
      <c r="F773" s="24"/>
      <c r="G773" s="24"/>
      <c r="H773" s="25"/>
      <c r="I773" s="618"/>
      <c r="J773" s="618"/>
      <c r="K773" s="618"/>
      <c r="L773" s="618"/>
      <c r="M773" s="618"/>
      <c r="N773" s="618"/>
      <c r="O773" s="618"/>
      <c r="P773" s="618"/>
      <c r="Q773" s="618"/>
      <c r="R773" s="618"/>
      <c r="S773" s="618"/>
      <c r="T773" s="618"/>
      <c r="U773" s="618"/>
      <c r="V773" s="618"/>
      <c r="W773" s="618"/>
      <c r="X773" s="618"/>
      <c r="Y773" s="618"/>
      <c r="Z773" s="618"/>
      <c r="AA773" s="618"/>
      <c r="AB773" s="618"/>
      <c r="AC773" s="618"/>
      <c r="AD773" s="618"/>
      <c r="AE773" s="618"/>
      <c r="AF773" s="618"/>
      <c r="AG773" s="618"/>
      <c r="AH773" s="618"/>
      <c r="AI773" s="618"/>
      <c r="AJ773" s="618"/>
      <c r="AK773" s="618"/>
      <c r="AL773" s="618"/>
      <c r="AM773" s="3"/>
      <c r="AN773" s="3"/>
      <c r="AO773" s="3"/>
      <c r="AP773" s="3"/>
      <c r="AQ773" s="3"/>
      <c r="AR773" s="3"/>
      <c r="AS773" s="3"/>
      <c r="AT773" s="3"/>
      <c r="AU773" s="3"/>
      <c r="AV773" s="3"/>
      <c r="AW773" s="3"/>
      <c r="AX773" s="3"/>
      <c r="AY773" s="3"/>
      <c r="AZ773" s="3"/>
      <c r="BA773" s="3"/>
      <c r="BB773" s="3"/>
      <c r="BC773" s="3"/>
      <c r="BD773" s="3"/>
      <c r="BE773" s="3"/>
      <c r="BF773" s="3"/>
    </row>
    <row r="774" spans="1:58" ht="14.25" customHeight="1" x14ac:dyDescent="0.45">
      <c r="A774" s="618"/>
      <c r="B774" s="618"/>
      <c r="C774" s="618"/>
      <c r="D774" s="5"/>
      <c r="E774" s="24"/>
      <c r="F774" s="24"/>
      <c r="G774" s="24"/>
      <c r="H774" s="25"/>
      <c r="I774" s="618"/>
      <c r="J774" s="618"/>
      <c r="K774" s="618"/>
      <c r="L774" s="618"/>
      <c r="M774" s="618"/>
      <c r="N774" s="618"/>
      <c r="O774" s="618"/>
      <c r="P774" s="618"/>
      <c r="Q774" s="618"/>
      <c r="R774" s="618"/>
      <c r="S774" s="618"/>
      <c r="T774" s="618"/>
      <c r="U774" s="618"/>
      <c r="V774" s="618"/>
      <c r="W774" s="618"/>
      <c r="X774" s="618"/>
      <c r="Y774" s="618"/>
      <c r="Z774" s="618"/>
      <c r="AA774" s="618"/>
      <c r="AB774" s="618"/>
      <c r="AC774" s="618"/>
      <c r="AD774" s="618"/>
      <c r="AE774" s="618"/>
      <c r="AF774" s="618"/>
      <c r="AG774" s="618"/>
      <c r="AH774" s="618"/>
      <c r="AI774" s="618"/>
      <c r="AJ774" s="618"/>
      <c r="AK774" s="618"/>
      <c r="AL774" s="618"/>
      <c r="AM774" s="3"/>
      <c r="AN774" s="3"/>
      <c r="AO774" s="3"/>
      <c r="AP774" s="3"/>
      <c r="AQ774" s="3"/>
      <c r="AR774" s="3"/>
      <c r="AS774" s="3"/>
      <c r="AT774" s="3"/>
      <c r="AU774" s="3"/>
      <c r="AV774" s="3"/>
      <c r="AW774" s="3"/>
      <c r="AX774" s="3"/>
      <c r="AY774" s="3"/>
      <c r="AZ774" s="3"/>
      <c r="BA774" s="3"/>
      <c r="BB774" s="3"/>
      <c r="BC774" s="3"/>
      <c r="BD774" s="3"/>
      <c r="BE774" s="3"/>
      <c r="BF774" s="3"/>
    </row>
    <row r="775" spans="1:58" ht="14.25" customHeight="1" x14ac:dyDescent="0.45">
      <c r="A775" s="618"/>
      <c r="B775" s="618"/>
      <c r="C775" s="618"/>
      <c r="D775" s="5"/>
      <c r="E775" s="24"/>
      <c r="F775" s="24"/>
      <c r="G775" s="24"/>
      <c r="H775" s="25"/>
      <c r="I775" s="618"/>
      <c r="J775" s="618"/>
      <c r="K775" s="618"/>
      <c r="L775" s="618"/>
      <c r="M775" s="618"/>
      <c r="N775" s="618"/>
      <c r="O775" s="618"/>
      <c r="P775" s="618"/>
      <c r="Q775" s="618"/>
      <c r="R775" s="618"/>
      <c r="S775" s="618"/>
      <c r="T775" s="618"/>
      <c r="U775" s="618"/>
      <c r="V775" s="618"/>
      <c r="W775" s="618"/>
      <c r="X775" s="618"/>
      <c r="Y775" s="618"/>
      <c r="Z775" s="618"/>
      <c r="AA775" s="618"/>
      <c r="AB775" s="618"/>
      <c r="AC775" s="618"/>
      <c r="AD775" s="618"/>
      <c r="AE775" s="618"/>
      <c r="AF775" s="618"/>
      <c r="AG775" s="618"/>
      <c r="AH775" s="618"/>
      <c r="AI775" s="618"/>
      <c r="AJ775" s="618"/>
      <c r="AK775" s="618"/>
      <c r="AL775" s="618"/>
      <c r="AM775" s="3"/>
      <c r="AN775" s="3"/>
      <c r="AO775" s="3"/>
      <c r="AP775" s="3"/>
      <c r="AQ775" s="3"/>
      <c r="AR775" s="3"/>
      <c r="AS775" s="3"/>
      <c r="AT775" s="3"/>
      <c r="AU775" s="3"/>
      <c r="AV775" s="3"/>
      <c r="AW775" s="3"/>
      <c r="AX775" s="3"/>
      <c r="AY775" s="3"/>
      <c r="AZ775" s="3"/>
      <c r="BA775" s="3"/>
      <c r="BB775" s="3"/>
      <c r="BC775" s="3"/>
      <c r="BD775" s="3"/>
      <c r="BE775" s="3"/>
      <c r="BF775" s="3"/>
    </row>
    <row r="776" spans="1:58" ht="14.25" customHeight="1" x14ac:dyDescent="0.45">
      <c r="A776" s="618"/>
      <c r="B776" s="618"/>
      <c r="C776" s="618"/>
      <c r="D776" s="5"/>
      <c r="E776" s="24"/>
      <c r="F776" s="24"/>
      <c r="G776" s="24"/>
      <c r="H776" s="25"/>
      <c r="I776" s="618"/>
      <c r="J776" s="618"/>
      <c r="K776" s="618"/>
      <c r="L776" s="618"/>
      <c r="M776" s="618"/>
      <c r="N776" s="618"/>
      <c r="O776" s="618"/>
      <c r="P776" s="618"/>
      <c r="Q776" s="618"/>
      <c r="R776" s="618"/>
      <c r="S776" s="618"/>
      <c r="T776" s="618"/>
      <c r="U776" s="618"/>
      <c r="V776" s="618"/>
      <c r="W776" s="618"/>
      <c r="X776" s="618"/>
      <c r="Y776" s="618"/>
      <c r="Z776" s="618"/>
      <c r="AA776" s="618"/>
      <c r="AB776" s="618"/>
      <c r="AC776" s="618"/>
      <c r="AD776" s="618"/>
      <c r="AE776" s="618"/>
      <c r="AF776" s="618"/>
      <c r="AG776" s="618"/>
      <c r="AH776" s="618"/>
      <c r="AI776" s="618"/>
      <c r="AJ776" s="618"/>
      <c r="AK776" s="618"/>
      <c r="AL776" s="618"/>
      <c r="AM776" s="3"/>
      <c r="AN776" s="3"/>
      <c r="AO776" s="3"/>
      <c r="AP776" s="3"/>
      <c r="AQ776" s="3"/>
      <c r="AR776" s="3"/>
      <c r="AS776" s="3"/>
      <c r="AT776" s="3"/>
      <c r="AU776" s="3"/>
      <c r="AV776" s="3"/>
      <c r="AW776" s="3"/>
      <c r="AX776" s="3"/>
      <c r="AY776" s="3"/>
      <c r="AZ776" s="3"/>
      <c r="BA776" s="3"/>
      <c r="BB776" s="3"/>
      <c r="BC776" s="3"/>
      <c r="BD776" s="3"/>
      <c r="BE776" s="3"/>
      <c r="BF776" s="3"/>
    </row>
    <row r="777" spans="1:58" ht="14.25" customHeight="1" x14ac:dyDescent="0.45">
      <c r="A777" s="618"/>
      <c r="B777" s="618"/>
      <c r="C777" s="618"/>
      <c r="D777" s="5"/>
      <c r="E777" s="24"/>
      <c r="F777" s="24"/>
      <c r="G777" s="24"/>
      <c r="H777" s="25"/>
      <c r="I777" s="618"/>
      <c r="J777" s="618"/>
      <c r="K777" s="618"/>
      <c r="L777" s="618"/>
      <c r="M777" s="618"/>
      <c r="N777" s="618"/>
      <c r="O777" s="618"/>
      <c r="P777" s="618"/>
      <c r="Q777" s="618"/>
      <c r="R777" s="618"/>
      <c r="S777" s="618"/>
      <c r="T777" s="618"/>
      <c r="U777" s="618"/>
      <c r="V777" s="618"/>
      <c r="W777" s="618"/>
      <c r="X777" s="618"/>
      <c r="Y777" s="618"/>
      <c r="Z777" s="618"/>
      <c r="AA777" s="618"/>
      <c r="AB777" s="618"/>
      <c r="AC777" s="618"/>
      <c r="AD777" s="618"/>
      <c r="AE777" s="618"/>
      <c r="AF777" s="618"/>
      <c r="AG777" s="618"/>
      <c r="AH777" s="618"/>
      <c r="AI777" s="618"/>
      <c r="AJ777" s="618"/>
      <c r="AK777" s="618"/>
      <c r="AL777" s="618"/>
      <c r="AM777" s="3"/>
      <c r="AN777" s="3"/>
      <c r="AO777" s="3"/>
      <c r="AP777" s="3"/>
      <c r="AQ777" s="3"/>
      <c r="AR777" s="3"/>
      <c r="AS777" s="3"/>
      <c r="AT777" s="3"/>
      <c r="AU777" s="3"/>
      <c r="AV777" s="3"/>
      <c r="AW777" s="3"/>
      <c r="AX777" s="3"/>
      <c r="AY777" s="3"/>
      <c r="AZ777" s="3"/>
      <c r="BA777" s="3"/>
      <c r="BB777" s="3"/>
      <c r="BC777" s="3"/>
      <c r="BD777" s="3"/>
      <c r="BE777" s="3"/>
      <c r="BF777" s="3"/>
    </row>
    <row r="778" spans="1:58" ht="14.25" customHeight="1" x14ac:dyDescent="0.45">
      <c r="A778" s="618"/>
      <c r="B778" s="618"/>
      <c r="C778" s="618"/>
      <c r="D778" s="5"/>
      <c r="E778" s="24"/>
      <c r="F778" s="24"/>
      <c r="G778" s="24"/>
      <c r="H778" s="25"/>
      <c r="I778" s="618"/>
      <c r="J778" s="618"/>
      <c r="K778" s="618"/>
      <c r="L778" s="618"/>
      <c r="M778" s="618"/>
      <c r="N778" s="618"/>
      <c r="O778" s="618"/>
      <c r="P778" s="618"/>
      <c r="Q778" s="618"/>
      <c r="R778" s="618"/>
      <c r="S778" s="618"/>
      <c r="T778" s="618"/>
      <c r="U778" s="618"/>
      <c r="V778" s="618"/>
      <c r="W778" s="618"/>
      <c r="X778" s="618"/>
      <c r="Y778" s="618"/>
      <c r="Z778" s="618"/>
      <c r="AA778" s="618"/>
      <c r="AB778" s="618"/>
      <c r="AC778" s="618"/>
      <c r="AD778" s="618"/>
      <c r="AE778" s="618"/>
      <c r="AF778" s="618"/>
      <c r="AG778" s="618"/>
      <c r="AH778" s="618"/>
      <c r="AI778" s="618"/>
      <c r="AJ778" s="618"/>
      <c r="AK778" s="618"/>
      <c r="AL778" s="618"/>
      <c r="AM778" s="3"/>
      <c r="AN778" s="3"/>
      <c r="AO778" s="3"/>
      <c r="AP778" s="3"/>
      <c r="AQ778" s="3"/>
      <c r="AR778" s="3"/>
      <c r="AS778" s="3"/>
      <c r="AT778" s="3"/>
      <c r="AU778" s="3"/>
      <c r="AV778" s="3"/>
      <c r="AW778" s="3"/>
      <c r="AX778" s="3"/>
      <c r="AY778" s="3"/>
      <c r="AZ778" s="3"/>
      <c r="BA778" s="3"/>
      <c r="BB778" s="3"/>
      <c r="BC778" s="3"/>
      <c r="BD778" s="3"/>
      <c r="BE778" s="3"/>
      <c r="BF778" s="3"/>
    </row>
    <row r="779" spans="1:58" ht="14.25" customHeight="1" x14ac:dyDescent="0.45">
      <c r="A779" s="618"/>
      <c r="B779" s="618"/>
      <c r="C779" s="618"/>
      <c r="D779" s="5"/>
      <c r="E779" s="24"/>
      <c r="F779" s="24"/>
      <c r="G779" s="24"/>
      <c r="H779" s="25"/>
      <c r="I779" s="618"/>
      <c r="J779" s="618"/>
      <c r="K779" s="618"/>
      <c r="L779" s="618"/>
      <c r="M779" s="618"/>
      <c r="N779" s="618"/>
      <c r="O779" s="618"/>
      <c r="P779" s="618"/>
      <c r="Q779" s="618"/>
      <c r="R779" s="618"/>
      <c r="S779" s="618"/>
      <c r="T779" s="618"/>
      <c r="U779" s="618"/>
      <c r="V779" s="618"/>
      <c r="W779" s="618"/>
      <c r="X779" s="618"/>
      <c r="Y779" s="618"/>
      <c r="Z779" s="618"/>
      <c r="AA779" s="618"/>
      <c r="AB779" s="618"/>
      <c r="AC779" s="618"/>
      <c r="AD779" s="618"/>
      <c r="AE779" s="618"/>
      <c r="AF779" s="618"/>
      <c r="AG779" s="618"/>
      <c r="AH779" s="618"/>
      <c r="AI779" s="618"/>
      <c r="AJ779" s="618"/>
      <c r="AK779" s="618"/>
      <c r="AL779" s="618"/>
      <c r="AM779" s="3"/>
      <c r="AN779" s="3"/>
      <c r="AO779" s="3"/>
      <c r="AP779" s="3"/>
      <c r="AQ779" s="3"/>
      <c r="AR779" s="3"/>
      <c r="AS779" s="3"/>
      <c r="AT779" s="3"/>
      <c r="AU779" s="3"/>
      <c r="AV779" s="3"/>
      <c r="AW779" s="3"/>
      <c r="AX779" s="3"/>
      <c r="AY779" s="3"/>
      <c r="AZ779" s="3"/>
      <c r="BA779" s="3"/>
      <c r="BB779" s="3"/>
      <c r="BC779" s="3"/>
      <c r="BD779" s="3"/>
      <c r="BE779" s="3"/>
      <c r="BF779" s="3"/>
    </row>
    <row r="780" spans="1:58" ht="14.25" customHeight="1" x14ac:dyDescent="0.45">
      <c r="A780" s="618"/>
      <c r="B780" s="618"/>
      <c r="C780" s="618"/>
      <c r="D780" s="5"/>
      <c r="E780" s="24"/>
      <c r="F780" s="24"/>
      <c r="G780" s="24"/>
      <c r="H780" s="25"/>
      <c r="I780" s="618"/>
      <c r="J780" s="618"/>
      <c r="K780" s="618"/>
      <c r="L780" s="618"/>
      <c r="M780" s="618"/>
      <c r="N780" s="618"/>
      <c r="O780" s="618"/>
      <c r="P780" s="618"/>
      <c r="Q780" s="618"/>
      <c r="R780" s="618"/>
      <c r="S780" s="618"/>
      <c r="T780" s="618"/>
      <c r="U780" s="618"/>
      <c r="V780" s="618"/>
      <c r="W780" s="618"/>
      <c r="X780" s="618"/>
      <c r="Y780" s="618"/>
      <c r="Z780" s="618"/>
      <c r="AA780" s="618"/>
      <c r="AB780" s="618"/>
      <c r="AC780" s="618"/>
      <c r="AD780" s="618"/>
      <c r="AE780" s="618"/>
      <c r="AF780" s="618"/>
      <c r="AG780" s="618"/>
      <c r="AH780" s="618"/>
      <c r="AI780" s="618"/>
      <c r="AJ780" s="618"/>
      <c r="AK780" s="618"/>
      <c r="AL780" s="618"/>
      <c r="AM780" s="3"/>
      <c r="AN780" s="3"/>
      <c r="AO780" s="3"/>
      <c r="AP780" s="3"/>
      <c r="AQ780" s="3"/>
      <c r="AR780" s="3"/>
      <c r="AS780" s="3"/>
      <c r="AT780" s="3"/>
      <c r="AU780" s="3"/>
      <c r="AV780" s="3"/>
      <c r="AW780" s="3"/>
      <c r="AX780" s="3"/>
      <c r="AY780" s="3"/>
      <c r="AZ780" s="3"/>
      <c r="BA780" s="3"/>
      <c r="BB780" s="3"/>
      <c r="BC780" s="3"/>
      <c r="BD780" s="3"/>
      <c r="BE780" s="3"/>
      <c r="BF780" s="3"/>
    </row>
    <row r="781" spans="1:58" ht="14.25" customHeight="1" x14ac:dyDescent="0.45">
      <c r="A781" s="618"/>
      <c r="B781" s="618"/>
      <c r="C781" s="618"/>
      <c r="D781" s="5"/>
      <c r="E781" s="24"/>
      <c r="F781" s="24"/>
      <c r="G781" s="24"/>
      <c r="H781" s="25"/>
      <c r="I781" s="618"/>
      <c r="J781" s="618"/>
      <c r="K781" s="618"/>
      <c r="L781" s="618"/>
      <c r="M781" s="618"/>
      <c r="N781" s="618"/>
      <c r="O781" s="618"/>
      <c r="P781" s="618"/>
      <c r="Q781" s="618"/>
      <c r="R781" s="618"/>
      <c r="S781" s="618"/>
      <c r="T781" s="618"/>
      <c r="U781" s="618"/>
      <c r="V781" s="618"/>
      <c r="W781" s="618"/>
      <c r="X781" s="618"/>
      <c r="Y781" s="618"/>
      <c r="Z781" s="618"/>
      <c r="AA781" s="618"/>
      <c r="AB781" s="618"/>
      <c r="AC781" s="618"/>
      <c r="AD781" s="618"/>
      <c r="AE781" s="618"/>
      <c r="AF781" s="618"/>
      <c r="AG781" s="618"/>
      <c r="AH781" s="618"/>
      <c r="AI781" s="618"/>
      <c r="AJ781" s="618"/>
      <c r="AK781" s="618"/>
      <c r="AL781" s="618"/>
      <c r="AM781" s="3"/>
      <c r="AN781" s="3"/>
      <c r="AO781" s="3"/>
      <c r="AP781" s="3"/>
      <c r="AQ781" s="3"/>
      <c r="AR781" s="3"/>
      <c r="AS781" s="3"/>
      <c r="AT781" s="3"/>
      <c r="AU781" s="3"/>
      <c r="AV781" s="3"/>
      <c r="AW781" s="3"/>
      <c r="AX781" s="3"/>
      <c r="AY781" s="3"/>
      <c r="AZ781" s="3"/>
      <c r="BA781" s="3"/>
      <c r="BB781" s="3"/>
      <c r="BC781" s="3"/>
      <c r="BD781" s="3"/>
      <c r="BE781" s="3"/>
      <c r="BF781" s="3"/>
    </row>
    <row r="782" spans="1:58" ht="14.25" customHeight="1" x14ac:dyDescent="0.45">
      <c r="A782" s="618"/>
      <c r="B782" s="618"/>
      <c r="C782" s="618"/>
      <c r="D782" s="5"/>
      <c r="E782" s="24"/>
      <c r="F782" s="24"/>
      <c r="G782" s="24"/>
      <c r="H782" s="25"/>
      <c r="I782" s="618"/>
      <c r="J782" s="618"/>
      <c r="K782" s="618"/>
      <c r="L782" s="618"/>
      <c r="M782" s="618"/>
      <c r="N782" s="618"/>
      <c r="O782" s="618"/>
      <c r="P782" s="618"/>
      <c r="Q782" s="618"/>
      <c r="R782" s="618"/>
      <c r="S782" s="618"/>
      <c r="T782" s="618"/>
      <c r="U782" s="618"/>
      <c r="V782" s="618"/>
      <c r="W782" s="618"/>
      <c r="X782" s="618"/>
      <c r="Y782" s="618"/>
      <c r="Z782" s="618"/>
      <c r="AA782" s="618"/>
      <c r="AB782" s="618"/>
      <c r="AC782" s="618"/>
      <c r="AD782" s="618"/>
      <c r="AE782" s="618"/>
      <c r="AF782" s="618"/>
      <c r="AG782" s="618"/>
      <c r="AH782" s="618"/>
      <c r="AI782" s="618"/>
      <c r="AJ782" s="618"/>
      <c r="AK782" s="618"/>
      <c r="AL782" s="618"/>
      <c r="AM782" s="3"/>
      <c r="AN782" s="3"/>
      <c r="AO782" s="3"/>
      <c r="AP782" s="3"/>
      <c r="AQ782" s="3"/>
      <c r="AR782" s="3"/>
      <c r="AS782" s="3"/>
      <c r="AT782" s="3"/>
      <c r="AU782" s="3"/>
      <c r="AV782" s="3"/>
      <c r="AW782" s="3"/>
      <c r="AX782" s="3"/>
      <c r="AY782" s="3"/>
      <c r="AZ782" s="3"/>
      <c r="BA782" s="3"/>
      <c r="BB782" s="3"/>
      <c r="BC782" s="3"/>
      <c r="BD782" s="3"/>
      <c r="BE782" s="3"/>
      <c r="BF782" s="3"/>
    </row>
    <row r="783" spans="1:58" ht="14.25" customHeight="1" x14ac:dyDescent="0.45">
      <c r="A783" s="618"/>
      <c r="B783" s="618"/>
      <c r="C783" s="618"/>
      <c r="D783" s="5"/>
      <c r="E783" s="24"/>
      <c r="F783" s="24"/>
      <c r="G783" s="24"/>
      <c r="H783" s="25"/>
      <c r="I783" s="618"/>
      <c r="J783" s="618"/>
      <c r="K783" s="618"/>
      <c r="L783" s="618"/>
      <c r="M783" s="618"/>
      <c r="N783" s="618"/>
      <c r="O783" s="618"/>
      <c r="P783" s="618"/>
      <c r="Q783" s="618"/>
      <c r="R783" s="618"/>
      <c r="S783" s="618"/>
      <c r="T783" s="618"/>
      <c r="U783" s="618"/>
      <c r="V783" s="618"/>
      <c r="W783" s="618"/>
      <c r="X783" s="618"/>
      <c r="Y783" s="618"/>
      <c r="Z783" s="618"/>
      <c r="AA783" s="618"/>
      <c r="AB783" s="618"/>
      <c r="AC783" s="618"/>
      <c r="AD783" s="618"/>
      <c r="AE783" s="618"/>
      <c r="AF783" s="618"/>
      <c r="AG783" s="618"/>
      <c r="AH783" s="618"/>
      <c r="AI783" s="618"/>
      <c r="AJ783" s="618"/>
      <c r="AK783" s="618"/>
      <c r="AL783" s="618"/>
      <c r="AM783" s="3"/>
      <c r="AN783" s="3"/>
      <c r="AO783" s="3"/>
      <c r="AP783" s="3"/>
      <c r="AQ783" s="3"/>
      <c r="AR783" s="3"/>
      <c r="AS783" s="3"/>
      <c r="AT783" s="3"/>
      <c r="AU783" s="3"/>
      <c r="AV783" s="3"/>
      <c r="AW783" s="3"/>
      <c r="AX783" s="3"/>
      <c r="AY783" s="3"/>
      <c r="AZ783" s="3"/>
      <c r="BA783" s="3"/>
      <c r="BB783" s="3"/>
      <c r="BC783" s="3"/>
      <c r="BD783" s="3"/>
      <c r="BE783" s="3"/>
      <c r="BF783" s="3"/>
    </row>
    <row r="784" spans="1:58" ht="14.25" customHeight="1" x14ac:dyDescent="0.45">
      <c r="A784" s="618"/>
      <c r="B784" s="618"/>
      <c r="C784" s="618"/>
      <c r="D784" s="5"/>
      <c r="E784" s="24"/>
      <c r="F784" s="24"/>
      <c r="G784" s="24"/>
      <c r="H784" s="25"/>
      <c r="I784" s="618"/>
      <c r="J784" s="618"/>
      <c r="K784" s="618"/>
      <c r="L784" s="618"/>
      <c r="M784" s="618"/>
      <c r="N784" s="618"/>
      <c r="O784" s="618"/>
      <c r="P784" s="618"/>
      <c r="Q784" s="618"/>
      <c r="R784" s="618"/>
      <c r="S784" s="618"/>
      <c r="T784" s="618"/>
      <c r="U784" s="618"/>
      <c r="V784" s="618"/>
      <c r="W784" s="618"/>
      <c r="X784" s="618"/>
      <c r="Y784" s="618"/>
      <c r="Z784" s="618"/>
      <c r="AA784" s="618"/>
      <c r="AB784" s="618"/>
      <c r="AC784" s="618"/>
      <c r="AD784" s="618"/>
      <c r="AE784" s="618"/>
      <c r="AF784" s="618"/>
      <c r="AG784" s="618"/>
      <c r="AH784" s="618"/>
      <c r="AI784" s="618"/>
      <c r="AJ784" s="618"/>
      <c r="AK784" s="618"/>
      <c r="AL784" s="618"/>
      <c r="AM784" s="3"/>
      <c r="AN784" s="3"/>
      <c r="AO784" s="3"/>
      <c r="AP784" s="3"/>
      <c r="AQ784" s="3"/>
      <c r="AR784" s="3"/>
      <c r="AS784" s="3"/>
      <c r="AT784" s="3"/>
      <c r="AU784" s="3"/>
      <c r="AV784" s="3"/>
      <c r="AW784" s="3"/>
      <c r="AX784" s="3"/>
      <c r="AY784" s="3"/>
      <c r="AZ784" s="3"/>
      <c r="BA784" s="3"/>
      <c r="BB784" s="3"/>
      <c r="BC784" s="3"/>
      <c r="BD784" s="3"/>
      <c r="BE784" s="3"/>
      <c r="BF784" s="3"/>
    </row>
    <row r="785" spans="1:58" ht="14.25" customHeight="1" x14ac:dyDescent="0.45">
      <c r="A785" s="618"/>
      <c r="B785" s="618"/>
      <c r="C785" s="618"/>
      <c r="D785" s="5"/>
      <c r="E785" s="24"/>
      <c r="F785" s="24"/>
      <c r="G785" s="24"/>
      <c r="H785" s="25"/>
      <c r="I785" s="618"/>
      <c r="J785" s="618"/>
      <c r="K785" s="618"/>
      <c r="L785" s="618"/>
      <c r="M785" s="618"/>
      <c r="N785" s="618"/>
      <c r="O785" s="618"/>
      <c r="P785" s="618"/>
      <c r="Q785" s="618"/>
      <c r="R785" s="618"/>
      <c r="S785" s="618"/>
      <c r="T785" s="618"/>
      <c r="U785" s="618"/>
      <c r="V785" s="618"/>
      <c r="W785" s="618"/>
      <c r="X785" s="618"/>
      <c r="Y785" s="618"/>
      <c r="Z785" s="618"/>
      <c r="AA785" s="618"/>
      <c r="AB785" s="618"/>
      <c r="AC785" s="618"/>
      <c r="AD785" s="618"/>
      <c r="AE785" s="618"/>
      <c r="AF785" s="618"/>
      <c r="AG785" s="618"/>
      <c r="AH785" s="618"/>
      <c r="AI785" s="618"/>
      <c r="AJ785" s="618"/>
      <c r="AK785" s="618"/>
      <c r="AL785" s="618"/>
      <c r="AM785" s="3"/>
      <c r="AN785" s="3"/>
      <c r="AO785" s="3"/>
      <c r="AP785" s="3"/>
      <c r="AQ785" s="3"/>
      <c r="AR785" s="3"/>
      <c r="AS785" s="3"/>
      <c r="AT785" s="3"/>
      <c r="AU785" s="3"/>
      <c r="AV785" s="3"/>
      <c r="AW785" s="3"/>
      <c r="AX785" s="3"/>
      <c r="AY785" s="3"/>
      <c r="AZ785" s="3"/>
      <c r="BA785" s="3"/>
      <c r="BB785" s="3"/>
      <c r="BC785" s="3"/>
      <c r="BD785" s="3"/>
      <c r="BE785" s="3"/>
      <c r="BF785" s="3"/>
    </row>
    <row r="786" spans="1:58" ht="14.25" customHeight="1" x14ac:dyDescent="0.45">
      <c r="A786" s="618"/>
      <c r="B786" s="618"/>
      <c r="C786" s="618"/>
      <c r="D786" s="5"/>
      <c r="E786" s="24"/>
      <c r="F786" s="24"/>
      <c r="G786" s="24"/>
      <c r="H786" s="25"/>
      <c r="I786" s="618"/>
      <c r="J786" s="618"/>
      <c r="K786" s="618"/>
      <c r="L786" s="618"/>
      <c r="M786" s="618"/>
      <c r="N786" s="618"/>
      <c r="O786" s="618"/>
      <c r="P786" s="618"/>
      <c r="Q786" s="618"/>
      <c r="R786" s="618"/>
      <c r="S786" s="618"/>
      <c r="T786" s="618"/>
      <c r="U786" s="618"/>
      <c r="V786" s="618"/>
      <c r="W786" s="618"/>
      <c r="X786" s="618"/>
      <c r="Y786" s="618"/>
      <c r="Z786" s="618"/>
      <c r="AA786" s="618"/>
      <c r="AB786" s="618"/>
      <c r="AC786" s="618"/>
      <c r="AD786" s="618"/>
      <c r="AE786" s="618"/>
      <c r="AF786" s="618"/>
      <c r="AG786" s="618"/>
      <c r="AH786" s="618"/>
      <c r="AI786" s="618"/>
      <c r="AJ786" s="618"/>
      <c r="AK786" s="618"/>
      <c r="AL786" s="618"/>
      <c r="AM786" s="3"/>
      <c r="AN786" s="3"/>
      <c r="AO786" s="3"/>
      <c r="AP786" s="3"/>
      <c r="AQ786" s="3"/>
      <c r="AR786" s="3"/>
      <c r="AS786" s="3"/>
      <c r="AT786" s="3"/>
      <c r="AU786" s="3"/>
      <c r="AV786" s="3"/>
      <c r="AW786" s="3"/>
      <c r="AX786" s="3"/>
      <c r="AY786" s="3"/>
      <c r="AZ786" s="3"/>
      <c r="BA786" s="3"/>
      <c r="BB786" s="3"/>
      <c r="BC786" s="3"/>
      <c r="BD786" s="3"/>
      <c r="BE786" s="3"/>
      <c r="BF786" s="3"/>
    </row>
    <row r="787" spans="1:58" ht="14.25" customHeight="1" x14ac:dyDescent="0.45">
      <c r="A787" s="618"/>
      <c r="B787" s="618"/>
      <c r="C787" s="618"/>
      <c r="D787" s="5"/>
      <c r="E787" s="24"/>
      <c r="F787" s="24"/>
      <c r="G787" s="24"/>
      <c r="H787" s="25"/>
      <c r="I787" s="618"/>
      <c r="J787" s="618"/>
      <c r="K787" s="618"/>
      <c r="L787" s="618"/>
      <c r="M787" s="618"/>
      <c r="N787" s="618"/>
      <c r="O787" s="618"/>
      <c r="P787" s="618"/>
      <c r="Q787" s="618"/>
      <c r="R787" s="618"/>
      <c r="S787" s="618"/>
      <c r="T787" s="618"/>
      <c r="U787" s="618"/>
      <c r="V787" s="618"/>
      <c r="W787" s="618"/>
      <c r="X787" s="618"/>
      <c r="Y787" s="618"/>
      <c r="Z787" s="618"/>
      <c r="AA787" s="618"/>
      <c r="AB787" s="618"/>
      <c r="AC787" s="618"/>
      <c r="AD787" s="618"/>
      <c r="AE787" s="618"/>
      <c r="AF787" s="618"/>
      <c r="AG787" s="618"/>
      <c r="AH787" s="618"/>
      <c r="AI787" s="618"/>
      <c r="AJ787" s="618"/>
      <c r="AK787" s="618"/>
      <c r="AL787" s="618"/>
      <c r="AM787" s="3"/>
      <c r="AN787" s="3"/>
      <c r="AO787" s="3"/>
      <c r="AP787" s="3"/>
      <c r="AQ787" s="3"/>
      <c r="AR787" s="3"/>
      <c r="AS787" s="3"/>
      <c r="AT787" s="3"/>
      <c r="AU787" s="3"/>
      <c r="AV787" s="3"/>
      <c r="AW787" s="3"/>
      <c r="AX787" s="3"/>
      <c r="AY787" s="3"/>
      <c r="AZ787" s="3"/>
      <c r="BA787" s="3"/>
      <c r="BB787" s="3"/>
      <c r="BC787" s="3"/>
      <c r="BD787" s="3"/>
      <c r="BE787" s="3"/>
      <c r="BF787" s="3"/>
    </row>
    <row r="788" spans="1:58" ht="14.25" customHeight="1" x14ac:dyDescent="0.45">
      <c r="A788" s="618"/>
      <c r="B788" s="618"/>
      <c r="C788" s="618"/>
      <c r="D788" s="5"/>
      <c r="E788" s="24"/>
      <c r="F788" s="24"/>
      <c r="G788" s="24"/>
      <c r="H788" s="25"/>
      <c r="I788" s="618"/>
      <c r="J788" s="618"/>
      <c r="K788" s="618"/>
      <c r="L788" s="618"/>
      <c r="M788" s="618"/>
      <c r="N788" s="618"/>
      <c r="O788" s="618"/>
      <c r="P788" s="618"/>
      <c r="Q788" s="618"/>
      <c r="R788" s="618"/>
      <c r="S788" s="618"/>
      <c r="T788" s="618"/>
      <c r="U788" s="618"/>
      <c r="V788" s="618"/>
      <c r="W788" s="618"/>
      <c r="X788" s="618"/>
      <c r="Y788" s="618"/>
      <c r="Z788" s="618"/>
      <c r="AA788" s="618"/>
      <c r="AB788" s="618"/>
      <c r="AC788" s="618"/>
      <c r="AD788" s="618"/>
      <c r="AE788" s="618"/>
      <c r="AF788" s="618"/>
      <c r="AG788" s="618"/>
      <c r="AH788" s="618"/>
      <c r="AI788" s="618"/>
      <c r="AJ788" s="618"/>
      <c r="AK788" s="618"/>
      <c r="AL788" s="618"/>
      <c r="AM788" s="3"/>
      <c r="AN788" s="3"/>
      <c r="AO788" s="3"/>
      <c r="AP788" s="3"/>
      <c r="AQ788" s="3"/>
      <c r="AR788" s="3"/>
      <c r="AS788" s="3"/>
      <c r="AT788" s="3"/>
      <c r="AU788" s="3"/>
      <c r="AV788" s="3"/>
      <c r="AW788" s="3"/>
      <c r="AX788" s="3"/>
      <c r="AY788" s="3"/>
      <c r="AZ788" s="3"/>
      <c r="BA788" s="3"/>
      <c r="BB788" s="3"/>
      <c r="BC788" s="3"/>
      <c r="BD788" s="3"/>
      <c r="BE788" s="3"/>
      <c r="BF788" s="3"/>
    </row>
    <row r="789" spans="1:58" ht="14.25" customHeight="1" x14ac:dyDescent="0.45">
      <c r="A789" s="618"/>
      <c r="B789" s="618"/>
      <c r="C789" s="618"/>
      <c r="D789" s="5"/>
      <c r="E789" s="24"/>
      <c r="F789" s="24"/>
      <c r="G789" s="24"/>
      <c r="H789" s="25"/>
      <c r="I789" s="618"/>
      <c r="J789" s="618"/>
      <c r="K789" s="618"/>
      <c r="L789" s="618"/>
      <c r="M789" s="618"/>
      <c r="N789" s="618"/>
      <c r="O789" s="618"/>
      <c r="P789" s="618"/>
      <c r="Q789" s="618"/>
      <c r="R789" s="618"/>
      <c r="S789" s="618"/>
      <c r="T789" s="618"/>
      <c r="U789" s="618"/>
      <c r="V789" s="618"/>
      <c r="W789" s="618"/>
      <c r="X789" s="618"/>
      <c r="Y789" s="618"/>
      <c r="Z789" s="618"/>
      <c r="AA789" s="618"/>
      <c r="AB789" s="618"/>
      <c r="AC789" s="618"/>
      <c r="AD789" s="618"/>
      <c r="AE789" s="618"/>
      <c r="AF789" s="618"/>
      <c r="AG789" s="618"/>
      <c r="AH789" s="618"/>
      <c r="AI789" s="618"/>
      <c r="AJ789" s="618"/>
      <c r="AK789" s="618"/>
      <c r="AL789" s="618"/>
      <c r="AM789" s="3"/>
      <c r="AN789" s="3"/>
      <c r="AO789" s="3"/>
      <c r="AP789" s="3"/>
      <c r="AQ789" s="3"/>
      <c r="AR789" s="3"/>
      <c r="AS789" s="3"/>
      <c r="AT789" s="3"/>
      <c r="AU789" s="3"/>
      <c r="AV789" s="3"/>
      <c r="AW789" s="3"/>
      <c r="AX789" s="3"/>
      <c r="AY789" s="3"/>
      <c r="AZ789" s="3"/>
      <c r="BA789" s="3"/>
      <c r="BB789" s="3"/>
      <c r="BC789" s="3"/>
      <c r="BD789" s="3"/>
      <c r="BE789" s="3"/>
      <c r="BF789" s="3"/>
    </row>
    <row r="790" spans="1:58" ht="14.25" customHeight="1" x14ac:dyDescent="0.45">
      <c r="A790" s="618"/>
      <c r="B790" s="618"/>
      <c r="C790" s="618"/>
      <c r="D790" s="5"/>
      <c r="E790" s="24"/>
      <c r="F790" s="24"/>
      <c r="G790" s="24"/>
      <c r="H790" s="25"/>
      <c r="I790" s="618"/>
      <c r="J790" s="618"/>
      <c r="K790" s="618"/>
      <c r="L790" s="618"/>
      <c r="M790" s="618"/>
      <c r="N790" s="618"/>
      <c r="O790" s="618"/>
      <c r="P790" s="618"/>
      <c r="Q790" s="618"/>
      <c r="R790" s="618"/>
      <c r="S790" s="618"/>
      <c r="T790" s="618"/>
      <c r="U790" s="618"/>
      <c r="V790" s="618"/>
      <c r="W790" s="618"/>
      <c r="X790" s="618"/>
      <c r="Y790" s="618"/>
      <c r="Z790" s="618"/>
      <c r="AA790" s="618"/>
      <c r="AB790" s="618"/>
      <c r="AC790" s="618"/>
      <c r="AD790" s="618"/>
      <c r="AE790" s="618"/>
      <c r="AF790" s="618"/>
      <c r="AG790" s="618"/>
      <c r="AH790" s="618"/>
      <c r="AI790" s="618"/>
      <c r="AJ790" s="618"/>
      <c r="AK790" s="618"/>
      <c r="AL790" s="618"/>
      <c r="AM790" s="3"/>
      <c r="AN790" s="3"/>
      <c r="AO790" s="3"/>
      <c r="AP790" s="3"/>
      <c r="AQ790" s="3"/>
      <c r="AR790" s="3"/>
      <c r="AS790" s="3"/>
      <c r="AT790" s="3"/>
      <c r="AU790" s="3"/>
      <c r="AV790" s="3"/>
      <c r="AW790" s="3"/>
      <c r="AX790" s="3"/>
      <c r="AY790" s="3"/>
      <c r="AZ790" s="3"/>
      <c r="BA790" s="3"/>
      <c r="BB790" s="3"/>
      <c r="BC790" s="3"/>
      <c r="BD790" s="3"/>
      <c r="BE790" s="3"/>
      <c r="BF790" s="3"/>
    </row>
    <row r="791" spans="1:58" ht="14.25" customHeight="1" x14ac:dyDescent="0.45">
      <c r="A791" s="618"/>
      <c r="B791" s="618"/>
      <c r="C791" s="618"/>
      <c r="D791" s="5"/>
      <c r="E791" s="24"/>
      <c r="F791" s="24"/>
      <c r="G791" s="24"/>
      <c r="H791" s="25"/>
      <c r="I791" s="618"/>
      <c r="J791" s="618"/>
      <c r="K791" s="618"/>
      <c r="L791" s="618"/>
      <c r="M791" s="618"/>
      <c r="N791" s="618"/>
      <c r="O791" s="618"/>
      <c r="P791" s="618"/>
      <c r="Q791" s="618"/>
      <c r="R791" s="618"/>
      <c r="S791" s="618"/>
      <c r="T791" s="618"/>
      <c r="U791" s="618"/>
      <c r="V791" s="618"/>
      <c r="W791" s="618"/>
      <c r="X791" s="618"/>
      <c r="Y791" s="618"/>
      <c r="Z791" s="618"/>
      <c r="AA791" s="618"/>
      <c r="AB791" s="618"/>
      <c r="AC791" s="618"/>
      <c r="AD791" s="618"/>
      <c r="AE791" s="618"/>
      <c r="AF791" s="618"/>
      <c r="AG791" s="618"/>
      <c r="AH791" s="618"/>
      <c r="AI791" s="618"/>
      <c r="AJ791" s="618"/>
      <c r="AK791" s="618"/>
      <c r="AL791" s="618"/>
      <c r="AM791" s="3"/>
      <c r="AN791" s="3"/>
      <c r="AO791" s="3"/>
      <c r="AP791" s="3"/>
      <c r="AQ791" s="3"/>
      <c r="AR791" s="3"/>
      <c r="AS791" s="3"/>
      <c r="AT791" s="3"/>
      <c r="AU791" s="3"/>
      <c r="AV791" s="3"/>
      <c r="AW791" s="3"/>
      <c r="AX791" s="3"/>
      <c r="AY791" s="3"/>
      <c r="AZ791" s="3"/>
      <c r="BA791" s="3"/>
      <c r="BB791" s="3"/>
      <c r="BC791" s="3"/>
      <c r="BD791" s="3"/>
      <c r="BE791" s="3"/>
      <c r="BF791" s="3"/>
    </row>
    <row r="792" spans="1:58" ht="14.25" customHeight="1" x14ac:dyDescent="0.45">
      <c r="A792" s="618"/>
      <c r="B792" s="618"/>
      <c r="C792" s="618"/>
      <c r="D792" s="5"/>
      <c r="E792" s="24"/>
      <c r="F792" s="24"/>
      <c r="G792" s="24"/>
      <c r="H792" s="25"/>
      <c r="I792" s="618"/>
      <c r="J792" s="618"/>
      <c r="K792" s="618"/>
      <c r="L792" s="618"/>
      <c r="M792" s="618"/>
      <c r="N792" s="618"/>
      <c r="O792" s="618"/>
      <c r="P792" s="618"/>
      <c r="Q792" s="618"/>
      <c r="R792" s="618"/>
      <c r="S792" s="618"/>
      <c r="T792" s="618"/>
      <c r="U792" s="618"/>
      <c r="V792" s="618"/>
      <c r="W792" s="618"/>
      <c r="X792" s="618"/>
      <c r="Y792" s="618"/>
      <c r="Z792" s="618"/>
      <c r="AA792" s="618"/>
      <c r="AB792" s="618"/>
      <c r="AC792" s="618"/>
      <c r="AD792" s="618"/>
      <c r="AE792" s="618"/>
      <c r="AF792" s="618"/>
      <c r="AG792" s="618"/>
      <c r="AH792" s="618"/>
      <c r="AI792" s="618"/>
      <c r="AJ792" s="618"/>
      <c r="AK792" s="618"/>
      <c r="AL792" s="618"/>
      <c r="AM792" s="3"/>
      <c r="AN792" s="3"/>
      <c r="AO792" s="3"/>
      <c r="AP792" s="3"/>
      <c r="AQ792" s="3"/>
      <c r="AR792" s="3"/>
      <c r="AS792" s="3"/>
      <c r="AT792" s="3"/>
      <c r="AU792" s="3"/>
      <c r="AV792" s="3"/>
      <c r="AW792" s="3"/>
      <c r="AX792" s="3"/>
      <c r="AY792" s="3"/>
      <c r="AZ792" s="3"/>
      <c r="BA792" s="3"/>
      <c r="BB792" s="3"/>
      <c r="BC792" s="3"/>
      <c r="BD792" s="3"/>
      <c r="BE792" s="3"/>
      <c r="BF792" s="3"/>
    </row>
    <row r="793" spans="1:58" ht="14.25" customHeight="1" x14ac:dyDescent="0.45">
      <c r="A793" s="618"/>
      <c r="B793" s="618"/>
      <c r="C793" s="618"/>
      <c r="D793" s="5"/>
      <c r="E793" s="24"/>
      <c r="F793" s="24"/>
      <c r="G793" s="24"/>
      <c r="H793" s="25"/>
      <c r="I793" s="618"/>
      <c r="J793" s="618"/>
      <c r="K793" s="618"/>
      <c r="L793" s="618"/>
      <c r="M793" s="618"/>
      <c r="N793" s="618"/>
      <c r="O793" s="618"/>
      <c r="P793" s="618"/>
      <c r="Q793" s="618"/>
      <c r="R793" s="618"/>
      <c r="S793" s="618"/>
      <c r="T793" s="618"/>
      <c r="U793" s="618"/>
      <c r="V793" s="618"/>
      <c r="W793" s="618"/>
      <c r="X793" s="618"/>
      <c r="Y793" s="618"/>
      <c r="Z793" s="618"/>
      <c r="AA793" s="618"/>
      <c r="AB793" s="618"/>
      <c r="AC793" s="618"/>
      <c r="AD793" s="618"/>
      <c r="AE793" s="618"/>
      <c r="AF793" s="618"/>
      <c r="AG793" s="618"/>
      <c r="AH793" s="618"/>
      <c r="AI793" s="618"/>
      <c r="AJ793" s="618"/>
      <c r="AK793" s="618"/>
      <c r="AL793" s="618"/>
      <c r="AM793" s="3"/>
      <c r="AN793" s="3"/>
      <c r="AO793" s="3"/>
      <c r="AP793" s="3"/>
      <c r="AQ793" s="3"/>
      <c r="AR793" s="3"/>
      <c r="AS793" s="3"/>
      <c r="AT793" s="3"/>
      <c r="AU793" s="3"/>
      <c r="AV793" s="3"/>
      <c r="AW793" s="3"/>
      <c r="AX793" s="3"/>
      <c r="AY793" s="3"/>
      <c r="AZ793" s="3"/>
      <c r="BA793" s="3"/>
      <c r="BB793" s="3"/>
      <c r="BC793" s="3"/>
      <c r="BD793" s="3"/>
      <c r="BE793" s="3"/>
      <c r="BF793" s="3"/>
    </row>
    <row r="794" spans="1:58" ht="14.25" customHeight="1" x14ac:dyDescent="0.45">
      <c r="A794" s="618"/>
      <c r="B794" s="618"/>
      <c r="C794" s="618"/>
      <c r="D794" s="5"/>
      <c r="E794" s="24"/>
      <c r="F794" s="24"/>
      <c r="G794" s="24"/>
      <c r="H794" s="25"/>
      <c r="I794" s="618"/>
      <c r="J794" s="618"/>
      <c r="K794" s="618"/>
      <c r="L794" s="618"/>
      <c r="M794" s="618"/>
      <c r="N794" s="618"/>
      <c r="O794" s="618"/>
      <c r="P794" s="618"/>
      <c r="Q794" s="618"/>
      <c r="R794" s="618"/>
      <c r="S794" s="618"/>
      <c r="T794" s="618"/>
      <c r="U794" s="618"/>
      <c r="V794" s="618"/>
      <c r="W794" s="618"/>
      <c r="X794" s="618"/>
      <c r="Y794" s="618"/>
      <c r="Z794" s="618"/>
      <c r="AA794" s="618"/>
      <c r="AB794" s="618"/>
      <c r="AC794" s="618"/>
      <c r="AD794" s="618"/>
      <c r="AE794" s="618"/>
      <c r="AF794" s="618"/>
      <c r="AG794" s="618"/>
      <c r="AH794" s="618"/>
      <c r="AI794" s="618"/>
      <c r="AJ794" s="618"/>
      <c r="AK794" s="618"/>
      <c r="AL794" s="618"/>
      <c r="AM794" s="3"/>
      <c r="AN794" s="3"/>
      <c r="AO794" s="3"/>
      <c r="AP794" s="3"/>
      <c r="AQ794" s="3"/>
      <c r="AR794" s="3"/>
      <c r="AS794" s="3"/>
      <c r="AT794" s="3"/>
      <c r="AU794" s="3"/>
      <c r="AV794" s="3"/>
      <c r="AW794" s="3"/>
      <c r="AX794" s="3"/>
      <c r="AY794" s="3"/>
      <c r="AZ794" s="3"/>
      <c r="BA794" s="3"/>
      <c r="BB794" s="3"/>
      <c r="BC794" s="3"/>
      <c r="BD794" s="3"/>
      <c r="BE794" s="3"/>
      <c r="BF794" s="3"/>
    </row>
    <row r="795" spans="1:58" ht="14.25" customHeight="1" x14ac:dyDescent="0.45">
      <c r="A795" s="618"/>
      <c r="B795" s="618"/>
      <c r="C795" s="618"/>
      <c r="D795" s="5"/>
      <c r="E795" s="24"/>
      <c r="F795" s="24"/>
      <c r="G795" s="24"/>
      <c r="H795" s="25"/>
      <c r="I795" s="618"/>
      <c r="J795" s="618"/>
      <c r="K795" s="618"/>
      <c r="L795" s="618"/>
      <c r="M795" s="618"/>
      <c r="N795" s="618"/>
      <c r="O795" s="618"/>
      <c r="P795" s="618"/>
      <c r="Q795" s="618"/>
      <c r="R795" s="618"/>
      <c r="S795" s="618"/>
      <c r="T795" s="618"/>
      <c r="U795" s="618"/>
      <c r="V795" s="618"/>
      <c r="W795" s="618"/>
      <c r="X795" s="618"/>
      <c r="Y795" s="618"/>
      <c r="Z795" s="618"/>
      <c r="AA795" s="618"/>
      <c r="AB795" s="618"/>
      <c r="AC795" s="618"/>
      <c r="AD795" s="618"/>
      <c r="AE795" s="618"/>
      <c r="AF795" s="618"/>
      <c r="AG795" s="618"/>
      <c r="AH795" s="618"/>
      <c r="AI795" s="618"/>
      <c r="AJ795" s="618"/>
      <c r="AK795" s="618"/>
      <c r="AL795" s="618"/>
      <c r="AM795" s="3"/>
      <c r="AN795" s="3"/>
      <c r="AO795" s="3"/>
      <c r="AP795" s="3"/>
      <c r="AQ795" s="3"/>
      <c r="AR795" s="3"/>
      <c r="AS795" s="3"/>
      <c r="AT795" s="3"/>
      <c r="AU795" s="3"/>
      <c r="AV795" s="3"/>
      <c r="AW795" s="3"/>
      <c r="AX795" s="3"/>
      <c r="AY795" s="3"/>
      <c r="AZ795" s="3"/>
      <c r="BA795" s="3"/>
      <c r="BB795" s="3"/>
      <c r="BC795" s="3"/>
      <c r="BD795" s="3"/>
      <c r="BE795" s="3"/>
      <c r="BF795" s="3"/>
    </row>
    <row r="796" spans="1:58" ht="14.25" customHeight="1" x14ac:dyDescent="0.45">
      <c r="A796" s="618"/>
      <c r="B796" s="618"/>
      <c r="C796" s="618"/>
      <c r="D796" s="5"/>
      <c r="E796" s="24"/>
      <c r="F796" s="24"/>
      <c r="G796" s="24"/>
      <c r="H796" s="25"/>
      <c r="I796" s="618"/>
      <c r="J796" s="618"/>
      <c r="K796" s="618"/>
      <c r="L796" s="618"/>
      <c r="M796" s="618"/>
      <c r="N796" s="618"/>
      <c r="O796" s="618"/>
      <c r="P796" s="618"/>
      <c r="Q796" s="618"/>
      <c r="R796" s="618"/>
      <c r="S796" s="618"/>
      <c r="T796" s="618"/>
      <c r="U796" s="618"/>
      <c r="V796" s="618"/>
      <c r="W796" s="618"/>
      <c r="X796" s="618"/>
      <c r="Y796" s="618"/>
      <c r="Z796" s="618"/>
      <c r="AA796" s="618"/>
      <c r="AB796" s="618"/>
      <c r="AC796" s="618"/>
      <c r="AD796" s="618"/>
      <c r="AE796" s="618"/>
      <c r="AF796" s="618"/>
      <c r="AG796" s="618"/>
      <c r="AH796" s="618"/>
      <c r="AI796" s="618"/>
      <c r="AJ796" s="618"/>
      <c r="AK796" s="618"/>
      <c r="AL796" s="618"/>
      <c r="AM796" s="3"/>
      <c r="AN796" s="3"/>
      <c r="AO796" s="3"/>
      <c r="AP796" s="3"/>
      <c r="AQ796" s="3"/>
      <c r="AR796" s="3"/>
      <c r="AS796" s="3"/>
      <c r="AT796" s="3"/>
      <c r="AU796" s="3"/>
      <c r="AV796" s="3"/>
      <c r="AW796" s="3"/>
      <c r="AX796" s="3"/>
      <c r="AY796" s="3"/>
      <c r="AZ796" s="3"/>
      <c r="BA796" s="3"/>
      <c r="BB796" s="3"/>
      <c r="BC796" s="3"/>
      <c r="BD796" s="3"/>
      <c r="BE796" s="3"/>
      <c r="BF796" s="3"/>
    </row>
    <row r="797" spans="1:58" ht="14.25" customHeight="1" x14ac:dyDescent="0.45">
      <c r="A797" s="618"/>
      <c r="B797" s="618"/>
      <c r="C797" s="618"/>
      <c r="D797" s="5"/>
      <c r="E797" s="24"/>
      <c r="F797" s="24"/>
      <c r="G797" s="24"/>
      <c r="H797" s="25"/>
      <c r="I797" s="618"/>
      <c r="J797" s="618"/>
      <c r="K797" s="618"/>
      <c r="L797" s="618"/>
      <c r="M797" s="618"/>
      <c r="N797" s="618"/>
      <c r="O797" s="618"/>
      <c r="P797" s="618"/>
      <c r="Q797" s="618"/>
      <c r="R797" s="618"/>
      <c r="S797" s="618"/>
      <c r="T797" s="618"/>
      <c r="U797" s="618"/>
      <c r="V797" s="618"/>
      <c r="W797" s="618"/>
      <c r="X797" s="618"/>
      <c r="Y797" s="618"/>
      <c r="Z797" s="618"/>
      <c r="AA797" s="618"/>
      <c r="AB797" s="618"/>
      <c r="AC797" s="618"/>
      <c r="AD797" s="618"/>
      <c r="AE797" s="618"/>
      <c r="AF797" s="618"/>
      <c r="AG797" s="618"/>
      <c r="AH797" s="618"/>
      <c r="AI797" s="618"/>
      <c r="AJ797" s="618"/>
      <c r="AK797" s="618"/>
      <c r="AL797" s="618"/>
      <c r="AM797" s="3"/>
      <c r="AN797" s="3"/>
      <c r="AO797" s="3"/>
      <c r="AP797" s="3"/>
      <c r="AQ797" s="3"/>
      <c r="AR797" s="3"/>
      <c r="AS797" s="3"/>
      <c r="AT797" s="3"/>
      <c r="AU797" s="3"/>
      <c r="AV797" s="3"/>
      <c r="AW797" s="3"/>
      <c r="AX797" s="3"/>
      <c r="AY797" s="3"/>
      <c r="AZ797" s="3"/>
      <c r="BA797" s="3"/>
      <c r="BB797" s="3"/>
      <c r="BC797" s="3"/>
      <c r="BD797" s="3"/>
      <c r="BE797" s="3"/>
      <c r="BF797" s="3"/>
    </row>
    <row r="798" spans="1:58" ht="14.25" customHeight="1" x14ac:dyDescent="0.45">
      <c r="A798" s="618"/>
      <c r="B798" s="618"/>
      <c r="C798" s="618"/>
      <c r="D798" s="5"/>
      <c r="E798" s="24"/>
      <c r="F798" s="24"/>
      <c r="G798" s="24"/>
      <c r="H798" s="25"/>
      <c r="I798" s="618"/>
      <c r="J798" s="618"/>
      <c r="K798" s="618"/>
      <c r="L798" s="618"/>
      <c r="M798" s="618"/>
      <c r="N798" s="618"/>
      <c r="O798" s="618"/>
      <c r="P798" s="618"/>
      <c r="Q798" s="618"/>
      <c r="R798" s="618"/>
      <c r="S798" s="618"/>
      <c r="T798" s="618"/>
      <c r="U798" s="618"/>
      <c r="V798" s="618"/>
      <c r="W798" s="618"/>
      <c r="X798" s="618"/>
      <c r="Y798" s="618"/>
      <c r="Z798" s="618"/>
      <c r="AA798" s="618"/>
      <c r="AB798" s="618"/>
      <c r="AC798" s="618"/>
      <c r="AD798" s="618"/>
      <c r="AE798" s="618"/>
      <c r="AF798" s="618"/>
      <c r="AG798" s="618"/>
      <c r="AH798" s="618"/>
      <c r="AI798" s="618"/>
      <c r="AJ798" s="618"/>
      <c r="AK798" s="618"/>
      <c r="AL798" s="618"/>
      <c r="AM798" s="3"/>
      <c r="AN798" s="3"/>
      <c r="AO798" s="3"/>
      <c r="AP798" s="3"/>
      <c r="AQ798" s="3"/>
      <c r="AR798" s="3"/>
      <c r="AS798" s="3"/>
      <c r="AT798" s="3"/>
      <c r="AU798" s="3"/>
      <c r="AV798" s="3"/>
      <c r="AW798" s="3"/>
      <c r="AX798" s="3"/>
      <c r="AY798" s="3"/>
      <c r="AZ798" s="3"/>
      <c r="BA798" s="3"/>
      <c r="BB798" s="3"/>
      <c r="BC798" s="3"/>
      <c r="BD798" s="3"/>
      <c r="BE798" s="3"/>
      <c r="BF798" s="3"/>
    </row>
    <row r="799" spans="1:58" ht="14.25" customHeight="1" x14ac:dyDescent="0.45">
      <c r="A799" s="618"/>
      <c r="B799" s="618"/>
      <c r="C799" s="618"/>
      <c r="D799" s="5"/>
      <c r="E799" s="24"/>
      <c r="F799" s="24"/>
      <c r="G799" s="24"/>
      <c r="H799" s="25"/>
      <c r="I799" s="618"/>
      <c r="J799" s="618"/>
      <c r="K799" s="618"/>
      <c r="L799" s="618"/>
      <c r="M799" s="618"/>
      <c r="N799" s="618"/>
      <c r="O799" s="618"/>
      <c r="P799" s="618"/>
      <c r="Q799" s="618"/>
      <c r="R799" s="618"/>
      <c r="S799" s="618"/>
      <c r="T799" s="618"/>
      <c r="U799" s="618"/>
      <c r="V799" s="618"/>
      <c r="W799" s="618"/>
      <c r="X799" s="618"/>
      <c r="Y799" s="618"/>
      <c r="Z799" s="618"/>
      <c r="AA799" s="618"/>
      <c r="AB799" s="618"/>
      <c r="AC799" s="618"/>
      <c r="AD799" s="618"/>
      <c r="AE799" s="618"/>
      <c r="AF799" s="618"/>
      <c r="AG799" s="618"/>
      <c r="AH799" s="618"/>
      <c r="AI799" s="618"/>
      <c r="AJ799" s="618"/>
      <c r="AK799" s="618"/>
      <c r="AL799" s="618"/>
      <c r="AM799" s="3"/>
      <c r="AN799" s="3"/>
      <c r="AO799" s="3"/>
      <c r="AP799" s="3"/>
      <c r="AQ799" s="3"/>
      <c r="AR799" s="3"/>
      <c r="AS799" s="3"/>
      <c r="AT799" s="3"/>
      <c r="AU799" s="3"/>
      <c r="AV799" s="3"/>
      <c r="AW799" s="3"/>
      <c r="AX799" s="3"/>
      <c r="AY799" s="3"/>
      <c r="AZ799" s="3"/>
      <c r="BA799" s="3"/>
      <c r="BB799" s="3"/>
      <c r="BC799" s="3"/>
      <c r="BD799" s="3"/>
      <c r="BE799" s="3"/>
      <c r="BF799" s="3"/>
    </row>
    <row r="800" spans="1:58" ht="14.25" customHeight="1" x14ac:dyDescent="0.45">
      <c r="A800" s="618"/>
      <c r="B800" s="618"/>
      <c r="C800" s="618"/>
      <c r="D800" s="5"/>
      <c r="E800" s="24"/>
      <c r="F800" s="24"/>
      <c r="G800" s="24"/>
      <c r="H800" s="25"/>
      <c r="I800" s="618"/>
      <c r="J800" s="618"/>
      <c r="K800" s="618"/>
      <c r="L800" s="618"/>
      <c r="M800" s="618"/>
      <c r="N800" s="618"/>
      <c r="O800" s="618"/>
      <c r="P800" s="618"/>
      <c r="Q800" s="618"/>
      <c r="R800" s="618"/>
      <c r="S800" s="618"/>
      <c r="T800" s="618"/>
      <c r="U800" s="618"/>
      <c r="V800" s="618"/>
      <c r="W800" s="618"/>
      <c r="X800" s="618"/>
      <c r="Y800" s="618"/>
      <c r="Z800" s="618"/>
      <c r="AA800" s="618"/>
      <c r="AB800" s="618"/>
      <c r="AC800" s="618"/>
      <c r="AD800" s="618"/>
      <c r="AE800" s="618"/>
      <c r="AF800" s="618"/>
      <c r="AG800" s="618"/>
      <c r="AH800" s="618"/>
      <c r="AI800" s="618"/>
      <c r="AJ800" s="618"/>
      <c r="AK800" s="618"/>
      <c r="AL800" s="618"/>
      <c r="AM800" s="3"/>
      <c r="AN800" s="3"/>
      <c r="AO800" s="3"/>
      <c r="AP800" s="3"/>
      <c r="AQ800" s="3"/>
      <c r="AR800" s="3"/>
      <c r="AS800" s="3"/>
      <c r="AT800" s="3"/>
      <c r="AU800" s="3"/>
      <c r="AV800" s="3"/>
      <c r="AW800" s="3"/>
      <c r="AX800" s="3"/>
      <c r="AY800" s="3"/>
      <c r="AZ800" s="3"/>
      <c r="BA800" s="3"/>
      <c r="BB800" s="3"/>
      <c r="BC800" s="3"/>
      <c r="BD800" s="3"/>
      <c r="BE800" s="3"/>
      <c r="BF800" s="3"/>
    </row>
    <row r="801" spans="1:58" ht="14.25" customHeight="1" x14ac:dyDescent="0.45">
      <c r="A801" s="618"/>
      <c r="B801" s="618"/>
      <c r="C801" s="618"/>
      <c r="D801" s="5"/>
      <c r="E801" s="24"/>
      <c r="F801" s="24"/>
      <c r="G801" s="24"/>
      <c r="H801" s="25"/>
      <c r="I801" s="618"/>
      <c r="J801" s="618"/>
      <c r="K801" s="618"/>
      <c r="L801" s="618"/>
      <c r="M801" s="618"/>
      <c r="N801" s="618"/>
      <c r="O801" s="618"/>
      <c r="P801" s="618"/>
      <c r="Q801" s="618"/>
      <c r="R801" s="618"/>
      <c r="S801" s="618"/>
      <c r="T801" s="618"/>
      <c r="U801" s="618"/>
      <c r="V801" s="618"/>
      <c r="W801" s="618"/>
      <c r="X801" s="618"/>
      <c r="Y801" s="618"/>
      <c r="Z801" s="618"/>
      <c r="AA801" s="618"/>
      <c r="AB801" s="618"/>
      <c r="AC801" s="618"/>
      <c r="AD801" s="618"/>
      <c r="AE801" s="618"/>
      <c r="AF801" s="618"/>
      <c r="AG801" s="618"/>
      <c r="AH801" s="618"/>
      <c r="AI801" s="618"/>
      <c r="AJ801" s="618"/>
      <c r="AK801" s="618"/>
      <c r="AL801" s="618"/>
      <c r="AM801" s="3"/>
      <c r="AN801" s="3"/>
      <c r="AO801" s="3"/>
      <c r="AP801" s="3"/>
      <c r="AQ801" s="3"/>
      <c r="AR801" s="3"/>
      <c r="AS801" s="3"/>
      <c r="AT801" s="3"/>
      <c r="AU801" s="3"/>
      <c r="AV801" s="3"/>
      <c r="AW801" s="3"/>
      <c r="AX801" s="3"/>
      <c r="AY801" s="3"/>
      <c r="AZ801" s="3"/>
      <c r="BA801" s="3"/>
      <c r="BB801" s="3"/>
      <c r="BC801" s="3"/>
      <c r="BD801" s="3"/>
      <c r="BE801" s="3"/>
      <c r="BF801" s="3"/>
    </row>
    <row r="802" spans="1:58" ht="14.25" customHeight="1" x14ac:dyDescent="0.45">
      <c r="A802" s="618"/>
      <c r="B802" s="618"/>
      <c r="C802" s="618"/>
      <c r="D802" s="5"/>
      <c r="E802" s="24"/>
      <c r="F802" s="24"/>
      <c r="G802" s="24"/>
      <c r="H802" s="25"/>
      <c r="I802" s="618"/>
      <c r="J802" s="618"/>
      <c r="K802" s="618"/>
      <c r="L802" s="618"/>
      <c r="M802" s="618"/>
      <c r="N802" s="618"/>
      <c r="O802" s="618"/>
      <c r="P802" s="618"/>
      <c r="Q802" s="618"/>
      <c r="R802" s="618"/>
      <c r="S802" s="618"/>
      <c r="T802" s="618"/>
      <c r="U802" s="618"/>
      <c r="V802" s="618"/>
      <c r="W802" s="618"/>
      <c r="X802" s="618"/>
      <c r="Y802" s="618"/>
      <c r="Z802" s="618"/>
      <c r="AA802" s="618"/>
      <c r="AB802" s="618"/>
      <c r="AC802" s="618"/>
      <c r="AD802" s="618"/>
      <c r="AE802" s="618"/>
      <c r="AF802" s="618"/>
      <c r="AG802" s="618"/>
      <c r="AH802" s="618"/>
      <c r="AI802" s="618"/>
      <c r="AJ802" s="618"/>
      <c r="AK802" s="618"/>
      <c r="AL802" s="618"/>
      <c r="AM802" s="3"/>
      <c r="AN802" s="3"/>
      <c r="AO802" s="3"/>
      <c r="AP802" s="3"/>
      <c r="AQ802" s="3"/>
      <c r="AR802" s="3"/>
      <c r="AS802" s="3"/>
      <c r="AT802" s="3"/>
      <c r="AU802" s="3"/>
      <c r="AV802" s="3"/>
      <c r="AW802" s="3"/>
      <c r="AX802" s="3"/>
      <c r="AY802" s="3"/>
      <c r="AZ802" s="3"/>
      <c r="BA802" s="3"/>
      <c r="BB802" s="3"/>
      <c r="BC802" s="3"/>
      <c r="BD802" s="3"/>
      <c r="BE802" s="3"/>
      <c r="BF802" s="3"/>
    </row>
    <row r="803" spans="1:58" ht="14.25" customHeight="1" x14ac:dyDescent="0.45">
      <c r="A803" s="618"/>
      <c r="B803" s="618"/>
      <c r="C803" s="618"/>
      <c r="D803" s="5"/>
      <c r="E803" s="24"/>
      <c r="F803" s="24"/>
      <c r="G803" s="24"/>
      <c r="H803" s="25"/>
      <c r="I803" s="618"/>
      <c r="J803" s="618"/>
      <c r="K803" s="618"/>
      <c r="L803" s="618"/>
      <c r="M803" s="618"/>
      <c r="N803" s="618"/>
      <c r="O803" s="618"/>
      <c r="P803" s="618"/>
      <c r="Q803" s="618"/>
      <c r="R803" s="618"/>
      <c r="S803" s="618"/>
      <c r="T803" s="618"/>
      <c r="U803" s="618"/>
      <c r="V803" s="618"/>
      <c r="W803" s="618"/>
      <c r="X803" s="618"/>
      <c r="Y803" s="618"/>
      <c r="Z803" s="618"/>
      <c r="AA803" s="618"/>
      <c r="AB803" s="618"/>
      <c r="AC803" s="618"/>
      <c r="AD803" s="618"/>
      <c r="AE803" s="618"/>
      <c r="AF803" s="618"/>
      <c r="AG803" s="618"/>
      <c r="AH803" s="618"/>
      <c r="AI803" s="618"/>
      <c r="AJ803" s="618"/>
      <c r="AK803" s="618"/>
      <c r="AL803" s="618"/>
      <c r="AM803" s="3"/>
      <c r="AN803" s="3"/>
      <c r="AO803" s="3"/>
      <c r="AP803" s="3"/>
      <c r="AQ803" s="3"/>
      <c r="AR803" s="3"/>
      <c r="AS803" s="3"/>
      <c r="AT803" s="3"/>
      <c r="AU803" s="3"/>
      <c r="AV803" s="3"/>
      <c r="AW803" s="3"/>
      <c r="AX803" s="3"/>
      <c r="AY803" s="3"/>
      <c r="AZ803" s="3"/>
      <c r="BA803" s="3"/>
      <c r="BB803" s="3"/>
      <c r="BC803" s="3"/>
      <c r="BD803" s="3"/>
      <c r="BE803" s="3"/>
      <c r="BF803" s="3"/>
    </row>
    <row r="804" spans="1:58" ht="14.25" customHeight="1" x14ac:dyDescent="0.45">
      <c r="A804" s="618"/>
      <c r="B804" s="618"/>
      <c r="C804" s="618"/>
      <c r="D804" s="5"/>
      <c r="E804" s="24"/>
      <c r="F804" s="24"/>
      <c r="G804" s="24"/>
      <c r="H804" s="25"/>
      <c r="I804" s="618"/>
      <c r="J804" s="618"/>
      <c r="K804" s="618"/>
      <c r="L804" s="618"/>
      <c r="M804" s="618"/>
      <c r="N804" s="618"/>
      <c r="O804" s="618"/>
      <c r="P804" s="618"/>
      <c r="Q804" s="618"/>
      <c r="R804" s="618"/>
      <c r="S804" s="618"/>
      <c r="T804" s="618"/>
      <c r="U804" s="618"/>
      <c r="V804" s="618"/>
      <c r="W804" s="618"/>
      <c r="X804" s="618"/>
      <c r="Y804" s="618"/>
      <c r="Z804" s="618"/>
      <c r="AA804" s="618"/>
      <c r="AB804" s="618"/>
      <c r="AC804" s="618"/>
      <c r="AD804" s="618"/>
      <c r="AE804" s="618"/>
      <c r="AF804" s="618"/>
      <c r="AG804" s="618"/>
      <c r="AH804" s="618"/>
      <c r="AI804" s="618"/>
      <c r="AJ804" s="618"/>
      <c r="AK804" s="618"/>
      <c r="AL804" s="618"/>
      <c r="AM804" s="3"/>
      <c r="AN804" s="3"/>
      <c r="AO804" s="3"/>
      <c r="AP804" s="3"/>
      <c r="AQ804" s="3"/>
      <c r="AR804" s="3"/>
      <c r="AS804" s="3"/>
      <c r="AT804" s="3"/>
      <c r="AU804" s="3"/>
      <c r="AV804" s="3"/>
      <c r="AW804" s="3"/>
      <c r="AX804" s="3"/>
      <c r="AY804" s="3"/>
      <c r="AZ804" s="3"/>
      <c r="BA804" s="3"/>
      <c r="BB804" s="3"/>
      <c r="BC804" s="3"/>
      <c r="BD804" s="3"/>
      <c r="BE804" s="3"/>
      <c r="BF804" s="3"/>
    </row>
    <row r="805" spans="1:58" ht="14.25" customHeight="1" x14ac:dyDescent="0.45">
      <c r="A805" s="618"/>
      <c r="B805" s="618"/>
      <c r="C805" s="618"/>
      <c r="D805" s="5"/>
      <c r="E805" s="24"/>
      <c r="F805" s="24"/>
      <c r="G805" s="24"/>
      <c r="H805" s="25"/>
      <c r="I805" s="618"/>
      <c r="J805" s="618"/>
      <c r="K805" s="618"/>
      <c r="L805" s="618"/>
      <c r="M805" s="618"/>
      <c r="N805" s="618"/>
      <c r="O805" s="618"/>
      <c r="P805" s="618"/>
      <c r="Q805" s="618"/>
      <c r="R805" s="618"/>
      <c r="S805" s="618"/>
      <c r="T805" s="618"/>
      <c r="U805" s="618"/>
      <c r="V805" s="618"/>
      <c r="W805" s="618"/>
      <c r="X805" s="618"/>
      <c r="Y805" s="618"/>
      <c r="Z805" s="618"/>
      <c r="AA805" s="618"/>
      <c r="AB805" s="618"/>
      <c r="AC805" s="618"/>
      <c r="AD805" s="618"/>
      <c r="AE805" s="618"/>
      <c r="AF805" s="618"/>
      <c r="AG805" s="618"/>
      <c r="AH805" s="618"/>
      <c r="AI805" s="618"/>
      <c r="AJ805" s="618"/>
      <c r="AK805" s="618"/>
      <c r="AL805" s="618"/>
      <c r="AM805" s="3"/>
      <c r="AN805" s="3"/>
      <c r="AO805" s="3"/>
      <c r="AP805" s="3"/>
      <c r="AQ805" s="3"/>
      <c r="AR805" s="3"/>
      <c r="AS805" s="3"/>
      <c r="AT805" s="3"/>
      <c r="AU805" s="3"/>
      <c r="AV805" s="3"/>
      <c r="AW805" s="3"/>
      <c r="AX805" s="3"/>
      <c r="AY805" s="3"/>
      <c r="AZ805" s="3"/>
      <c r="BA805" s="3"/>
      <c r="BB805" s="3"/>
      <c r="BC805" s="3"/>
      <c r="BD805" s="3"/>
      <c r="BE805" s="3"/>
      <c r="BF805" s="3"/>
    </row>
    <row r="806" spans="1:58" ht="14.25" customHeight="1" x14ac:dyDescent="0.45">
      <c r="A806" s="618"/>
      <c r="B806" s="618"/>
      <c r="C806" s="618"/>
      <c r="D806" s="5"/>
      <c r="E806" s="24"/>
      <c r="F806" s="24"/>
      <c r="G806" s="24"/>
      <c r="H806" s="25"/>
      <c r="I806" s="618"/>
      <c r="J806" s="618"/>
      <c r="K806" s="618"/>
      <c r="L806" s="618"/>
      <c r="M806" s="618"/>
      <c r="N806" s="618"/>
      <c r="O806" s="618"/>
      <c r="P806" s="618"/>
      <c r="Q806" s="618"/>
      <c r="R806" s="618"/>
      <c r="S806" s="618"/>
      <c r="T806" s="618"/>
      <c r="U806" s="618"/>
      <c r="V806" s="618"/>
      <c r="W806" s="618"/>
      <c r="X806" s="618"/>
      <c r="Y806" s="618"/>
      <c r="Z806" s="618"/>
      <c r="AA806" s="618"/>
      <c r="AB806" s="618"/>
      <c r="AC806" s="618"/>
      <c r="AD806" s="618"/>
      <c r="AE806" s="618"/>
      <c r="AF806" s="618"/>
      <c r="AG806" s="618"/>
      <c r="AH806" s="618"/>
      <c r="AI806" s="618"/>
      <c r="AJ806" s="618"/>
      <c r="AK806" s="618"/>
      <c r="AL806" s="618"/>
      <c r="AM806" s="3"/>
      <c r="AN806" s="3"/>
      <c r="AO806" s="3"/>
      <c r="AP806" s="3"/>
      <c r="AQ806" s="3"/>
      <c r="AR806" s="3"/>
      <c r="AS806" s="3"/>
      <c r="AT806" s="3"/>
      <c r="AU806" s="3"/>
      <c r="AV806" s="3"/>
      <c r="AW806" s="3"/>
      <c r="AX806" s="3"/>
      <c r="AY806" s="3"/>
      <c r="AZ806" s="3"/>
      <c r="BA806" s="3"/>
      <c r="BB806" s="3"/>
      <c r="BC806" s="3"/>
      <c r="BD806" s="3"/>
      <c r="BE806" s="3"/>
      <c r="BF806" s="3"/>
    </row>
    <row r="807" spans="1:58" ht="14.25" customHeight="1" x14ac:dyDescent="0.45">
      <c r="A807" s="618"/>
      <c r="B807" s="618"/>
      <c r="C807" s="618"/>
      <c r="D807" s="5"/>
      <c r="E807" s="24"/>
      <c r="F807" s="24"/>
      <c r="G807" s="24"/>
      <c r="H807" s="25"/>
      <c r="I807" s="618"/>
      <c r="J807" s="618"/>
      <c r="K807" s="618"/>
      <c r="L807" s="618"/>
      <c r="M807" s="618"/>
      <c r="N807" s="618"/>
      <c r="O807" s="618"/>
      <c r="P807" s="618"/>
      <c r="Q807" s="618"/>
      <c r="R807" s="618"/>
      <c r="S807" s="618"/>
      <c r="T807" s="618"/>
      <c r="U807" s="618"/>
      <c r="V807" s="618"/>
      <c r="W807" s="618"/>
      <c r="X807" s="618"/>
      <c r="Y807" s="618"/>
      <c r="Z807" s="618"/>
      <c r="AA807" s="618"/>
      <c r="AB807" s="618"/>
      <c r="AC807" s="618"/>
      <c r="AD807" s="618"/>
      <c r="AE807" s="618"/>
      <c r="AF807" s="618"/>
      <c r="AG807" s="618"/>
      <c r="AH807" s="618"/>
      <c r="AI807" s="618"/>
      <c r="AJ807" s="618"/>
      <c r="AK807" s="618"/>
      <c r="AL807" s="618"/>
      <c r="AM807" s="3"/>
      <c r="AN807" s="3"/>
      <c r="AO807" s="3"/>
      <c r="AP807" s="3"/>
      <c r="AQ807" s="3"/>
      <c r="AR807" s="3"/>
      <c r="AS807" s="3"/>
      <c r="AT807" s="3"/>
      <c r="AU807" s="3"/>
      <c r="AV807" s="3"/>
      <c r="AW807" s="3"/>
      <c r="AX807" s="3"/>
      <c r="AY807" s="3"/>
      <c r="AZ807" s="3"/>
      <c r="BA807" s="3"/>
      <c r="BB807" s="3"/>
      <c r="BC807" s="3"/>
      <c r="BD807" s="3"/>
      <c r="BE807" s="3"/>
      <c r="BF807" s="3"/>
    </row>
    <row r="808" spans="1:58" ht="14.25" customHeight="1" x14ac:dyDescent="0.45">
      <c r="A808" s="618"/>
      <c r="B808" s="618"/>
      <c r="C808" s="618"/>
      <c r="D808" s="5"/>
      <c r="E808" s="24"/>
      <c r="F808" s="24"/>
      <c r="G808" s="24"/>
      <c r="H808" s="25"/>
      <c r="I808" s="618"/>
      <c r="J808" s="618"/>
      <c r="K808" s="618"/>
      <c r="L808" s="618"/>
      <c r="M808" s="618"/>
      <c r="N808" s="618"/>
      <c r="O808" s="618"/>
      <c r="P808" s="618"/>
      <c r="Q808" s="618"/>
      <c r="R808" s="618"/>
      <c r="S808" s="618"/>
      <c r="T808" s="618"/>
      <c r="U808" s="618"/>
      <c r="V808" s="618"/>
      <c r="W808" s="618"/>
      <c r="X808" s="618"/>
      <c r="Y808" s="618"/>
      <c r="Z808" s="618"/>
      <c r="AA808" s="618"/>
      <c r="AB808" s="618"/>
      <c r="AC808" s="618"/>
      <c r="AD808" s="618"/>
      <c r="AE808" s="618"/>
      <c r="AF808" s="618"/>
      <c r="AG808" s="618"/>
      <c r="AH808" s="618"/>
      <c r="AI808" s="618"/>
      <c r="AJ808" s="618"/>
      <c r="AK808" s="618"/>
      <c r="AL808" s="618"/>
      <c r="AM808" s="3"/>
      <c r="AN808" s="3"/>
      <c r="AO808" s="3"/>
      <c r="AP808" s="3"/>
      <c r="AQ808" s="3"/>
      <c r="AR808" s="3"/>
      <c r="AS808" s="3"/>
      <c r="AT808" s="3"/>
      <c r="AU808" s="3"/>
      <c r="AV808" s="3"/>
      <c r="AW808" s="3"/>
      <c r="AX808" s="3"/>
      <c r="AY808" s="3"/>
      <c r="AZ808" s="3"/>
      <c r="BA808" s="3"/>
      <c r="BB808" s="3"/>
      <c r="BC808" s="3"/>
      <c r="BD808" s="3"/>
      <c r="BE808" s="3"/>
      <c r="BF808" s="3"/>
    </row>
    <row r="809" spans="1:58" ht="14.25" customHeight="1" x14ac:dyDescent="0.45">
      <c r="A809" s="618"/>
      <c r="B809" s="618"/>
      <c r="C809" s="618"/>
      <c r="D809" s="5"/>
      <c r="E809" s="24"/>
      <c r="F809" s="24"/>
      <c r="G809" s="24"/>
      <c r="H809" s="25"/>
      <c r="I809" s="618"/>
      <c r="J809" s="618"/>
      <c r="K809" s="618"/>
      <c r="L809" s="618"/>
      <c r="M809" s="618"/>
      <c r="N809" s="618"/>
      <c r="O809" s="618"/>
      <c r="P809" s="618"/>
      <c r="Q809" s="618"/>
      <c r="R809" s="618"/>
      <c r="S809" s="618"/>
      <c r="T809" s="618"/>
      <c r="U809" s="618"/>
      <c r="V809" s="618"/>
      <c r="W809" s="618"/>
      <c r="X809" s="618"/>
      <c r="Y809" s="618"/>
      <c r="Z809" s="618"/>
      <c r="AA809" s="618"/>
      <c r="AB809" s="618"/>
      <c r="AC809" s="618"/>
      <c r="AD809" s="618"/>
      <c r="AE809" s="618"/>
      <c r="AF809" s="618"/>
      <c r="AG809" s="618"/>
      <c r="AH809" s="618"/>
      <c r="AI809" s="618"/>
      <c r="AJ809" s="618"/>
      <c r="AK809" s="618"/>
      <c r="AL809" s="618"/>
      <c r="AM809" s="3"/>
      <c r="AN809" s="3"/>
      <c r="AO809" s="3"/>
      <c r="AP809" s="3"/>
      <c r="AQ809" s="3"/>
      <c r="AR809" s="3"/>
      <c r="AS809" s="3"/>
      <c r="AT809" s="3"/>
      <c r="AU809" s="3"/>
      <c r="AV809" s="3"/>
      <c r="AW809" s="3"/>
      <c r="AX809" s="3"/>
      <c r="AY809" s="3"/>
      <c r="AZ809" s="3"/>
      <c r="BA809" s="3"/>
      <c r="BB809" s="3"/>
      <c r="BC809" s="3"/>
      <c r="BD809" s="3"/>
      <c r="BE809" s="3"/>
      <c r="BF809" s="3"/>
    </row>
    <row r="810" spans="1:58" ht="14.25" customHeight="1" x14ac:dyDescent="0.45">
      <c r="A810" s="618"/>
      <c r="B810" s="618"/>
      <c r="C810" s="618"/>
      <c r="D810" s="5"/>
      <c r="E810" s="24"/>
      <c r="F810" s="24"/>
      <c r="G810" s="24"/>
      <c r="H810" s="25"/>
      <c r="I810" s="618"/>
      <c r="J810" s="618"/>
      <c r="K810" s="618"/>
      <c r="L810" s="618"/>
      <c r="M810" s="618"/>
      <c r="N810" s="618"/>
      <c r="O810" s="618"/>
      <c r="P810" s="618"/>
      <c r="Q810" s="618"/>
      <c r="R810" s="618"/>
      <c r="S810" s="618"/>
      <c r="T810" s="618"/>
      <c r="U810" s="618"/>
      <c r="V810" s="618"/>
      <c r="W810" s="618"/>
      <c r="X810" s="618"/>
      <c r="Y810" s="618"/>
      <c r="Z810" s="618"/>
      <c r="AA810" s="618"/>
      <c r="AB810" s="618"/>
      <c r="AC810" s="618"/>
      <c r="AD810" s="618"/>
      <c r="AE810" s="618"/>
      <c r="AF810" s="618"/>
      <c r="AG810" s="618"/>
      <c r="AH810" s="618"/>
      <c r="AI810" s="618"/>
      <c r="AJ810" s="618"/>
      <c r="AK810" s="618"/>
      <c r="AL810" s="618"/>
      <c r="AM810" s="3"/>
      <c r="AN810" s="3"/>
      <c r="AO810" s="3"/>
      <c r="AP810" s="3"/>
      <c r="AQ810" s="3"/>
      <c r="AR810" s="3"/>
      <c r="AS810" s="3"/>
      <c r="AT810" s="3"/>
      <c r="AU810" s="3"/>
      <c r="AV810" s="3"/>
      <c r="AW810" s="3"/>
      <c r="AX810" s="3"/>
      <c r="AY810" s="3"/>
      <c r="AZ810" s="3"/>
      <c r="BA810" s="3"/>
      <c r="BB810" s="3"/>
      <c r="BC810" s="3"/>
      <c r="BD810" s="3"/>
      <c r="BE810" s="3"/>
      <c r="BF810" s="3"/>
    </row>
    <row r="811" spans="1:58" ht="14.25" customHeight="1" x14ac:dyDescent="0.45">
      <c r="A811" s="618"/>
      <c r="B811" s="618"/>
      <c r="C811" s="618"/>
      <c r="D811" s="5"/>
      <c r="E811" s="24"/>
      <c r="F811" s="24"/>
      <c r="G811" s="24"/>
      <c r="H811" s="25"/>
      <c r="I811" s="618"/>
      <c r="J811" s="618"/>
      <c r="K811" s="618"/>
      <c r="L811" s="618"/>
      <c r="M811" s="618"/>
      <c r="N811" s="618"/>
      <c r="O811" s="618"/>
      <c r="P811" s="618"/>
      <c r="Q811" s="618"/>
      <c r="R811" s="618"/>
      <c r="S811" s="618"/>
      <c r="T811" s="618"/>
      <c r="U811" s="618"/>
      <c r="V811" s="618"/>
      <c r="W811" s="618"/>
      <c r="X811" s="618"/>
      <c r="Y811" s="618"/>
      <c r="Z811" s="618"/>
      <c r="AA811" s="618"/>
      <c r="AB811" s="618"/>
      <c r="AC811" s="618"/>
      <c r="AD811" s="618"/>
      <c r="AE811" s="618"/>
      <c r="AF811" s="618"/>
      <c r="AG811" s="618"/>
      <c r="AH811" s="618"/>
      <c r="AI811" s="618"/>
      <c r="AJ811" s="618"/>
      <c r="AK811" s="618"/>
      <c r="AL811" s="618"/>
      <c r="AM811" s="3"/>
      <c r="AN811" s="3"/>
      <c r="AO811" s="3"/>
      <c r="AP811" s="3"/>
      <c r="AQ811" s="3"/>
      <c r="AR811" s="3"/>
      <c r="AS811" s="3"/>
      <c r="AT811" s="3"/>
      <c r="AU811" s="3"/>
      <c r="AV811" s="3"/>
      <c r="AW811" s="3"/>
      <c r="AX811" s="3"/>
      <c r="AY811" s="3"/>
      <c r="AZ811" s="3"/>
      <c r="BA811" s="3"/>
      <c r="BB811" s="3"/>
      <c r="BC811" s="3"/>
      <c r="BD811" s="3"/>
      <c r="BE811" s="3"/>
      <c r="BF811" s="3"/>
    </row>
    <row r="812" spans="1:58" ht="15.75" customHeight="1" x14ac:dyDescent="0.45">
      <c r="A812" s="1"/>
      <c r="B812" s="1"/>
      <c r="C812" s="1"/>
      <c r="D812" s="1"/>
      <c r="E812" s="52"/>
      <c r="F812" s="52"/>
      <c r="G812" s="52"/>
      <c r="H812" s="53"/>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3"/>
      <c r="AN812" s="3"/>
      <c r="AO812" s="3"/>
      <c r="AP812" s="3"/>
      <c r="AQ812" s="3"/>
      <c r="AR812" s="3"/>
      <c r="AS812" s="3"/>
      <c r="AT812" s="3"/>
      <c r="AU812" s="3"/>
      <c r="AV812" s="3"/>
      <c r="AW812" s="3"/>
      <c r="AX812" s="3"/>
      <c r="AY812" s="3"/>
      <c r="AZ812" s="3"/>
      <c r="BA812" s="3"/>
      <c r="BB812" s="3"/>
      <c r="BC812" s="3"/>
      <c r="BD812" s="3"/>
      <c r="BE812" s="3"/>
      <c r="BF812" s="3"/>
    </row>
    <row r="813" spans="1:58" ht="15.75" customHeight="1" x14ac:dyDescent="0.45">
      <c r="A813" s="1"/>
      <c r="B813" s="1"/>
      <c r="C813" s="1"/>
      <c r="D813" s="1"/>
      <c r="E813" s="52"/>
      <c r="F813" s="52"/>
      <c r="G813" s="52"/>
      <c r="H813" s="53"/>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3"/>
      <c r="AN813" s="3"/>
      <c r="AO813" s="3"/>
      <c r="AP813" s="3"/>
      <c r="AQ813" s="3"/>
      <c r="AR813" s="3"/>
      <c r="AS813" s="3"/>
      <c r="AT813" s="3"/>
      <c r="AU813" s="3"/>
      <c r="AV813" s="3"/>
      <c r="AW813" s="3"/>
      <c r="AX813" s="3"/>
      <c r="AY813" s="3"/>
      <c r="AZ813" s="3"/>
      <c r="BA813" s="3"/>
      <c r="BB813" s="3"/>
      <c r="BC813" s="3"/>
      <c r="BD813" s="3"/>
      <c r="BE813" s="3"/>
      <c r="BF813" s="3"/>
    </row>
    <row r="814" spans="1:58" ht="15.75" customHeight="1" x14ac:dyDescent="0.45">
      <c r="A814" s="1"/>
      <c r="B814" s="1"/>
      <c r="C814" s="1"/>
      <c r="D814" s="1"/>
      <c r="E814" s="52"/>
      <c r="F814" s="52"/>
      <c r="G814" s="52"/>
      <c r="H814" s="53"/>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3"/>
      <c r="AN814" s="3"/>
      <c r="AO814" s="3"/>
      <c r="AP814" s="3"/>
      <c r="AQ814" s="3"/>
      <c r="AR814" s="3"/>
      <c r="AS814" s="3"/>
      <c r="AT814" s="3"/>
      <c r="AU814" s="3"/>
      <c r="AV814" s="3"/>
      <c r="AW814" s="3"/>
      <c r="AX814" s="3"/>
      <c r="AY814" s="3"/>
      <c r="AZ814" s="3"/>
      <c r="BA814" s="3"/>
      <c r="BB814" s="3"/>
      <c r="BC814" s="3"/>
      <c r="BD814" s="3"/>
      <c r="BE814" s="3"/>
      <c r="BF814" s="3"/>
    </row>
    <row r="815" spans="1:58" ht="15.75" customHeight="1" x14ac:dyDescent="0.45">
      <c r="A815" s="1"/>
      <c r="B815" s="1"/>
      <c r="C815" s="1"/>
      <c r="D815" s="1"/>
      <c r="E815" s="52"/>
      <c r="F815" s="52"/>
      <c r="G815" s="52"/>
      <c r="H815" s="53"/>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3"/>
      <c r="AN815" s="3"/>
      <c r="AO815" s="3"/>
      <c r="AP815" s="3"/>
      <c r="AQ815" s="3"/>
      <c r="AR815" s="3"/>
      <c r="AS815" s="3"/>
      <c r="AT815" s="3"/>
      <c r="AU815" s="3"/>
      <c r="AV815" s="3"/>
      <c r="AW815" s="3"/>
      <c r="AX815" s="3"/>
      <c r="AY815" s="3"/>
      <c r="AZ815" s="3"/>
      <c r="BA815" s="3"/>
      <c r="BB815" s="3"/>
      <c r="BC815" s="3"/>
      <c r="BD815" s="3"/>
      <c r="BE815" s="3"/>
      <c r="BF815" s="3"/>
    </row>
    <row r="816" spans="1:58" ht="15.75" customHeight="1" x14ac:dyDescent="0.45">
      <c r="A816" s="1"/>
      <c r="B816" s="1"/>
      <c r="C816" s="1"/>
      <c r="D816" s="1"/>
      <c r="E816" s="52"/>
      <c r="F816" s="52"/>
      <c r="G816" s="52"/>
      <c r="H816" s="53"/>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3"/>
      <c r="AN816" s="3"/>
      <c r="AO816" s="3"/>
      <c r="AP816" s="3"/>
      <c r="AQ816" s="3"/>
      <c r="AR816" s="3"/>
      <c r="AS816" s="3"/>
      <c r="AT816" s="3"/>
      <c r="AU816" s="3"/>
      <c r="AV816" s="3"/>
      <c r="AW816" s="3"/>
      <c r="AX816" s="3"/>
      <c r="AY816" s="3"/>
      <c r="AZ816" s="3"/>
      <c r="BA816" s="3"/>
      <c r="BB816" s="3"/>
      <c r="BC816" s="3"/>
      <c r="BD816" s="3"/>
      <c r="BE816" s="3"/>
      <c r="BF816" s="3"/>
    </row>
    <row r="817" spans="1:58" ht="15.75" customHeight="1" x14ac:dyDescent="0.45">
      <c r="A817" s="1"/>
      <c r="B817" s="1"/>
      <c r="C817" s="1"/>
      <c r="D817" s="1"/>
      <c r="E817" s="52"/>
      <c r="F817" s="52"/>
      <c r="G817" s="52"/>
      <c r="H817" s="53"/>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3"/>
      <c r="AN817" s="3"/>
      <c r="AO817" s="3"/>
      <c r="AP817" s="3"/>
      <c r="AQ817" s="3"/>
      <c r="AR817" s="3"/>
      <c r="AS817" s="3"/>
      <c r="AT817" s="3"/>
      <c r="AU817" s="3"/>
      <c r="AV817" s="3"/>
      <c r="AW817" s="3"/>
      <c r="AX817" s="3"/>
      <c r="AY817" s="3"/>
      <c r="AZ817" s="3"/>
      <c r="BA817" s="3"/>
      <c r="BB817" s="3"/>
      <c r="BC817" s="3"/>
      <c r="BD817" s="3"/>
      <c r="BE817" s="3"/>
      <c r="BF817" s="3"/>
    </row>
    <row r="818" spans="1:58" ht="15.75" customHeight="1" x14ac:dyDescent="0.45">
      <c r="A818" s="1"/>
      <c r="B818" s="1"/>
      <c r="C818" s="1"/>
      <c r="D818" s="1"/>
      <c r="E818" s="52"/>
      <c r="F818" s="52"/>
      <c r="G818" s="52"/>
      <c r="H818" s="53"/>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3"/>
      <c r="AN818" s="3"/>
      <c r="AO818" s="3"/>
      <c r="AP818" s="3"/>
      <c r="AQ818" s="3"/>
      <c r="AR818" s="3"/>
      <c r="AS818" s="3"/>
      <c r="AT818" s="3"/>
      <c r="AU818" s="3"/>
      <c r="AV818" s="3"/>
      <c r="AW818" s="3"/>
      <c r="AX818" s="3"/>
      <c r="AY818" s="3"/>
      <c r="AZ818" s="3"/>
      <c r="BA818" s="3"/>
      <c r="BB818" s="3"/>
      <c r="BC818" s="3"/>
      <c r="BD818" s="3"/>
      <c r="BE818" s="3"/>
      <c r="BF818" s="3"/>
    </row>
    <row r="819" spans="1:58" ht="15.75" customHeight="1" x14ac:dyDescent="0.45">
      <c r="A819" s="1"/>
      <c r="B819" s="1"/>
      <c r="C819" s="1"/>
      <c r="D819" s="1"/>
      <c r="E819" s="52"/>
      <c r="F819" s="52"/>
      <c r="G819" s="52"/>
      <c r="H819" s="53"/>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3"/>
      <c r="AN819" s="3"/>
      <c r="AO819" s="3"/>
      <c r="AP819" s="3"/>
      <c r="AQ819" s="3"/>
      <c r="AR819" s="3"/>
      <c r="AS819" s="3"/>
      <c r="AT819" s="3"/>
      <c r="AU819" s="3"/>
      <c r="AV819" s="3"/>
      <c r="AW819" s="3"/>
      <c r="AX819" s="3"/>
      <c r="AY819" s="3"/>
      <c r="AZ819" s="3"/>
      <c r="BA819" s="3"/>
      <c r="BB819" s="3"/>
      <c r="BC819" s="3"/>
      <c r="BD819" s="3"/>
      <c r="BE819" s="3"/>
      <c r="BF819" s="3"/>
    </row>
    <row r="820" spans="1:58" ht="15.75" customHeight="1" x14ac:dyDescent="0.45">
      <c r="A820" s="1"/>
      <c r="B820" s="1"/>
      <c r="C820" s="1"/>
      <c r="D820" s="1"/>
      <c r="E820" s="52"/>
      <c r="F820" s="52"/>
      <c r="G820" s="52"/>
      <c r="H820" s="53"/>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3"/>
      <c r="AN820" s="3"/>
      <c r="AO820" s="3"/>
      <c r="AP820" s="3"/>
      <c r="AQ820" s="3"/>
      <c r="AR820" s="3"/>
      <c r="AS820" s="3"/>
      <c r="AT820" s="3"/>
      <c r="AU820" s="3"/>
      <c r="AV820" s="3"/>
      <c r="AW820" s="3"/>
      <c r="AX820" s="3"/>
      <c r="AY820" s="3"/>
      <c r="AZ820" s="3"/>
      <c r="BA820" s="3"/>
      <c r="BB820" s="3"/>
      <c r="BC820" s="3"/>
      <c r="BD820" s="3"/>
      <c r="BE820" s="3"/>
      <c r="BF820" s="3"/>
    </row>
    <row r="821" spans="1:58" ht="15.75" customHeight="1" x14ac:dyDescent="0.45">
      <c r="A821" s="1"/>
      <c r="B821" s="1"/>
      <c r="C821" s="1"/>
      <c r="D821" s="1"/>
      <c r="E821" s="52"/>
      <c r="F821" s="52"/>
      <c r="G821" s="52"/>
      <c r="H821" s="53"/>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3"/>
      <c r="AN821" s="3"/>
      <c r="AO821" s="3"/>
      <c r="AP821" s="3"/>
      <c r="AQ821" s="3"/>
      <c r="AR821" s="3"/>
      <c r="AS821" s="3"/>
      <c r="AT821" s="3"/>
      <c r="AU821" s="3"/>
      <c r="AV821" s="3"/>
      <c r="AW821" s="3"/>
      <c r="AX821" s="3"/>
      <c r="AY821" s="3"/>
      <c r="AZ821" s="3"/>
      <c r="BA821" s="3"/>
      <c r="BB821" s="3"/>
      <c r="BC821" s="3"/>
      <c r="BD821" s="3"/>
      <c r="BE821" s="3"/>
      <c r="BF821" s="3"/>
    </row>
    <row r="822" spans="1:58" ht="15.75" customHeight="1" x14ac:dyDescent="0.45">
      <c r="A822" s="1"/>
      <c r="B822" s="1"/>
      <c r="C822" s="1"/>
      <c r="D822" s="1"/>
      <c r="E822" s="52"/>
      <c r="F822" s="52"/>
      <c r="G822" s="52"/>
      <c r="H822" s="53"/>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3"/>
      <c r="AN822" s="3"/>
      <c r="AO822" s="3"/>
      <c r="AP822" s="3"/>
      <c r="AQ822" s="3"/>
      <c r="AR822" s="3"/>
      <c r="AS822" s="3"/>
      <c r="AT822" s="3"/>
      <c r="AU822" s="3"/>
      <c r="AV822" s="3"/>
      <c r="AW822" s="3"/>
      <c r="AX822" s="3"/>
      <c r="AY822" s="3"/>
      <c r="AZ822" s="3"/>
      <c r="BA822" s="3"/>
      <c r="BB822" s="3"/>
      <c r="BC822" s="3"/>
      <c r="BD822" s="3"/>
      <c r="BE822" s="3"/>
      <c r="BF822" s="3"/>
    </row>
    <row r="823" spans="1:58" ht="15.75" customHeight="1" x14ac:dyDescent="0.45">
      <c r="A823" s="1"/>
      <c r="B823" s="1"/>
      <c r="C823" s="1"/>
      <c r="D823" s="1"/>
      <c r="E823" s="52"/>
      <c r="F823" s="52"/>
      <c r="G823" s="52"/>
      <c r="H823" s="53"/>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3"/>
      <c r="AN823" s="3"/>
      <c r="AO823" s="3"/>
      <c r="AP823" s="3"/>
      <c r="AQ823" s="3"/>
      <c r="AR823" s="3"/>
      <c r="AS823" s="3"/>
      <c r="AT823" s="3"/>
      <c r="AU823" s="3"/>
      <c r="AV823" s="3"/>
      <c r="AW823" s="3"/>
      <c r="AX823" s="3"/>
      <c r="AY823" s="3"/>
      <c r="AZ823" s="3"/>
      <c r="BA823" s="3"/>
      <c r="BB823" s="3"/>
      <c r="BC823" s="3"/>
      <c r="BD823" s="3"/>
      <c r="BE823" s="3"/>
      <c r="BF823" s="3"/>
    </row>
    <row r="824" spans="1:58" ht="15.75" customHeight="1" x14ac:dyDescent="0.45">
      <c r="A824" s="1"/>
      <c r="B824" s="1"/>
      <c r="C824" s="1"/>
      <c r="D824" s="1"/>
      <c r="E824" s="52"/>
      <c r="F824" s="52"/>
      <c r="G824" s="52"/>
      <c r="H824" s="53"/>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3"/>
      <c r="AN824" s="3"/>
      <c r="AO824" s="3"/>
      <c r="AP824" s="3"/>
      <c r="AQ824" s="3"/>
      <c r="AR824" s="3"/>
      <c r="AS824" s="3"/>
      <c r="AT824" s="3"/>
      <c r="AU824" s="3"/>
      <c r="AV824" s="3"/>
      <c r="AW824" s="3"/>
      <c r="AX824" s="3"/>
      <c r="AY824" s="3"/>
      <c r="AZ824" s="3"/>
      <c r="BA824" s="3"/>
      <c r="BB824" s="3"/>
      <c r="BC824" s="3"/>
      <c r="BD824" s="3"/>
      <c r="BE824" s="3"/>
      <c r="BF824" s="3"/>
    </row>
    <row r="825" spans="1:58" ht="15.75" customHeight="1" x14ac:dyDescent="0.45">
      <c r="A825" s="1"/>
      <c r="B825" s="1"/>
      <c r="C825" s="1"/>
      <c r="D825" s="1"/>
      <c r="E825" s="52"/>
      <c r="F825" s="52"/>
      <c r="G825" s="52"/>
      <c r="H825" s="53"/>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3"/>
      <c r="AN825" s="3"/>
      <c r="AO825" s="3"/>
      <c r="AP825" s="3"/>
      <c r="AQ825" s="3"/>
      <c r="AR825" s="3"/>
      <c r="AS825" s="3"/>
      <c r="AT825" s="3"/>
      <c r="AU825" s="3"/>
      <c r="AV825" s="3"/>
      <c r="AW825" s="3"/>
      <c r="AX825" s="3"/>
      <c r="AY825" s="3"/>
      <c r="AZ825" s="3"/>
      <c r="BA825" s="3"/>
      <c r="BB825" s="3"/>
      <c r="BC825" s="3"/>
      <c r="BD825" s="3"/>
      <c r="BE825" s="3"/>
      <c r="BF825" s="3"/>
    </row>
  </sheetData>
  <mergeCells count="8">
    <mergeCell ref="I479:M479"/>
    <mergeCell ref="B493:B503"/>
    <mergeCell ref="B506:B516"/>
    <mergeCell ref="B1:H1"/>
    <mergeCell ref="E103:I103"/>
    <mergeCell ref="E179:E191"/>
    <mergeCell ref="F230:G230"/>
    <mergeCell ref="B433:B460"/>
  </mergeCells>
  <hyperlinks>
    <hyperlink ref="D103" location="Google_Sheet_Link_1571033540" display="Nueva capacidad proyectada en los actuales planes de expansión" xr:uid="{00000000-0004-0000-0200-000000000000}"/>
    <hyperlink ref="D178" location="Google_Sheet_Link_784270939" display="**Pérdida de capacidad  (relacionado a la vida útil remanente)" xr:uid="{00000000-0004-0000-0200-000001000000}"/>
    <hyperlink ref="D245" location="Google_Sheet_Link_784270939" display="**Distribuida eólica [GW]" xr:uid="{00000000-0004-0000-0200-000002000000}"/>
    <hyperlink ref="K616" r:id="rId1" display="https://biblioteca.olade.org/opac-tmpl/Documentos/old0380.pdf" xr:uid="{00000000-0004-0000-0200-000003000000}"/>
    <hyperlink ref="M619" r:id="rId2" display="https://biblioteca.olade.org/opac-tmpl/Documentos/old0380.pdf" xr:uid="{00000000-0004-0000-0200-000004000000}"/>
    <hyperlink ref="K620" r:id="rId3" display="https://biblioteca.olade.org/opac-tmpl/Documentos/old0380.pdf" xr:uid="{00000000-0004-0000-0200-000005000000}"/>
  </hyperlinks>
  <pageMargins left="0.7" right="0.7" top="0.75" bottom="0.75" header="0" footer="0"/>
  <pageSetup orientation="landscape"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90B4-E423-4C64-87B5-936C27155084}">
  <dimension ref="A1:BE14"/>
  <sheetViews>
    <sheetView topLeftCell="AU1" workbookViewId="0">
      <selection activeCell="C6" sqref="C6:BE6"/>
    </sheetView>
  </sheetViews>
  <sheetFormatPr defaultRowHeight="16.5" x14ac:dyDescent="0.45"/>
  <cols>
    <col min="1" max="1" width="2.07421875" customWidth="1"/>
    <col min="2" max="2" width="2.3046875" customWidth="1"/>
    <col min="4" max="4" width="43" bestFit="1" customWidth="1"/>
  </cols>
  <sheetData>
    <row r="1" spans="1:57" ht="14.25" customHeight="1" x14ac:dyDescent="0.45">
      <c r="A1" s="618"/>
      <c r="B1" s="54"/>
      <c r="C1" s="349"/>
      <c r="D1" s="619" t="s">
        <v>19</v>
      </c>
      <c r="E1" s="350">
        <v>2018</v>
      </c>
      <c r="F1" s="350">
        <v>2019</v>
      </c>
      <c r="G1" s="350">
        <v>2020</v>
      </c>
      <c r="H1" s="349">
        <v>2021</v>
      </c>
      <c r="I1" s="349">
        <v>2022</v>
      </c>
      <c r="J1" s="349">
        <v>2023</v>
      </c>
      <c r="K1" s="349">
        <v>2024</v>
      </c>
      <c r="L1" s="349">
        <v>2025</v>
      </c>
      <c r="M1" s="349">
        <v>2026</v>
      </c>
      <c r="N1" s="349">
        <v>2027</v>
      </c>
      <c r="O1" s="349">
        <v>2028</v>
      </c>
      <c r="P1" s="349">
        <v>2029</v>
      </c>
      <c r="Q1" s="349">
        <v>2030</v>
      </c>
      <c r="R1" s="349">
        <v>2031</v>
      </c>
      <c r="S1" s="349">
        <v>2032</v>
      </c>
      <c r="T1" s="349">
        <v>2033</v>
      </c>
      <c r="U1" s="349">
        <v>2034</v>
      </c>
      <c r="V1" s="349">
        <v>2035</v>
      </c>
      <c r="W1" s="349">
        <v>2036</v>
      </c>
      <c r="X1" s="349">
        <v>2037</v>
      </c>
      <c r="Y1" s="349">
        <v>2038</v>
      </c>
      <c r="Z1" s="349">
        <v>2039</v>
      </c>
      <c r="AA1" s="349">
        <v>2040</v>
      </c>
      <c r="AB1" s="349">
        <v>2041</v>
      </c>
      <c r="AC1" s="349">
        <v>2042</v>
      </c>
      <c r="AD1" s="349">
        <v>2043</v>
      </c>
      <c r="AE1" s="349">
        <v>2044</v>
      </c>
      <c r="AF1" s="349">
        <v>2045</v>
      </c>
      <c r="AG1" s="349">
        <v>2046</v>
      </c>
      <c r="AH1" s="349">
        <v>2047</v>
      </c>
      <c r="AI1" s="349">
        <v>2048</v>
      </c>
      <c r="AJ1" s="349">
        <v>2049</v>
      </c>
      <c r="AK1" s="349">
        <v>2050</v>
      </c>
      <c r="AL1" s="349">
        <v>2051</v>
      </c>
      <c r="AM1" s="349">
        <v>2052</v>
      </c>
      <c r="AN1" s="349">
        <v>2053</v>
      </c>
      <c r="AO1" s="349">
        <v>2054</v>
      </c>
      <c r="AP1" s="349">
        <v>2055</v>
      </c>
      <c r="AQ1" s="349">
        <v>2056</v>
      </c>
      <c r="AR1" s="349">
        <v>2057</v>
      </c>
      <c r="AS1" s="349">
        <v>2058</v>
      </c>
      <c r="AT1" s="349">
        <v>2059</v>
      </c>
      <c r="AU1" s="349">
        <v>2060</v>
      </c>
      <c r="AV1" s="349">
        <v>2061</v>
      </c>
      <c r="AW1" s="349">
        <v>2062</v>
      </c>
      <c r="AX1" s="349">
        <v>2063</v>
      </c>
      <c r="AY1" s="349">
        <v>2064</v>
      </c>
      <c r="AZ1" s="349">
        <v>2065</v>
      </c>
      <c r="BA1" s="349">
        <v>2066</v>
      </c>
      <c r="BB1" s="349">
        <v>2067</v>
      </c>
      <c r="BC1" s="349">
        <v>2068</v>
      </c>
      <c r="BD1" s="349">
        <v>2069</v>
      </c>
      <c r="BE1" s="349">
        <v>2070</v>
      </c>
    </row>
    <row r="3" spans="1:57" x14ac:dyDescent="0.45">
      <c r="B3" s="548" t="s">
        <v>85</v>
      </c>
      <c r="C3" s="549" t="s">
        <v>85</v>
      </c>
      <c r="D3" s="550" t="s">
        <v>103</v>
      </c>
      <c r="E3" s="550" t="s">
        <v>85</v>
      </c>
      <c r="F3" s="550" t="s">
        <v>85</v>
      </c>
      <c r="G3" s="550" t="s">
        <v>85</v>
      </c>
      <c r="H3" s="550"/>
      <c r="I3" s="550"/>
      <c r="J3" s="550"/>
      <c r="K3" s="550"/>
      <c r="L3" s="550"/>
      <c r="M3" s="550"/>
      <c r="N3" s="550"/>
      <c r="O3" s="550"/>
      <c r="P3" s="550"/>
      <c r="Q3" s="550"/>
      <c r="R3" s="550"/>
      <c r="S3" s="550"/>
      <c r="T3" s="550"/>
      <c r="U3" s="550"/>
      <c r="V3" s="550"/>
      <c r="W3" s="550"/>
      <c r="X3" s="550"/>
      <c r="Y3" s="550"/>
      <c r="Z3" s="550"/>
      <c r="AA3" s="550"/>
      <c r="AB3" s="550"/>
      <c r="AC3" s="550"/>
      <c r="AD3" s="550"/>
      <c r="AE3" s="550"/>
      <c r="AF3" s="550"/>
      <c r="AG3" s="550"/>
      <c r="AH3" s="550"/>
      <c r="AI3" s="550"/>
      <c r="AJ3" s="550"/>
      <c r="AK3" s="550"/>
      <c r="AL3" s="550"/>
      <c r="AM3" s="550"/>
      <c r="AN3" s="550"/>
      <c r="AO3" s="550"/>
      <c r="AP3" s="550"/>
      <c r="AQ3" s="550"/>
      <c r="AR3" s="550"/>
      <c r="AS3" s="550"/>
      <c r="AT3" s="550"/>
      <c r="AU3" s="550"/>
      <c r="AV3" s="550"/>
      <c r="AW3" s="550"/>
      <c r="AX3" s="550"/>
      <c r="AY3" s="550"/>
      <c r="AZ3" s="550"/>
      <c r="BA3" s="550"/>
      <c r="BB3" s="550"/>
      <c r="BC3" s="550"/>
      <c r="BD3" s="550"/>
      <c r="BE3" s="550"/>
    </row>
    <row r="4" spans="1:57" x14ac:dyDescent="0.45">
      <c r="B4" s="552" t="s">
        <v>85</v>
      </c>
      <c r="C4" s="545" t="s">
        <v>416</v>
      </c>
      <c r="D4" s="559" t="s">
        <v>417</v>
      </c>
      <c r="E4" s="561">
        <v>0.7</v>
      </c>
      <c r="F4" s="561">
        <v>0.7</v>
      </c>
      <c r="G4" s="561">
        <v>0.7</v>
      </c>
      <c r="H4" s="561">
        <v>0.7</v>
      </c>
      <c r="I4" s="561">
        <v>0.7</v>
      </c>
      <c r="J4" s="561">
        <v>0.7</v>
      </c>
      <c r="K4" s="561">
        <v>0.7</v>
      </c>
      <c r="L4" s="561">
        <v>0.7</v>
      </c>
      <c r="M4" s="561">
        <v>0.7</v>
      </c>
      <c r="N4" s="561">
        <v>0.7</v>
      </c>
      <c r="O4" s="561">
        <v>0.7</v>
      </c>
      <c r="P4" s="561">
        <v>0.7</v>
      </c>
      <c r="Q4" s="561">
        <v>0.7</v>
      </c>
      <c r="R4" s="561">
        <v>0.7</v>
      </c>
      <c r="S4" s="561">
        <v>0.7</v>
      </c>
      <c r="T4" s="561">
        <v>0.7</v>
      </c>
      <c r="U4" s="561">
        <v>0.7</v>
      </c>
      <c r="V4" s="561">
        <v>0.7</v>
      </c>
      <c r="W4" s="561">
        <v>0.7</v>
      </c>
      <c r="X4" s="561">
        <v>0.7</v>
      </c>
      <c r="Y4" s="561">
        <v>0.7</v>
      </c>
      <c r="Z4" s="561">
        <v>0.7</v>
      </c>
      <c r="AA4" s="561">
        <v>0.7</v>
      </c>
      <c r="AB4" s="561">
        <v>0.7</v>
      </c>
      <c r="AC4" s="561">
        <v>0.7</v>
      </c>
      <c r="AD4" s="561">
        <v>0.7</v>
      </c>
      <c r="AE4" s="561">
        <v>0.7</v>
      </c>
      <c r="AF4" s="561">
        <v>0.7</v>
      </c>
      <c r="AG4" s="561">
        <v>0.7</v>
      </c>
      <c r="AH4" s="561">
        <v>0.7</v>
      </c>
      <c r="AI4" s="561">
        <v>0.7</v>
      </c>
      <c r="AJ4" s="561">
        <v>0.7</v>
      </c>
      <c r="AK4" s="561">
        <v>0.7</v>
      </c>
      <c r="AL4" s="561">
        <v>0.7</v>
      </c>
      <c r="AM4" s="561">
        <v>0.7</v>
      </c>
      <c r="AN4" s="561">
        <v>0.7</v>
      </c>
      <c r="AO4" s="561">
        <v>0.7</v>
      </c>
      <c r="AP4" s="561">
        <v>0.7</v>
      </c>
      <c r="AQ4" s="561">
        <v>0.7</v>
      </c>
      <c r="AR4" s="561">
        <v>0.7</v>
      </c>
      <c r="AS4" s="561">
        <v>0.7</v>
      </c>
      <c r="AT4" s="561">
        <v>0.7</v>
      </c>
      <c r="AU4" s="561">
        <v>0.7</v>
      </c>
      <c r="AV4" s="561">
        <v>0.7</v>
      </c>
      <c r="AW4" s="561">
        <v>0.7</v>
      </c>
      <c r="AX4" s="561">
        <v>0.7</v>
      </c>
      <c r="AY4" s="561">
        <v>0.7</v>
      </c>
      <c r="AZ4" s="561">
        <v>0.7</v>
      </c>
      <c r="BA4" s="561">
        <v>0.7</v>
      </c>
      <c r="BB4" s="561">
        <v>0.7</v>
      </c>
      <c r="BC4" s="561">
        <v>0.7</v>
      </c>
      <c r="BD4" s="561">
        <v>0.7</v>
      </c>
      <c r="BE4" s="561">
        <v>0.7</v>
      </c>
    </row>
    <row r="5" spans="1:57" x14ac:dyDescent="0.45">
      <c r="B5" s="552"/>
      <c r="C5" s="545"/>
      <c r="D5" s="559" t="s">
        <v>418</v>
      </c>
      <c r="E5" s="559">
        <v>30</v>
      </c>
      <c r="F5" s="559">
        <v>30</v>
      </c>
      <c r="G5" s="559">
        <v>30</v>
      </c>
      <c r="H5" s="559">
        <v>30</v>
      </c>
      <c r="I5" s="559">
        <v>30</v>
      </c>
      <c r="J5" s="559">
        <v>30</v>
      </c>
      <c r="K5" s="559">
        <v>30</v>
      </c>
      <c r="L5" s="559">
        <v>30</v>
      </c>
      <c r="M5" s="559">
        <v>30</v>
      </c>
      <c r="N5" s="559">
        <v>30</v>
      </c>
      <c r="O5" s="559">
        <v>30</v>
      </c>
      <c r="P5" s="559">
        <v>30</v>
      </c>
      <c r="Q5" s="559">
        <v>30</v>
      </c>
      <c r="R5" s="559">
        <v>30</v>
      </c>
      <c r="S5" s="559">
        <v>30</v>
      </c>
      <c r="T5" s="559">
        <v>30</v>
      </c>
      <c r="U5" s="559">
        <v>30</v>
      </c>
      <c r="V5" s="559">
        <v>30</v>
      </c>
      <c r="W5" s="559">
        <v>30</v>
      </c>
      <c r="X5" s="559">
        <v>30</v>
      </c>
      <c r="Y5" s="559">
        <v>30</v>
      </c>
      <c r="Z5" s="559">
        <v>30</v>
      </c>
      <c r="AA5" s="559">
        <v>30</v>
      </c>
      <c r="AB5" s="559">
        <v>30</v>
      </c>
      <c r="AC5" s="559">
        <v>30</v>
      </c>
      <c r="AD5" s="559">
        <v>30</v>
      </c>
      <c r="AE5" s="559">
        <v>30</v>
      </c>
      <c r="AF5" s="559">
        <v>30</v>
      </c>
      <c r="AG5" s="559">
        <v>30</v>
      </c>
      <c r="AH5" s="559">
        <v>30</v>
      </c>
      <c r="AI5" s="559">
        <v>30</v>
      </c>
      <c r="AJ5" s="559">
        <v>30</v>
      </c>
      <c r="AK5" s="559">
        <v>30</v>
      </c>
      <c r="AL5" s="559">
        <v>30</v>
      </c>
      <c r="AM5" s="559">
        <v>30</v>
      </c>
      <c r="AN5" s="559">
        <v>30</v>
      </c>
      <c r="AO5" s="559">
        <v>30</v>
      </c>
      <c r="AP5" s="559">
        <v>30</v>
      </c>
      <c r="AQ5" s="559">
        <v>30</v>
      </c>
      <c r="AR5" s="559">
        <v>30</v>
      </c>
      <c r="AS5" s="559">
        <v>30</v>
      </c>
      <c r="AT5" s="559">
        <v>30</v>
      </c>
      <c r="AU5" s="559">
        <v>30</v>
      </c>
      <c r="AV5" s="559">
        <v>30</v>
      </c>
      <c r="AW5" s="559">
        <v>30</v>
      </c>
      <c r="AX5" s="559">
        <v>30</v>
      </c>
      <c r="AY5" s="559">
        <v>30</v>
      </c>
      <c r="AZ5" s="559">
        <v>30</v>
      </c>
      <c r="BA5" s="559">
        <v>30</v>
      </c>
      <c r="BB5" s="559">
        <v>30</v>
      </c>
      <c r="BC5" s="559">
        <v>30</v>
      </c>
      <c r="BD5" s="559">
        <v>30</v>
      </c>
      <c r="BE5" s="559">
        <v>30</v>
      </c>
    </row>
    <row r="6" spans="1:57" x14ac:dyDescent="0.45">
      <c r="C6" s="545"/>
      <c r="D6" s="545"/>
      <c r="E6" s="545"/>
      <c r="F6" s="545"/>
      <c r="G6" s="545"/>
      <c r="H6" s="545"/>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row>
    <row r="7" spans="1:57" x14ac:dyDescent="0.45">
      <c r="C7" s="618"/>
      <c r="N7" s="609"/>
      <c r="O7" s="609"/>
      <c r="P7" s="609"/>
      <c r="Q7" s="609"/>
      <c r="R7" s="609"/>
      <c r="S7" s="609"/>
      <c r="T7" s="609"/>
      <c r="U7" s="609"/>
      <c r="V7" s="609"/>
      <c r="W7" s="609"/>
      <c r="X7" s="609"/>
      <c r="Y7" s="609"/>
      <c r="Z7" s="609"/>
      <c r="AA7" s="609"/>
      <c r="AB7" s="609"/>
      <c r="AC7" s="609"/>
      <c r="AD7" s="609"/>
      <c r="AE7" s="609"/>
      <c r="AF7" s="609"/>
      <c r="AG7" s="609"/>
      <c r="AH7" s="609"/>
      <c r="AI7" s="609"/>
      <c r="AJ7" s="609"/>
      <c r="AK7" s="609"/>
      <c r="AL7" s="609"/>
      <c r="AM7" s="609"/>
      <c r="AN7" s="609"/>
      <c r="AO7" s="609"/>
      <c r="AP7" s="609"/>
      <c r="AQ7" s="609"/>
      <c r="AR7" s="609"/>
      <c r="AS7" s="609"/>
      <c r="AT7" s="609"/>
      <c r="AU7" s="609"/>
      <c r="AV7" s="609"/>
      <c r="AW7" s="609"/>
      <c r="AX7" s="609"/>
      <c r="AY7" s="609"/>
      <c r="AZ7" s="609"/>
      <c r="BA7" s="609"/>
    </row>
    <row r="8" spans="1:57" ht="47.5" x14ac:dyDescent="0.45">
      <c r="C8" s="614" t="s">
        <v>419</v>
      </c>
      <c r="D8" s="615" t="s">
        <v>420</v>
      </c>
      <c r="E8" s="615" t="s">
        <v>421</v>
      </c>
      <c r="F8" s="615" t="s">
        <v>422</v>
      </c>
      <c r="G8" s="615" t="s">
        <v>423</v>
      </c>
      <c r="H8" s="615" t="s">
        <v>424</v>
      </c>
      <c r="I8" s="615" t="s">
        <v>425</v>
      </c>
      <c r="J8" s="615" t="s">
        <v>426</v>
      </c>
      <c r="K8" t="s">
        <v>427</v>
      </c>
    </row>
    <row r="9" spans="1:57" x14ac:dyDescent="0.45">
      <c r="C9" s="609" t="s">
        <v>428</v>
      </c>
      <c r="D9" s="610" t="s">
        <v>429</v>
      </c>
      <c r="E9" s="610" t="s">
        <v>430</v>
      </c>
      <c r="F9" s="609" t="s">
        <v>431</v>
      </c>
      <c r="G9" s="610" t="s">
        <v>432</v>
      </c>
      <c r="H9" s="610" t="s">
        <v>433</v>
      </c>
      <c r="I9" s="610" t="s">
        <v>434</v>
      </c>
      <c r="J9" s="610" t="s">
        <v>435</v>
      </c>
      <c r="K9" s="609">
        <v>0.1</v>
      </c>
    </row>
    <row r="10" spans="1:57" x14ac:dyDescent="0.45">
      <c r="C10" s="609" t="s">
        <v>428</v>
      </c>
      <c r="D10" s="610" t="s">
        <v>429</v>
      </c>
      <c r="E10" s="610" t="s">
        <v>430</v>
      </c>
      <c r="F10" s="609" t="s">
        <v>431</v>
      </c>
      <c r="G10" s="610" t="s">
        <v>432</v>
      </c>
      <c r="H10" s="610" t="s">
        <v>436</v>
      </c>
      <c r="I10" s="610" t="s">
        <v>434</v>
      </c>
      <c r="J10" s="610" t="s">
        <v>435</v>
      </c>
      <c r="K10" s="609">
        <v>2</v>
      </c>
    </row>
    <row r="11" spans="1:57" x14ac:dyDescent="0.45">
      <c r="C11" s="611" t="s">
        <v>437</v>
      </c>
      <c r="D11" s="612" t="s">
        <v>438</v>
      </c>
      <c r="E11" s="611" t="s">
        <v>439</v>
      </c>
      <c r="F11" s="611" t="s">
        <v>440</v>
      </c>
      <c r="G11" s="612" t="s">
        <v>432</v>
      </c>
      <c r="H11" s="612" t="s">
        <v>441</v>
      </c>
      <c r="I11" s="612" t="s">
        <v>442</v>
      </c>
      <c r="J11" s="612" t="s">
        <v>435</v>
      </c>
      <c r="K11" s="611">
        <v>120</v>
      </c>
      <c r="L11" s="609"/>
      <c r="M11" s="609"/>
      <c r="N11" s="609"/>
      <c r="O11" s="609"/>
      <c r="S11" s="609"/>
      <c r="T11" s="609"/>
      <c r="U11" s="609"/>
      <c r="V11" s="613" t="s">
        <v>85</v>
      </c>
      <c r="W11" s="609"/>
      <c r="X11" s="609"/>
      <c r="Y11" s="609"/>
      <c r="Z11" s="609"/>
      <c r="AA11" s="609"/>
      <c r="AB11" s="609"/>
      <c r="AC11" s="609"/>
      <c r="AD11" s="609"/>
      <c r="AE11" s="609"/>
      <c r="AF11" s="609"/>
      <c r="AG11" s="609"/>
      <c r="AH11" s="609"/>
      <c r="AI11" s="609"/>
      <c r="AJ11" s="609"/>
      <c r="AK11" s="609"/>
      <c r="AL11" s="609"/>
      <c r="AM11" s="609"/>
      <c r="AN11" s="609"/>
      <c r="AO11" s="609"/>
      <c r="AP11" s="613" t="s">
        <v>85</v>
      </c>
      <c r="AQ11" s="609"/>
      <c r="AR11" s="609"/>
      <c r="AS11" s="609"/>
      <c r="AT11" s="609"/>
      <c r="AU11" s="609"/>
      <c r="AV11" s="609"/>
      <c r="AW11" s="609"/>
      <c r="AX11" s="609"/>
      <c r="AY11" s="609"/>
      <c r="AZ11" s="609"/>
    </row>
    <row r="13" spans="1:57" x14ac:dyDescent="0.45">
      <c r="I13" t="s">
        <v>443</v>
      </c>
      <c r="J13" s="612" t="s">
        <v>435</v>
      </c>
      <c r="K13">
        <f>K9/120*1000</f>
        <v>0.83333333333333337</v>
      </c>
      <c r="L13" s="616" t="s">
        <v>443</v>
      </c>
      <c r="M13" s="616">
        <f>AVERAGE(K13:K14)</f>
        <v>8.75</v>
      </c>
    </row>
    <row r="14" spans="1:57" x14ac:dyDescent="0.45">
      <c r="I14" t="s">
        <v>443</v>
      </c>
      <c r="J14" s="612" t="s">
        <v>435</v>
      </c>
      <c r="K14">
        <f>K10/120*1000</f>
        <v>16.666666666666668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690"/>
  <sheetViews>
    <sheetView zoomScale="55" zoomScaleNormal="55" workbookViewId="0">
      <pane ySplit="1" topLeftCell="A56" activePane="bottomLeft" state="frozen"/>
      <selection pane="bottomLeft" sqref="A1:XFD1"/>
    </sheetView>
  </sheetViews>
  <sheetFormatPr defaultColWidth="12.69140625" defaultRowHeight="15" customHeight="1" x14ac:dyDescent="0.45"/>
  <cols>
    <col min="1" max="1" width="7.3828125" customWidth="1"/>
    <col min="2" max="2" width="2.3828125" customWidth="1"/>
    <col min="3" max="3" width="22.69140625" customWidth="1"/>
    <col min="4" max="4" width="65.23046875" customWidth="1"/>
    <col min="5" max="5" width="16.765625" customWidth="1"/>
    <col min="6" max="7" width="15.3828125" customWidth="1"/>
    <col min="8" max="8" width="20.23046875" customWidth="1"/>
    <col min="9" max="9" width="17.07421875" bestFit="1" customWidth="1"/>
    <col min="10" max="10" width="14.61328125" bestFit="1" customWidth="1"/>
    <col min="11" max="14" width="14" bestFit="1" customWidth="1"/>
    <col min="15" max="15" width="14.61328125" bestFit="1" customWidth="1"/>
    <col min="16" max="18" width="14" bestFit="1" customWidth="1"/>
    <col min="19" max="37" width="12.3828125" customWidth="1"/>
    <col min="38" max="38" width="14" customWidth="1"/>
  </cols>
  <sheetData>
    <row r="1" spans="1:57" ht="14.25" customHeight="1" x14ac:dyDescent="0.45">
      <c r="A1" s="618"/>
      <c r="B1" s="54"/>
      <c r="C1" s="349"/>
      <c r="D1" s="619" t="s">
        <v>19</v>
      </c>
      <c r="E1" s="350">
        <v>2018</v>
      </c>
      <c r="F1" s="350">
        <v>2019</v>
      </c>
      <c r="G1" s="350">
        <v>2020</v>
      </c>
      <c r="H1" s="349">
        <v>2021</v>
      </c>
      <c r="I1" s="349">
        <v>2022</v>
      </c>
      <c r="J1" s="349">
        <v>2023</v>
      </c>
      <c r="K1" s="349">
        <v>2024</v>
      </c>
      <c r="L1" s="349">
        <v>2025</v>
      </c>
      <c r="M1" s="349">
        <v>2026</v>
      </c>
      <c r="N1" s="349">
        <v>2027</v>
      </c>
      <c r="O1" s="349">
        <v>2028</v>
      </c>
      <c r="P1" s="349">
        <v>2029</v>
      </c>
      <c r="Q1" s="349">
        <v>2030</v>
      </c>
      <c r="R1" s="349">
        <v>2031</v>
      </c>
      <c r="S1" s="349">
        <v>2032</v>
      </c>
      <c r="T1" s="349">
        <v>2033</v>
      </c>
      <c r="U1" s="349">
        <v>2034</v>
      </c>
      <c r="V1" s="349">
        <v>2035</v>
      </c>
      <c r="W1" s="349">
        <v>2036</v>
      </c>
      <c r="X1" s="349">
        <v>2037</v>
      </c>
      <c r="Y1" s="349">
        <v>2038</v>
      </c>
      <c r="Z1" s="349">
        <v>2039</v>
      </c>
      <c r="AA1" s="349">
        <v>2040</v>
      </c>
      <c r="AB1" s="349">
        <v>2041</v>
      </c>
      <c r="AC1" s="349">
        <v>2042</v>
      </c>
      <c r="AD1" s="349">
        <v>2043</v>
      </c>
      <c r="AE1" s="349">
        <v>2044</v>
      </c>
      <c r="AF1" s="349">
        <v>2045</v>
      </c>
      <c r="AG1" s="349">
        <v>2046</v>
      </c>
      <c r="AH1" s="349">
        <v>2047</v>
      </c>
      <c r="AI1" s="349">
        <v>2048</v>
      </c>
      <c r="AJ1" s="349">
        <v>2049</v>
      </c>
      <c r="AK1" s="349">
        <v>2050</v>
      </c>
      <c r="AL1" s="349">
        <v>2051</v>
      </c>
      <c r="AM1" s="349">
        <v>2052</v>
      </c>
      <c r="AN1" s="349">
        <v>2053</v>
      </c>
      <c r="AO1" s="349">
        <v>2054</v>
      </c>
      <c r="AP1" s="349">
        <v>2055</v>
      </c>
      <c r="AQ1" s="349">
        <v>2056</v>
      </c>
      <c r="AR1" s="349">
        <v>2057</v>
      </c>
      <c r="AS1" s="349">
        <v>2058</v>
      </c>
      <c r="AT1" s="349">
        <v>2059</v>
      </c>
      <c r="AU1" s="349">
        <v>2060</v>
      </c>
      <c r="AV1" s="349">
        <v>2061</v>
      </c>
      <c r="AW1" s="349">
        <v>2062</v>
      </c>
      <c r="AX1" s="349">
        <v>2063</v>
      </c>
      <c r="AY1" s="349">
        <v>2064</v>
      </c>
      <c r="AZ1" s="349">
        <v>2065</v>
      </c>
      <c r="BA1" s="349">
        <v>2066</v>
      </c>
      <c r="BB1" s="349">
        <v>2067</v>
      </c>
      <c r="BC1" s="349">
        <v>2068</v>
      </c>
      <c r="BD1" s="349">
        <v>2069</v>
      </c>
      <c r="BE1" s="349">
        <v>2070</v>
      </c>
    </row>
    <row r="2" spans="1:57" ht="16.5" customHeight="1" x14ac:dyDescent="0.45">
      <c r="A2" s="1"/>
      <c r="B2" s="1"/>
      <c r="C2" s="1"/>
      <c r="D2" s="55"/>
      <c r="E2" s="55"/>
      <c r="F2" s="55"/>
      <c r="G2" s="55"/>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3"/>
      <c r="AN2" s="3"/>
      <c r="AO2" s="3"/>
      <c r="AP2" s="3"/>
      <c r="AQ2" s="3"/>
      <c r="AR2" s="3"/>
      <c r="AS2" s="3"/>
      <c r="AT2" s="3"/>
      <c r="AU2" s="3"/>
      <c r="AV2" s="3"/>
      <c r="AW2" s="3"/>
      <c r="AX2" s="3"/>
      <c r="AY2" s="3"/>
      <c r="AZ2" s="3"/>
      <c r="BA2" s="3"/>
      <c r="BB2" s="3"/>
      <c r="BC2" s="3"/>
      <c r="BD2" s="3"/>
      <c r="BE2" s="3"/>
    </row>
    <row r="3" spans="1:57" ht="14.25" customHeight="1" x14ac:dyDescent="0.45">
      <c r="A3" s="618"/>
      <c r="B3" s="26"/>
      <c r="C3" s="211"/>
      <c r="D3" s="212"/>
      <c r="E3" s="212"/>
      <c r="F3" s="212"/>
      <c r="G3" s="212"/>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351"/>
      <c r="AM3" s="3"/>
      <c r="AN3" s="3"/>
      <c r="AO3" s="3"/>
      <c r="AP3" s="3"/>
      <c r="AQ3" s="3"/>
      <c r="AR3" s="3"/>
      <c r="AS3" s="3"/>
      <c r="AT3" s="3"/>
      <c r="AU3" s="3"/>
      <c r="AV3" s="3"/>
      <c r="AW3" s="3"/>
      <c r="AX3" s="3"/>
      <c r="AY3" s="3"/>
      <c r="AZ3" s="3"/>
      <c r="BA3" s="3"/>
      <c r="BB3" s="3"/>
      <c r="BC3" s="3"/>
      <c r="BD3" s="3"/>
      <c r="BE3" s="3"/>
    </row>
    <row r="4" spans="1:57" ht="14.25" customHeight="1" x14ac:dyDescent="0.45">
      <c r="A4" s="618"/>
      <c r="B4" s="215"/>
      <c r="C4" s="220"/>
      <c r="D4" s="217" t="s">
        <v>164</v>
      </c>
      <c r="E4" s="221"/>
      <c r="F4" s="221"/>
      <c r="G4" s="221"/>
      <c r="H4" s="285"/>
      <c r="I4" s="285"/>
      <c r="J4" s="285"/>
      <c r="K4" s="285"/>
      <c r="L4" s="285"/>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352"/>
      <c r="AM4" s="3"/>
      <c r="AN4" s="3"/>
      <c r="AO4" s="3"/>
      <c r="AP4" s="3"/>
      <c r="AQ4" s="3"/>
      <c r="AR4" s="3"/>
      <c r="AS4" s="3"/>
      <c r="AT4" s="3"/>
      <c r="AU4" s="3"/>
      <c r="AV4" s="3"/>
      <c r="AW4" s="3"/>
      <c r="AX4" s="3"/>
      <c r="AY4" s="3"/>
      <c r="AZ4" s="3"/>
      <c r="BA4" s="3"/>
      <c r="BB4" s="3"/>
      <c r="BC4" s="3"/>
      <c r="BD4" s="3"/>
      <c r="BE4" s="3"/>
    </row>
    <row r="5" spans="1:57" ht="14.25" customHeight="1" x14ac:dyDescent="0.45">
      <c r="A5" s="618"/>
      <c r="B5" s="215"/>
      <c r="C5" s="220"/>
      <c r="D5" s="353"/>
      <c r="E5" s="353"/>
      <c r="F5" s="221"/>
      <c r="G5" s="221"/>
      <c r="H5" s="221"/>
      <c r="I5" s="285"/>
      <c r="J5" s="285"/>
      <c r="K5" s="285"/>
      <c r="L5" s="285"/>
      <c r="M5" s="285"/>
      <c r="N5" s="285"/>
      <c r="O5" s="285"/>
      <c r="P5" s="285"/>
      <c r="Q5" s="285"/>
      <c r="R5" s="285"/>
      <c r="S5" s="285"/>
      <c r="T5" s="285"/>
      <c r="U5" s="285"/>
      <c r="V5" s="285"/>
      <c r="W5" s="285"/>
      <c r="X5" s="285"/>
      <c r="Y5" s="285"/>
      <c r="Z5" s="285"/>
      <c r="AA5" s="285"/>
      <c r="AB5" s="285"/>
      <c r="AC5" s="285"/>
      <c r="AD5" s="285"/>
      <c r="AE5" s="285"/>
      <c r="AF5" s="285"/>
      <c r="AG5" s="285"/>
      <c r="AH5" s="285"/>
      <c r="AI5" s="285"/>
      <c r="AJ5" s="285"/>
      <c r="AK5" s="285"/>
      <c r="AL5" s="352"/>
      <c r="AM5" s="3"/>
      <c r="AN5" s="3"/>
      <c r="AO5" s="3"/>
      <c r="AP5" s="3"/>
      <c r="AQ5" s="3"/>
      <c r="AR5" s="3"/>
      <c r="AS5" s="3"/>
      <c r="AT5" s="3"/>
      <c r="AU5" s="3"/>
      <c r="AV5" s="3"/>
      <c r="AW5" s="3"/>
      <c r="AX5" s="3"/>
      <c r="AY5" s="3"/>
      <c r="AZ5" s="3"/>
      <c r="BA5" s="3"/>
      <c r="BB5" s="3"/>
      <c r="BC5" s="3"/>
      <c r="BD5" s="3"/>
      <c r="BE5" s="3"/>
    </row>
    <row r="6" spans="1:57" ht="14.25" customHeight="1" x14ac:dyDescent="0.45">
      <c r="A6" s="618"/>
      <c r="B6" s="215"/>
      <c r="C6" s="220"/>
      <c r="D6" s="243" t="s">
        <v>444</v>
      </c>
      <c r="E6" s="285"/>
      <c r="F6" s="285"/>
      <c r="G6" s="285"/>
      <c r="H6" s="285"/>
      <c r="I6" s="285"/>
      <c r="J6" s="285"/>
      <c r="K6" s="285"/>
      <c r="L6" s="285"/>
      <c r="M6" s="285"/>
      <c r="N6" s="285"/>
      <c r="O6" s="285"/>
      <c r="P6" s="285"/>
      <c r="Q6" s="285"/>
      <c r="R6" s="285"/>
      <c r="S6" s="285"/>
      <c r="T6" s="285"/>
      <c r="U6" s="285"/>
      <c r="V6" s="285"/>
      <c r="W6" s="285"/>
      <c r="X6" s="285"/>
      <c r="Y6" s="285"/>
      <c r="Z6" s="285"/>
      <c r="AA6" s="285"/>
      <c r="AB6" s="285"/>
      <c r="AC6" s="285"/>
      <c r="AD6" s="285"/>
      <c r="AE6" s="285"/>
      <c r="AF6" s="285"/>
      <c r="AG6" s="285"/>
      <c r="AH6" s="285"/>
      <c r="AI6" s="285"/>
      <c r="AJ6" s="285"/>
      <c r="AK6" s="285"/>
      <c r="AL6" s="352"/>
      <c r="AM6" s="3"/>
      <c r="AN6" s="3"/>
      <c r="AO6" s="3"/>
      <c r="AP6" s="3"/>
      <c r="AQ6" s="3"/>
      <c r="AR6" s="3"/>
      <c r="AS6" s="3"/>
      <c r="AT6" s="3"/>
      <c r="AU6" s="3"/>
      <c r="AV6" s="3"/>
      <c r="AW6" s="3"/>
      <c r="AX6" s="3"/>
      <c r="AY6" s="3"/>
      <c r="AZ6" s="3"/>
      <c r="BA6" s="3"/>
      <c r="BB6" s="3"/>
      <c r="BC6" s="3"/>
      <c r="BD6" s="3"/>
      <c r="BE6" s="3"/>
    </row>
    <row r="7" spans="1:57" ht="14.25" customHeight="1" x14ac:dyDescent="0.45">
      <c r="A7" s="618"/>
      <c r="B7" s="215"/>
      <c r="C7" s="220"/>
      <c r="D7" s="243" t="s">
        <v>220</v>
      </c>
      <c r="E7" s="302">
        <f>Electricidad!E6</f>
        <v>0.14430000000000001</v>
      </c>
      <c r="F7" s="302">
        <f>Electricidad!F6</f>
        <v>0.14430000000000001</v>
      </c>
      <c r="G7" s="302">
        <f>Electricidad!G6</f>
        <v>0.14430000000000001</v>
      </c>
      <c r="H7" s="302">
        <f>Electricidad!H6</f>
        <v>0.14430000000000001</v>
      </c>
      <c r="I7" s="285"/>
      <c r="J7" s="285"/>
      <c r="K7" s="285"/>
      <c r="L7" s="285"/>
      <c r="M7" s="285"/>
      <c r="N7" s="285"/>
      <c r="O7" s="285"/>
      <c r="P7" s="285"/>
      <c r="Q7" s="285"/>
      <c r="R7" s="285"/>
      <c r="S7" s="285"/>
      <c r="T7" s="285"/>
      <c r="U7" s="285"/>
      <c r="V7" s="285"/>
      <c r="W7" s="285"/>
      <c r="X7" s="285"/>
      <c r="Y7" s="285"/>
      <c r="Z7" s="285"/>
      <c r="AA7" s="285"/>
      <c r="AB7" s="285"/>
      <c r="AC7" s="285"/>
      <c r="AD7" s="285"/>
      <c r="AE7" s="285"/>
      <c r="AF7" s="285"/>
      <c r="AG7" s="285"/>
      <c r="AH7" s="285"/>
      <c r="AI7" s="285"/>
      <c r="AJ7" s="285"/>
      <c r="AK7" s="285"/>
      <c r="AL7" s="352"/>
      <c r="AM7" s="3"/>
      <c r="AN7" s="3"/>
      <c r="AO7" s="3"/>
      <c r="AP7" s="3"/>
      <c r="AQ7" s="3"/>
      <c r="AR7" s="3"/>
      <c r="AS7" s="3"/>
      <c r="AT7" s="3"/>
      <c r="AU7" s="3"/>
      <c r="AV7" s="3"/>
      <c r="AW7" s="3"/>
      <c r="AX7" s="3"/>
      <c r="AY7" s="3"/>
      <c r="AZ7" s="3"/>
      <c r="BA7" s="3"/>
      <c r="BB7" s="3"/>
      <c r="BC7" s="3"/>
      <c r="BD7" s="3"/>
      <c r="BE7" s="3"/>
    </row>
    <row r="8" spans="1:57" ht="14.25" customHeight="1" x14ac:dyDescent="0.45">
      <c r="A8" s="618"/>
      <c r="B8" s="215"/>
      <c r="C8" s="220"/>
      <c r="D8" s="243" t="s">
        <v>255</v>
      </c>
      <c r="E8" s="218">
        <f>Electricidad!E9</f>
        <v>1.6500000000000001E-2</v>
      </c>
      <c r="F8" s="218">
        <f>Electricidad!F9</f>
        <v>1.6500000000000001E-2</v>
      </c>
      <c r="G8" s="218">
        <f>Electricidad!G9</f>
        <v>1.6500000000000001E-2</v>
      </c>
      <c r="H8" s="218">
        <f>Electricidad!H9</f>
        <v>1.6500000000000001E-2</v>
      </c>
      <c r="I8" s="285"/>
      <c r="J8" s="285"/>
      <c r="K8" s="285"/>
      <c r="L8" s="285"/>
      <c r="M8" s="285"/>
      <c r="N8" s="285"/>
      <c r="O8" s="285"/>
      <c r="P8" s="285"/>
      <c r="Q8" s="285"/>
      <c r="R8" s="285"/>
      <c r="S8" s="285"/>
      <c r="T8" s="285"/>
      <c r="U8" s="285"/>
      <c r="V8" s="285"/>
      <c r="W8" s="285"/>
      <c r="X8" s="285"/>
      <c r="Y8" s="285"/>
      <c r="Z8" s="285"/>
      <c r="AA8" s="285"/>
      <c r="AB8" s="285"/>
      <c r="AC8" s="285"/>
      <c r="AD8" s="285"/>
      <c r="AE8" s="285"/>
      <c r="AF8" s="285"/>
      <c r="AG8" s="285"/>
      <c r="AH8" s="285"/>
      <c r="AI8" s="285"/>
      <c r="AJ8" s="285"/>
      <c r="AK8" s="285"/>
      <c r="AL8" s="352"/>
      <c r="AM8" s="3"/>
      <c r="AN8" s="3"/>
      <c r="AO8" s="3"/>
      <c r="AP8" s="3"/>
      <c r="AQ8" s="3"/>
      <c r="AR8" s="3"/>
      <c r="AS8" s="3"/>
      <c r="AT8" s="3"/>
      <c r="AU8" s="3"/>
      <c r="AV8" s="3"/>
      <c r="AW8" s="3"/>
      <c r="AX8" s="3"/>
      <c r="AY8" s="3"/>
      <c r="AZ8" s="3"/>
      <c r="BA8" s="3"/>
      <c r="BB8" s="3"/>
      <c r="BC8" s="3"/>
      <c r="BD8" s="3"/>
      <c r="BE8" s="3"/>
    </row>
    <row r="9" spans="1:57" ht="14.25" customHeight="1" x14ac:dyDescent="0.45">
      <c r="A9" s="618"/>
      <c r="B9" s="215"/>
      <c r="C9" s="220"/>
      <c r="D9" s="243" t="s">
        <v>199</v>
      </c>
      <c r="E9" s="239">
        <f>SUM(E10:E15)</f>
        <v>1.7332000000000001</v>
      </c>
      <c r="F9" s="239">
        <f>SUM(F10:F15)</f>
        <v>1.7332000000000001</v>
      </c>
      <c r="G9" s="239">
        <f>SUM(G10:G15)</f>
        <v>1.7332000000000001</v>
      </c>
      <c r="H9" s="239">
        <f>SUM(H10:H15)</f>
        <v>1.7332000000000001</v>
      </c>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352"/>
      <c r="AM9" s="3"/>
      <c r="AN9" s="3"/>
      <c r="AO9" s="3"/>
      <c r="AP9" s="3"/>
      <c r="AQ9" s="3"/>
      <c r="AR9" s="3"/>
      <c r="AS9" s="3"/>
      <c r="AT9" s="3"/>
      <c r="AU9" s="3"/>
      <c r="AV9" s="3"/>
      <c r="AW9" s="3"/>
      <c r="AX9" s="3"/>
      <c r="AY9" s="3"/>
      <c r="AZ9" s="3"/>
      <c r="BA9" s="3"/>
      <c r="BB9" s="3"/>
      <c r="BC9" s="3"/>
      <c r="BD9" s="3"/>
      <c r="BE9" s="3"/>
    </row>
    <row r="10" spans="1:57" ht="14.25" customHeight="1" x14ac:dyDescent="0.45">
      <c r="A10" s="618"/>
      <c r="B10" s="215"/>
      <c r="C10" s="220"/>
      <c r="D10" s="221" t="s">
        <v>201</v>
      </c>
      <c r="E10" s="239">
        <f>Electricidad!E33</f>
        <v>4.2200000000000001E-2</v>
      </c>
      <c r="F10" s="239">
        <f>Electricidad!F33</f>
        <v>4.2200000000000001E-2</v>
      </c>
      <c r="G10" s="239">
        <f>Electricidad!G33</f>
        <v>4.2200000000000001E-2</v>
      </c>
      <c r="H10" s="239">
        <f>Electricidad!H33</f>
        <v>4.2200000000000001E-2</v>
      </c>
      <c r="I10" s="285"/>
      <c r="J10" s="285"/>
      <c r="K10" s="285"/>
      <c r="L10" s="285"/>
      <c r="M10" s="285"/>
      <c r="N10" s="285"/>
      <c r="O10" s="285"/>
      <c r="P10" s="285"/>
      <c r="Q10" s="285"/>
      <c r="R10" s="285"/>
      <c r="S10" s="285"/>
      <c r="T10" s="285"/>
      <c r="U10" s="285"/>
      <c r="V10" s="285"/>
      <c r="W10" s="285"/>
      <c r="X10" s="285"/>
      <c r="Y10" s="285"/>
      <c r="Z10" s="285"/>
      <c r="AA10" s="285"/>
      <c r="AB10" s="285"/>
      <c r="AC10" s="285"/>
      <c r="AD10" s="285"/>
      <c r="AE10" s="285"/>
      <c r="AF10" s="285"/>
      <c r="AG10" s="285"/>
      <c r="AH10" s="285"/>
      <c r="AI10" s="285"/>
      <c r="AJ10" s="285"/>
      <c r="AK10" s="285"/>
      <c r="AL10" s="352"/>
      <c r="AM10" s="3"/>
      <c r="AN10" s="3"/>
      <c r="AO10" s="3"/>
      <c r="AP10" s="3"/>
      <c r="AQ10" s="3"/>
      <c r="AR10" s="3"/>
      <c r="AS10" s="3"/>
      <c r="AT10" s="3"/>
      <c r="AU10" s="3"/>
      <c r="AV10" s="3"/>
      <c r="AW10" s="3"/>
      <c r="AX10" s="3"/>
      <c r="AY10" s="3"/>
      <c r="AZ10" s="3"/>
      <c r="BA10" s="3"/>
      <c r="BB10" s="3"/>
      <c r="BC10" s="3"/>
      <c r="BD10" s="3"/>
      <c r="BE10" s="3"/>
    </row>
    <row r="11" spans="1:57" ht="14.25" customHeight="1" x14ac:dyDescent="0.45">
      <c r="A11" s="618"/>
      <c r="B11" s="215"/>
      <c r="C11" s="220"/>
      <c r="D11" s="221" t="s">
        <v>203</v>
      </c>
      <c r="E11" s="239">
        <f>Electricidad!E34</f>
        <v>0.21299999999999999</v>
      </c>
      <c r="F11" s="239">
        <f>Electricidad!F34</f>
        <v>0.21299999999999999</v>
      </c>
      <c r="G11" s="239">
        <f>Electricidad!G34</f>
        <v>0.21299999999999999</v>
      </c>
      <c r="H11" s="239">
        <f>Electricidad!H34</f>
        <v>0.21299999999999999</v>
      </c>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352"/>
      <c r="AM11" s="3"/>
      <c r="AN11" s="3"/>
      <c r="AO11" s="3"/>
      <c r="AP11" s="3"/>
      <c r="AQ11" s="3"/>
      <c r="AR11" s="3"/>
      <c r="AS11" s="3"/>
      <c r="AT11" s="3"/>
      <c r="AU11" s="3"/>
      <c r="AV11" s="3"/>
      <c r="AW11" s="3"/>
      <c r="AX11" s="3"/>
      <c r="AY11" s="3"/>
      <c r="AZ11" s="3"/>
      <c r="BA11" s="3"/>
      <c r="BB11" s="3"/>
      <c r="BC11" s="3"/>
      <c r="BD11" s="3"/>
      <c r="BE11" s="3"/>
    </row>
    <row r="12" spans="1:57" ht="14.25" customHeight="1" x14ac:dyDescent="0.45">
      <c r="A12" s="618"/>
      <c r="B12" s="215"/>
      <c r="C12" s="220"/>
      <c r="D12" s="221" t="s">
        <v>205</v>
      </c>
      <c r="E12" s="239">
        <f>Electricidad!E35</f>
        <v>0</v>
      </c>
      <c r="F12" s="239">
        <f>Electricidad!F35</f>
        <v>0</v>
      </c>
      <c r="G12" s="239">
        <f>Electricidad!G35</f>
        <v>0</v>
      </c>
      <c r="H12" s="239">
        <f>Electricidad!H35</f>
        <v>0</v>
      </c>
      <c r="I12" s="285"/>
      <c r="J12" s="285"/>
      <c r="K12" s="285"/>
      <c r="L12" s="285"/>
      <c r="M12" s="285"/>
      <c r="N12" s="285"/>
      <c r="O12" s="285"/>
      <c r="P12" s="285"/>
      <c r="Q12" s="285"/>
      <c r="R12" s="285"/>
      <c r="S12" s="285"/>
      <c r="T12" s="285"/>
      <c r="U12" s="285"/>
      <c r="V12" s="285"/>
      <c r="W12" s="285"/>
      <c r="X12" s="285"/>
      <c r="Y12" s="285"/>
      <c r="Z12" s="285"/>
      <c r="AA12" s="285"/>
      <c r="AB12" s="285"/>
      <c r="AC12" s="285"/>
      <c r="AD12" s="285"/>
      <c r="AE12" s="285"/>
      <c r="AF12" s="285"/>
      <c r="AG12" s="285"/>
      <c r="AH12" s="285"/>
      <c r="AI12" s="285"/>
      <c r="AJ12" s="285"/>
      <c r="AK12" s="285"/>
      <c r="AL12" s="352"/>
      <c r="AM12" s="3"/>
      <c r="AN12" s="3"/>
      <c r="AO12" s="3"/>
      <c r="AP12" s="3"/>
      <c r="AQ12" s="3"/>
      <c r="AR12" s="3"/>
      <c r="AS12" s="3"/>
      <c r="AT12" s="3"/>
      <c r="AU12" s="3"/>
      <c r="AV12" s="3"/>
      <c r="AW12" s="3"/>
      <c r="AX12" s="3"/>
      <c r="AY12" s="3"/>
      <c r="AZ12" s="3"/>
      <c r="BA12" s="3"/>
      <c r="BB12" s="3"/>
      <c r="BC12" s="3"/>
      <c r="BD12" s="3"/>
      <c r="BE12" s="3"/>
    </row>
    <row r="13" spans="1:57" ht="14.25" customHeight="1" x14ac:dyDescent="0.45">
      <c r="A13" s="618"/>
      <c r="B13" s="215"/>
      <c r="C13" s="220"/>
      <c r="D13" s="221" t="s">
        <v>207</v>
      </c>
      <c r="E13" s="239">
        <f>Electricidad!E36</f>
        <v>0</v>
      </c>
      <c r="F13" s="239">
        <f>Electricidad!F36</f>
        <v>0</v>
      </c>
      <c r="G13" s="239">
        <f>Electricidad!G36</f>
        <v>0</v>
      </c>
      <c r="H13" s="239">
        <f>Electricidad!H36</f>
        <v>0</v>
      </c>
      <c r="I13" s="285"/>
      <c r="J13" s="285"/>
      <c r="K13" s="285"/>
      <c r="L13" s="285"/>
      <c r="M13" s="285"/>
      <c r="N13" s="285"/>
      <c r="O13" s="285"/>
      <c r="P13" s="285"/>
      <c r="Q13" s="285"/>
      <c r="R13" s="285"/>
      <c r="S13" s="285"/>
      <c r="T13" s="285"/>
      <c r="U13" s="285"/>
      <c r="V13" s="285"/>
      <c r="W13" s="285"/>
      <c r="X13" s="285"/>
      <c r="Y13" s="285"/>
      <c r="Z13" s="285"/>
      <c r="AA13" s="285"/>
      <c r="AB13" s="285"/>
      <c r="AC13" s="285"/>
      <c r="AD13" s="285"/>
      <c r="AE13" s="285"/>
      <c r="AF13" s="285"/>
      <c r="AG13" s="285"/>
      <c r="AH13" s="285"/>
      <c r="AI13" s="285"/>
      <c r="AJ13" s="285"/>
      <c r="AK13" s="285"/>
      <c r="AL13" s="352"/>
      <c r="AM13" s="3"/>
      <c r="AN13" s="3"/>
      <c r="AO13" s="3"/>
      <c r="AP13" s="3"/>
      <c r="AQ13" s="3"/>
      <c r="AR13" s="3"/>
      <c r="AS13" s="3"/>
      <c r="AT13" s="3"/>
      <c r="AU13" s="3"/>
      <c r="AV13" s="3"/>
      <c r="AW13" s="3"/>
      <c r="AX13" s="3"/>
      <c r="AY13" s="3"/>
      <c r="AZ13" s="3"/>
      <c r="BA13" s="3"/>
      <c r="BB13" s="3"/>
      <c r="BC13" s="3"/>
      <c r="BD13" s="3"/>
      <c r="BE13" s="3"/>
    </row>
    <row r="14" spans="1:57" ht="14.25" customHeight="1" x14ac:dyDescent="0.45">
      <c r="A14" s="618"/>
      <c r="B14" s="215"/>
      <c r="C14" s="220"/>
      <c r="D14" s="221" t="s">
        <v>209</v>
      </c>
      <c r="E14" s="239">
        <f>Electricidad!E37</f>
        <v>0.40300000000000002</v>
      </c>
      <c r="F14" s="239">
        <f>Electricidad!F37</f>
        <v>0.40300000000000002</v>
      </c>
      <c r="G14" s="239">
        <f>Electricidad!G37</f>
        <v>0.40300000000000002</v>
      </c>
      <c r="H14" s="239">
        <f>Electricidad!H37</f>
        <v>0.40300000000000002</v>
      </c>
      <c r="I14" s="285"/>
      <c r="J14" s="285"/>
      <c r="K14" s="285"/>
      <c r="L14" s="285"/>
      <c r="M14" s="285"/>
      <c r="N14" s="285"/>
      <c r="O14" s="285"/>
      <c r="P14" s="285"/>
      <c r="Q14" s="285"/>
      <c r="R14" s="285"/>
      <c r="S14" s="285"/>
      <c r="T14" s="285"/>
      <c r="U14" s="285"/>
      <c r="V14" s="285"/>
      <c r="W14" s="285"/>
      <c r="X14" s="285"/>
      <c r="Y14" s="285"/>
      <c r="Z14" s="285"/>
      <c r="AA14" s="285"/>
      <c r="AB14" s="285"/>
      <c r="AC14" s="285"/>
      <c r="AD14" s="285"/>
      <c r="AE14" s="285"/>
      <c r="AF14" s="285"/>
      <c r="AG14" s="285"/>
      <c r="AH14" s="285"/>
      <c r="AI14" s="285"/>
      <c r="AJ14" s="285"/>
      <c r="AK14" s="285"/>
      <c r="AL14" s="352"/>
      <c r="AM14" s="3"/>
      <c r="AN14" s="3"/>
      <c r="AO14" s="3"/>
      <c r="AP14" s="3"/>
      <c r="AQ14" s="3"/>
      <c r="AR14" s="3"/>
      <c r="AS14" s="3"/>
      <c r="AT14" s="3"/>
      <c r="AU14" s="3"/>
      <c r="AV14" s="3"/>
      <c r="AW14" s="3"/>
      <c r="AX14" s="3"/>
      <c r="AY14" s="3"/>
      <c r="AZ14" s="3"/>
      <c r="BA14" s="3"/>
      <c r="BB14" s="3"/>
      <c r="BC14" s="3"/>
      <c r="BD14" s="3"/>
      <c r="BE14" s="3"/>
    </row>
    <row r="15" spans="1:57" ht="14.25" customHeight="1" x14ac:dyDescent="0.45">
      <c r="A15" s="618"/>
      <c r="B15" s="215"/>
      <c r="C15" s="220"/>
      <c r="D15" s="221" t="s">
        <v>211</v>
      </c>
      <c r="E15" s="239">
        <f>Electricidad!E38</f>
        <v>1.075</v>
      </c>
      <c r="F15" s="239">
        <f>Electricidad!F38</f>
        <v>1.075</v>
      </c>
      <c r="G15" s="239">
        <f>Electricidad!G38</f>
        <v>1.075</v>
      </c>
      <c r="H15" s="239">
        <f>Electricidad!H38</f>
        <v>1.075</v>
      </c>
      <c r="I15" s="285"/>
      <c r="J15" s="285"/>
      <c r="K15" s="285"/>
      <c r="L15" s="285"/>
      <c r="M15" s="285"/>
      <c r="N15" s="285"/>
      <c r="O15" s="285"/>
      <c r="P15" s="285"/>
      <c r="Q15" s="285"/>
      <c r="R15" s="285"/>
      <c r="S15" s="285"/>
      <c r="T15" s="285"/>
      <c r="U15" s="285"/>
      <c r="V15" s="285"/>
      <c r="W15" s="285"/>
      <c r="X15" s="285"/>
      <c r="Y15" s="285"/>
      <c r="Z15" s="285"/>
      <c r="AA15" s="285"/>
      <c r="AB15" s="285"/>
      <c r="AC15" s="285"/>
      <c r="AD15" s="285"/>
      <c r="AE15" s="285"/>
      <c r="AF15" s="285"/>
      <c r="AG15" s="285"/>
      <c r="AH15" s="285"/>
      <c r="AI15" s="285"/>
      <c r="AJ15" s="285"/>
      <c r="AK15" s="285"/>
      <c r="AL15" s="352"/>
      <c r="AM15" s="3"/>
      <c r="AN15" s="3"/>
      <c r="AO15" s="3"/>
      <c r="AP15" s="3"/>
      <c r="AQ15" s="3"/>
      <c r="AR15" s="3"/>
      <c r="AS15" s="3"/>
      <c r="AT15" s="3"/>
      <c r="AU15" s="3"/>
      <c r="AV15" s="3"/>
      <c r="AW15" s="3"/>
      <c r="AX15" s="3"/>
      <c r="AY15" s="3"/>
      <c r="AZ15" s="3"/>
      <c r="BA15" s="3"/>
      <c r="BB15" s="3"/>
      <c r="BC15" s="3"/>
      <c r="BD15" s="3"/>
      <c r="BE15" s="3"/>
    </row>
    <row r="16" spans="1:57" ht="14.25" customHeight="1" x14ac:dyDescent="0.45">
      <c r="A16" s="618"/>
      <c r="B16" s="215"/>
      <c r="C16" s="220"/>
      <c r="D16" s="243" t="s">
        <v>212</v>
      </c>
      <c r="E16" s="239">
        <f>SUM(E17:E22)</f>
        <v>3.3271439899999997</v>
      </c>
      <c r="F16" s="239">
        <f>SUM(F17:F22)</f>
        <v>3.3371439899999999</v>
      </c>
      <c r="G16" s="239">
        <f>SUM(G17:G22)</f>
        <v>3.3594859899999996</v>
      </c>
      <c r="H16" s="239">
        <f>SUM(H17:H22)</f>
        <v>3.3675859900000003</v>
      </c>
      <c r="I16" s="285"/>
      <c r="J16" s="285"/>
      <c r="K16" s="285"/>
      <c r="L16" s="285"/>
      <c r="M16" s="285"/>
      <c r="N16" s="285"/>
      <c r="O16" s="285"/>
      <c r="P16" s="285"/>
      <c r="Q16" s="285"/>
      <c r="R16" s="285"/>
      <c r="S16" s="285"/>
      <c r="T16" s="285"/>
      <c r="U16" s="285"/>
      <c r="V16" s="285"/>
      <c r="W16" s="285"/>
      <c r="X16" s="285"/>
      <c r="Y16" s="285"/>
      <c r="Z16" s="285"/>
      <c r="AA16" s="285"/>
      <c r="AB16" s="285"/>
      <c r="AC16" s="285"/>
      <c r="AD16" s="285"/>
      <c r="AE16" s="285"/>
      <c r="AF16" s="285"/>
      <c r="AG16" s="285"/>
      <c r="AH16" s="285"/>
      <c r="AI16" s="285"/>
      <c r="AJ16" s="285"/>
      <c r="AK16" s="285"/>
      <c r="AL16" s="352"/>
      <c r="AM16" s="3"/>
      <c r="AN16" s="3"/>
      <c r="AO16" s="3"/>
      <c r="AP16" s="3"/>
      <c r="AQ16" s="3"/>
      <c r="AR16" s="3"/>
      <c r="AS16" s="3"/>
      <c r="AT16" s="3"/>
      <c r="AU16" s="3"/>
      <c r="AV16" s="3"/>
      <c r="AW16" s="3"/>
      <c r="AX16" s="3"/>
      <c r="AY16" s="3"/>
      <c r="AZ16" s="3"/>
      <c r="BA16" s="3"/>
      <c r="BB16" s="3"/>
      <c r="BC16" s="3"/>
      <c r="BD16" s="3"/>
      <c r="BE16" s="3"/>
    </row>
    <row r="17" spans="1:38" ht="14.25" customHeight="1" x14ac:dyDescent="0.45">
      <c r="A17" s="618"/>
      <c r="B17" s="215"/>
      <c r="C17" s="220"/>
      <c r="D17" s="221" t="s">
        <v>201</v>
      </c>
      <c r="E17" s="239">
        <f>Electricidad!E40</f>
        <v>5.4393999999999998E-2</v>
      </c>
      <c r="F17" s="239">
        <f>Electricidad!F40</f>
        <v>5.4393999999999991E-2</v>
      </c>
      <c r="G17" s="239">
        <f>Electricidad!G40</f>
        <v>6.4539999999999986E-2</v>
      </c>
      <c r="H17" s="239">
        <f>Electricidad!H40</f>
        <v>6.4539999999999986E-2</v>
      </c>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352"/>
    </row>
    <row r="18" spans="1:38" ht="14.25" customHeight="1" x14ac:dyDescent="0.45">
      <c r="A18" s="618"/>
      <c r="B18" s="215"/>
      <c r="C18" s="220"/>
      <c r="D18" s="221" t="s">
        <v>203</v>
      </c>
      <c r="E18" s="239">
        <f>Electricidad!E41</f>
        <v>0.33335999999999999</v>
      </c>
      <c r="F18" s="239">
        <f>Electricidad!F41</f>
        <v>0.33335999999999999</v>
      </c>
      <c r="G18" s="239">
        <f>Electricidad!G41</f>
        <v>0.33335999999999999</v>
      </c>
      <c r="H18" s="239">
        <f>Electricidad!H41</f>
        <v>0.33335999999999999</v>
      </c>
      <c r="I18" s="285"/>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5"/>
      <c r="AJ18" s="285"/>
      <c r="AK18" s="285"/>
      <c r="AL18" s="352"/>
    </row>
    <row r="19" spans="1:38" ht="14.25" customHeight="1" x14ac:dyDescent="0.45">
      <c r="A19" s="618"/>
      <c r="B19" s="215"/>
      <c r="C19" s="220"/>
      <c r="D19" s="221" t="s">
        <v>205</v>
      </c>
      <c r="E19" s="239">
        <f>Electricidad!E42</f>
        <v>0</v>
      </c>
      <c r="F19" s="239">
        <f>Electricidad!F42</f>
        <v>0</v>
      </c>
      <c r="G19" s="239">
        <f>Electricidad!G42</f>
        <v>0</v>
      </c>
      <c r="H19" s="239">
        <f>Electricidad!H42</f>
        <v>0</v>
      </c>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352"/>
    </row>
    <row r="20" spans="1:38" ht="14.25" customHeight="1" x14ac:dyDescent="0.45">
      <c r="A20" s="618"/>
      <c r="B20" s="215"/>
      <c r="C20" s="220"/>
      <c r="D20" s="221" t="s">
        <v>207</v>
      </c>
      <c r="E20" s="239">
        <f>Electricidad!E43</f>
        <v>0.54239000000000004</v>
      </c>
      <c r="F20" s="239">
        <f>Electricidad!F43</f>
        <v>0.55239000000000005</v>
      </c>
      <c r="G20" s="239">
        <f>Electricidad!G43</f>
        <v>0.500282</v>
      </c>
      <c r="H20" s="239">
        <f>Electricidad!H43</f>
        <v>0.508382</v>
      </c>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352"/>
    </row>
    <row r="21" spans="1:38" ht="14.25" customHeight="1" x14ac:dyDescent="0.45">
      <c r="A21" s="618"/>
      <c r="B21" s="215"/>
      <c r="C21" s="220"/>
      <c r="D21" s="221" t="s">
        <v>209</v>
      </c>
      <c r="E21" s="239">
        <f>Electricidad!E44</f>
        <v>0.41</v>
      </c>
      <c r="F21" s="239">
        <f>Electricidad!F44</f>
        <v>0.41</v>
      </c>
      <c r="G21" s="239">
        <f>Electricidad!G44</f>
        <v>0.47430399999999995</v>
      </c>
      <c r="H21" s="239">
        <f>Electricidad!H44</f>
        <v>0.47430399999999995</v>
      </c>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352"/>
    </row>
    <row r="22" spans="1:38" ht="14.25" customHeight="1" x14ac:dyDescent="0.45">
      <c r="A22" s="618"/>
      <c r="B22" s="215"/>
      <c r="C22" s="220"/>
      <c r="D22" s="221" t="s">
        <v>211</v>
      </c>
      <c r="E22" s="239">
        <f>Electricidad!E45</f>
        <v>1.9869999899999999</v>
      </c>
      <c r="F22" s="239">
        <f>Electricidad!F45</f>
        <v>1.9869999899999999</v>
      </c>
      <c r="G22" s="239">
        <f>Electricidad!G45</f>
        <v>1.9869999899999999</v>
      </c>
      <c r="H22" s="239">
        <f>Electricidad!H45</f>
        <v>1.9869999899999999</v>
      </c>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352"/>
    </row>
    <row r="23" spans="1:38" ht="14.25" customHeight="1" x14ac:dyDescent="0.45">
      <c r="A23" s="618"/>
      <c r="B23" s="215"/>
      <c r="C23" s="220"/>
      <c r="D23" s="243" t="s">
        <v>257</v>
      </c>
      <c r="E23" s="218">
        <v>2.4460819999999991E-2</v>
      </c>
      <c r="F23" s="218">
        <v>2.4460819999999991E-2</v>
      </c>
      <c r="G23" s="218">
        <v>2.4460819999999991E-2</v>
      </c>
      <c r="H23" s="218">
        <v>2.4460819999999991E-2</v>
      </c>
      <c r="I23" s="285"/>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285"/>
      <c r="AL23" s="352"/>
    </row>
    <row r="24" spans="1:38" ht="14.25" customHeight="1" x14ac:dyDescent="0.45">
      <c r="A24" s="618"/>
      <c r="B24" s="215"/>
      <c r="C24" s="220"/>
      <c r="D24" s="243" t="s">
        <v>344</v>
      </c>
      <c r="E24" s="285"/>
      <c r="F24" s="285"/>
      <c r="G24" s="285"/>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352"/>
    </row>
    <row r="25" spans="1:38" ht="14.25" customHeight="1" x14ac:dyDescent="0.45">
      <c r="A25" s="618"/>
      <c r="B25" s="215"/>
      <c r="C25" s="220"/>
      <c r="D25" s="228" t="s">
        <v>180</v>
      </c>
      <c r="E25" s="228"/>
      <c r="F25" s="228"/>
      <c r="G25" s="228"/>
      <c r="H25" s="228"/>
      <c r="I25" s="285"/>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352"/>
    </row>
    <row r="26" spans="1:38" ht="14.25" customHeight="1" x14ac:dyDescent="0.45">
      <c r="A26" s="618"/>
      <c r="B26" s="215"/>
      <c r="C26" s="220"/>
      <c r="D26" s="221" t="s">
        <v>190</v>
      </c>
      <c r="E26" s="218">
        <f>Electricidad!E20</f>
        <v>0.30998559999999997</v>
      </c>
      <c r="F26" s="218">
        <f>Electricidad!F20</f>
        <v>0.2623856</v>
      </c>
      <c r="G26" s="218">
        <f>Electricidad!G20</f>
        <v>0.2623856</v>
      </c>
      <c r="H26" s="218">
        <f>Electricidad!H20</f>
        <v>0.2623856</v>
      </c>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352"/>
    </row>
    <row r="27" spans="1:38" ht="14.25" customHeight="1" x14ac:dyDescent="0.45">
      <c r="A27" s="618"/>
      <c r="B27" s="215"/>
      <c r="C27" s="220"/>
      <c r="D27" s="221" t="s">
        <v>195</v>
      </c>
      <c r="E27" s="218">
        <f>Electricidad!E21</f>
        <v>0.43722</v>
      </c>
      <c r="F27" s="218">
        <f>Electricidad!F21</f>
        <v>0.43722</v>
      </c>
      <c r="G27" s="218">
        <f>Electricidad!G21</f>
        <v>0.43722</v>
      </c>
      <c r="H27" s="218">
        <f>Electricidad!H21</f>
        <v>0.44643999999999995</v>
      </c>
      <c r="I27" s="285"/>
      <c r="J27" s="285"/>
      <c r="K27" s="285"/>
      <c r="L27" s="285"/>
      <c r="M27" s="285"/>
      <c r="N27" s="285"/>
      <c r="O27" s="285"/>
      <c r="P27" s="285"/>
      <c r="Q27" s="285"/>
      <c r="R27" s="285"/>
      <c r="S27" s="285"/>
      <c r="T27" s="285"/>
      <c r="U27" s="285"/>
      <c r="V27" s="285"/>
      <c r="W27" s="285"/>
      <c r="X27" s="285"/>
      <c r="Y27" s="285"/>
      <c r="Z27" s="285"/>
      <c r="AA27" s="285"/>
      <c r="AB27" s="285"/>
      <c r="AC27" s="285"/>
      <c r="AD27" s="285"/>
      <c r="AE27" s="285"/>
      <c r="AF27" s="285"/>
      <c r="AG27" s="285"/>
      <c r="AH27" s="285"/>
      <c r="AI27" s="285"/>
      <c r="AJ27" s="285"/>
      <c r="AK27" s="285"/>
      <c r="AL27" s="352"/>
    </row>
    <row r="28" spans="1:38" ht="14.25" customHeight="1" x14ac:dyDescent="0.45">
      <c r="A28" s="618"/>
      <c r="B28" s="215"/>
      <c r="C28" s="220"/>
      <c r="D28" s="354" t="s">
        <v>344</v>
      </c>
      <c r="E28" s="218">
        <f>Electricidad!E22</f>
        <v>2.2499999999999998E-3</v>
      </c>
      <c r="F28" s="218">
        <f>Electricidad!F22</f>
        <v>2.2499999999999998E-3</v>
      </c>
      <c r="G28" s="218">
        <f>Electricidad!G22</f>
        <v>2.2499999999999998E-3</v>
      </c>
      <c r="H28" s="218">
        <f>Electricidad!H22</f>
        <v>2.2499999999999998E-3</v>
      </c>
      <c r="I28" s="285"/>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352"/>
    </row>
    <row r="29" spans="1:38" ht="14.25" customHeight="1" x14ac:dyDescent="0.45">
      <c r="A29" s="618"/>
      <c r="B29" s="215"/>
      <c r="C29" s="220"/>
      <c r="D29" s="221" t="s">
        <v>345</v>
      </c>
      <c r="E29" s="218">
        <f>Electricidad!E23</f>
        <v>8.6599999999999996E-2</v>
      </c>
      <c r="F29" s="218">
        <f>Electricidad!F23</f>
        <v>8.6599999999999996E-2</v>
      </c>
      <c r="G29" s="218">
        <f>Electricidad!G23</f>
        <v>8.6599999999999996E-2</v>
      </c>
      <c r="H29" s="218">
        <f>Electricidad!H23</f>
        <v>8.6599999999999996E-2</v>
      </c>
      <c r="I29" s="285"/>
      <c r="J29" s="285"/>
      <c r="K29" s="285"/>
      <c r="L29" s="285"/>
      <c r="M29" s="285"/>
      <c r="N29" s="285"/>
      <c r="O29" s="285"/>
      <c r="P29" s="285"/>
      <c r="Q29" s="285"/>
      <c r="R29" s="285"/>
      <c r="S29" s="285"/>
      <c r="T29" s="285"/>
      <c r="U29" s="285"/>
      <c r="V29" s="285"/>
      <c r="W29" s="285"/>
      <c r="X29" s="285"/>
      <c r="Y29" s="285"/>
      <c r="Z29" s="285"/>
      <c r="AA29" s="285"/>
      <c r="AB29" s="285"/>
      <c r="AC29" s="285"/>
      <c r="AD29" s="285"/>
      <c r="AE29" s="285"/>
      <c r="AF29" s="285"/>
      <c r="AG29" s="285"/>
      <c r="AH29" s="285"/>
      <c r="AI29" s="285"/>
      <c r="AJ29" s="285"/>
      <c r="AK29" s="285"/>
      <c r="AL29" s="352"/>
    </row>
    <row r="30" spans="1:38" ht="14.25" customHeight="1" x14ac:dyDescent="0.45">
      <c r="A30" s="618"/>
      <c r="B30" s="215"/>
      <c r="C30" s="220"/>
      <c r="D30" s="228" t="s">
        <v>188</v>
      </c>
      <c r="E30" s="218"/>
      <c r="F30" s="218"/>
      <c r="G30" s="218"/>
      <c r="H30" s="218"/>
      <c r="I30" s="285"/>
      <c r="J30" s="285"/>
      <c r="K30" s="285"/>
      <c r="L30" s="285"/>
      <c r="M30" s="285"/>
      <c r="N30" s="285"/>
      <c r="O30" s="285"/>
      <c r="P30" s="285"/>
      <c r="Q30" s="285"/>
      <c r="R30" s="285"/>
      <c r="S30" s="285"/>
      <c r="T30" s="285"/>
      <c r="U30" s="285"/>
      <c r="V30" s="285"/>
      <c r="W30" s="285"/>
      <c r="X30" s="285"/>
      <c r="Y30" s="285"/>
      <c r="Z30" s="285"/>
      <c r="AA30" s="285"/>
      <c r="AB30" s="285"/>
      <c r="AC30" s="285"/>
      <c r="AD30" s="285"/>
      <c r="AE30" s="285"/>
      <c r="AF30" s="285"/>
      <c r="AG30" s="285"/>
      <c r="AH30" s="285"/>
      <c r="AI30" s="285"/>
      <c r="AJ30" s="285"/>
      <c r="AK30" s="285"/>
      <c r="AL30" s="352"/>
    </row>
    <row r="31" spans="1:38" ht="14.25" customHeight="1" x14ac:dyDescent="0.45">
      <c r="A31" s="618"/>
      <c r="B31" s="215"/>
      <c r="C31" s="220"/>
      <c r="D31" s="221" t="s">
        <v>190</v>
      </c>
      <c r="E31" s="218">
        <f>Electricidad!E25</f>
        <v>0.54523499999999991</v>
      </c>
      <c r="F31" s="218">
        <f>Electricidad!F25</f>
        <v>0.54523499999999991</v>
      </c>
      <c r="G31" s="218">
        <f>Electricidad!G25</f>
        <v>0.54523499999999991</v>
      </c>
      <c r="H31" s="218">
        <f>Electricidad!H25</f>
        <v>0.54443499999999989</v>
      </c>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352"/>
    </row>
    <row r="32" spans="1:38" ht="14.25" customHeight="1" x14ac:dyDescent="0.45">
      <c r="A32" s="618"/>
      <c r="B32" s="215"/>
      <c r="C32" s="220"/>
      <c r="D32" s="221" t="s">
        <v>411</v>
      </c>
      <c r="E32" s="218">
        <f>Electricidad!E26</f>
        <v>0.27535999999999999</v>
      </c>
      <c r="F32" s="218">
        <f>Electricidad!F26</f>
        <v>0.27535999999999999</v>
      </c>
      <c r="G32" s="218">
        <f>Electricidad!G26</f>
        <v>0.27535999999999999</v>
      </c>
      <c r="H32" s="218">
        <f>Electricidad!H26</f>
        <v>0.27535999999999999</v>
      </c>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352"/>
    </row>
    <row r="33" spans="1:38" ht="14.25" customHeight="1" x14ac:dyDescent="0.45">
      <c r="A33" s="618"/>
      <c r="B33" s="215"/>
      <c r="C33" s="220"/>
      <c r="D33" s="228" t="s">
        <v>193</v>
      </c>
      <c r="E33" s="218"/>
      <c r="F33" s="218"/>
      <c r="G33" s="218"/>
      <c r="H33" s="218"/>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352"/>
    </row>
    <row r="34" spans="1:38" ht="14.25" customHeight="1" x14ac:dyDescent="0.45">
      <c r="A34" s="618"/>
      <c r="B34" s="215"/>
      <c r="C34" s="220"/>
      <c r="D34" s="221" t="s">
        <v>195</v>
      </c>
      <c r="E34" s="218">
        <f>Electricidad!E28</f>
        <v>0.44600000000000001</v>
      </c>
      <c r="F34" s="218">
        <f>Electricidad!F28</f>
        <v>0.44600000000000001</v>
      </c>
      <c r="G34" s="218">
        <f>Electricidad!G28</f>
        <v>0.44600000000000001</v>
      </c>
      <c r="H34" s="218">
        <f>Electricidad!H28</f>
        <v>0.44600000000000001</v>
      </c>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352"/>
    </row>
    <row r="35" spans="1:38" ht="14.25" customHeight="1" x14ac:dyDescent="0.45">
      <c r="A35" s="618"/>
      <c r="B35" s="215"/>
      <c r="C35" s="220"/>
      <c r="D35" s="243" t="s">
        <v>253</v>
      </c>
      <c r="E35" s="218">
        <f>Electricidad!E29</f>
        <v>7.26E-3</v>
      </c>
      <c r="F35" s="218">
        <f>Electricidad!F29</f>
        <v>7.26E-3</v>
      </c>
      <c r="G35" s="218">
        <f>Electricidad!G29</f>
        <v>7.26E-3</v>
      </c>
      <c r="H35" s="218">
        <f>Electricidad!H29</f>
        <v>8.320000000000001E-3</v>
      </c>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352"/>
    </row>
    <row r="36" spans="1:38" ht="14.25" customHeight="1" x14ac:dyDescent="0.45">
      <c r="A36" s="618"/>
      <c r="B36" s="215"/>
      <c r="C36" s="220"/>
      <c r="D36" s="243" t="s">
        <v>59</v>
      </c>
      <c r="E36" s="218">
        <f>SUM(E7:E35)-E9-E16</f>
        <v>7.3555154099999989</v>
      </c>
      <c r="F36" s="218">
        <f>SUM(F7:F35)-F9-F16</f>
        <v>7.3179154099999995</v>
      </c>
      <c r="G36" s="218">
        <f>SUM(G7:G35)-G9-G16</f>
        <v>7.3402574099999995</v>
      </c>
      <c r="H36" s="218">
        <f>SUM(H7:H35)-H9-H16</f>
        <v>7.3578374099999966</v>
      </c>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352"/>
    </row>
    <row r="37" spans="1:38" ht="14.25" customHeight="1" x14ac:dyDescent="0.45">
      <c r="A37" s="618"/>
      <c r="B37" s="215"/>
      <c r="C37" s="220"/>
      <c r="D37" s="353"/>
      <c r="E37" s="56"/>
      <c r="F37" s="355"/>
      <c r="G37" s="355"/>
      <c r="H37" s="356"/>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352"/>
    </row>
    <row r="38" spans="1:38" ht="14.25" customHeight="1" x14ac:dyDescent="0.45">
      <c r="A38" s="618"/>
      <c r="B38" s="215"/>
      <c r="C38" s="220"/>
      <c r="D38" s="243" t="s">
        <v>445</v>
      </c>
      <c r="E38" s="221"/>
      <c r="F38" s="221"/>
      <c r="G38" s="221"/>
      <c r="H38" s="221"/>
      <c r="I38" s="285"/>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352"/>
    </row>
    <row r="39" spans="1:38" ht="14.25" customHeight="1" x14ac:dyDescent="0.45">
      <c r="A39" s="618"/>
      <c r="B39" s="215"/>
      <c r="C39" s="220"/>
      <c r="D39" s="357" t="s">
        <v>446</v>
      </c>
      <c r="E39" s="221"/>
      <c r="F39" s="221"/>
      <c r="G39" s="221"/>
      <c r="H39" s="232"/>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352"/>
    </row>
    <row r="40" spans="1:38" ht="14.25" customHeight="1" x14ac:dyDescent="0.45">
      <c r="A40" s="618"/>
      <c r="B40" s="215"/>
      <c r="C40" s="220"/>
      <c r="D40" s="357" t="s">
        <v>171</v>
      </c>
      <c r="E40" s="358">
        <f>Electricidad!E51</f>
        <v>4.6500000000000005E-3</v>
      </c>
      <c r="F40" s="358">
        <f>Electricidad!F51</f>
        <v>4.6500000000000005E-3</v>
      </c>
      <c r="G40" s="358">
        <f>Electricidad!G51</f>
        <v>4.6500000000000005E-3</v>
      </c>
      <c r="H40" s="358">
        <f>Electricidad!H51</f>
        <v>4.6500000000000005E-3</v>
      </c>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352"/>
    </row>
    <row r="41" spans="1:38" ht="14.25" customHeight="1" x14ac:dyDescent="0.45">
      <c r="A41" s="618"/>
      <c r="B41" s="215"/>
      <c r="C41" s="220"/>
      <c r="D41" s="357" t="s">
        <v>182</v>
      </c>
      <c r="E41" s="358">
        <f>Electricidad!E68</f>
        <v>2.7581999999999999E-2</v>
      </c>
      <c r="F41" s="358">
        <f>Electricidad!F68</f>
        <v>2.4146999999999998E-2</v>
      </c>
      <c r="G41" s="358">
        <f>Electricidad!G68</f>
        <v>2.4285000000000001E-2</v>
      </c>
      <c r="H41" s="358">
        <f>Electricidad!H68</f>
        <v>2.4285000000000001E-2</v>
      </c>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352"/>
    </row>
    <row r="42" spans="1:38" ht="14.25" customHeight="1" x14ac:dyDescent="0.45">
      <c r="A42" s="618"/>
      <c r="B42" s="215"/>
      <c r="C42" s="220"/>
      <c r="D42" s="357" t="s">
        <v>178</v>
      </c>
      <c r="E42" s="358">
        <f>Electricidad!E61</f>
        <v>2.5964199999999999E-3</v>
      </c>
      <c r="F42" s="358">
        <f>Electricidad!F61</f>
        <v>2.5964199999999999E-3</v>
      </c>
      <c r="G42" s="358">
        <f>Electricidad!G61</f>
        <v>2.5964199999999999E-3</v>
      </c>
      <c r="H42" s="358">
        <f>Electricidad!H61</f>
        <v>2.6197600000000001E-3</v>
      </c>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c r="AL42" s="352"/>
    </row>
    <row r="43" spans="1:38" ht="14.25" customHeight="1" x14ac:dyDescent="0.45">
      <c r="A43" s="618"/>
      <c r="B43" s="215"/>
      <c r="C43" s="220"/>
      <c r="D43" s="357"/>
      <c r="E43" s="221"/>
      <c r="F43" s="221"/>
      <c r="G43" s="221"/>
      <c r="H43" s="221"/>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c r="AL43" s="352"/>
    </row>
    <row r="44" spans="1:38" ht="14.25" customHeight="1" x14ac:dyDescent="0.45">
      <c r="A44" s="618"/>
      <c r="B44" s="215"/>
      <c r="C44" s="220"/>
      <c r="D44" s="357" t="s">
        <v>447</v>
      </c>
      <c r="E44" s="221"/>
      <c r="F44" s="221"/>
      <c r="G44" s="221"/>
      <c r="H44" s="221"/>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352"/>
    </row>
    <row r="45" spans="1:38" ht="14.25" customHeight="1" x14ac:dyDescent="0.45">
      <c r="A45" s="618"/>
      <c r="B45" s="215"/>
      <c r="C45" s="220"/>
      <c r="D45" s="357" t="s">
        <v>448</v>
      </c>
      <c r="E45" s="358">
        <f>Electricidad!E55</f>
        <v>1.1600000000000002E-3</v>
      </c>
      <c r="F45" s="358">
        <f>Electricidad!F55</f>
        <v>1.1600000000000002E-3</v>
      </c>
      <c r="G45" s="358">
        <f>Electricidad!G55</f>
        <v>1.1600000000000002E-3</v>
      </c>
      <c r="H45" s="358">
        <f>Electricidad!H55</f>
        <v>1.1600000000000002E-3</v>
      </c>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352"/>
    </row>
    <row r="46" spans="1:38" ht="14.25" customHeight="1" x14ac:dyDescent="0.45">
      <c r="A46" s="618"/>
      <c r="B46" s="215"/>
      <c r="C46" s="220"/>
      <c r="D46" s="357" t="s">
        <v>449</v>
      </c>
      <c r="E46" s="358">
        <f>Electricidad!E56</f>
        <v>2.8999999999999998E-3</v>
      </c>
      <c r="F46" s="358">
        <f>Electricidad!F56</f>
        <v>2.8999999999999998E-3</v>
      </c>
      <c r="G46" s="358">
        <f>Electricidad!G56</f>
        <v>2.8999999999999998E-3</v>
      </c>
      <c r="H46" s="358">
        <f>Electricidad!H56</f>
        <v>2.8999999999999998E-3</v>
      </c>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352"/>
    </row>
    <row r="47" spans="1:38" ht="14.25" customHeight="1" x14ac:dyDescent="0.45">
      <c r="A47" s="618"/>
      <c r="B47" s="215"/>
      <c r="C47" s="220"/>
      <c r="D47" s="357" t="s">
        <v>178</v>
      </c>
      <c r="E47" s="358">
        <f>Electricidad!E62</f>
        <v>5.7260000000000004E-4</v>
      </c>
      <c r="F47" s="358">
        <f>Electricidad!F62</f>
        <v>5.7260000000000004E-4</v>
      </c>
      <c r="G47" s="358">
        <f>Electricidad!G62</f>
        <v>5.7260000000000004E-4</v>
      </c>
      <c r="H47" s="358">
        <f>Electricidad!H62</f>
        <v>5.7260000000000004E-4</v>
      </c>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352"/>
    </row>
    <row r="48" spans="1:38" ht="14.25" customHeight="1" x14ac:dyDescent="0.45">
      <c r="A48" s="618"/>
      <c r="B48" s="215"/>
      <c r="C48" s="220"/>
      <c r="D48" s="357" t="s">
        <v>450</v>
      </c>
      <c r="E48" s="358">
        <f>SUM(E49:E50)</f>
        <v>3.3039999999999993E-2</v>
      </c>
      <c r="F48" s="358">
        <f>SUM(F49:F50)</f>
        <v>3.2250000000000001E-2</v>
      </c>
      <c r="G48" s="358">
        <f>SUM(G49:G50)</f>
        <v>3.3649999999999999E-2</v>
      </c>
      <c r="H48" s="358">
        <f>SUM(H49:H50)</f>
        <v>1.325E-2</v>
      </c>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352"/>
    </row>
    <row r="49" spans="1:38" ht="14.25" customHeight="1" x14ac:dyDescent="0.45">
      <c r="A49" s="618"/>
      <c r="B49" s="215"/>
      <c r="C49" s="220"/>
      <c r="D49" s="359" t="s">
        <v>182</v>
      </c>
      <c r="E49" s="358">
        <f>Electricidad!E66</f>
        <v>3.2799999999999996E-2</v>
      </c>
      <c r="F49" s="358">
        <f>Electricidad!F66</f>
        <v>3.2250000000000001E-2</v>
      </c>
      <c r="G49" s="358">
        <f>Electricidad!G66</f>
        <v>3.3649999999999999E-2</v>
      </c>
      <c r="H49" s="358">
        <f>Electricidad!H66</f>
        <v>1.325E-2</v>
      </c>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352"/>
    </row>
    <row r="50" spans="1:38" ht="14.25" customHeight="1" x14ac:dyDescent="0.45">
      <c r="A50" s="618"/>
      <c r="B50" s="215"/>
      <c r="C50" s="220"/>
      <c r="D50" s="359" t="s">
        <v>451</v>
      </c>
      <c r="E50" s="358">
        <f>Electricidad!E81</f>
        <v>2.3999999999999998E-4</v>
      </c>
      <c r="F50" s="358">
        <f>Electricidad!F81</f>
        <v>0</v>
      </c>
      <c r="G50" s="358">
        <f>Electricidad!G81</f>
        <v>0</v>
      </c>
      <c r="H50" s="358">
        <f>Electricidad!H81</f>
        <v>0</v>
      </c>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352"/>
    </row>
    <row r="51" spans="1:38" ht="14.25" customHeight="1" x14ac:dyDescent="0.45">
      <c r="A51" s="618"/>
      <c r="B51" s="215"/>
      <c r="C51" s="220"/>
      <c r="D51" s="357"/>
      <c r="E51" s="221"/>
      <c r="F51" s="221"/>
      <c r="G51" s="221"/>
      <c r="H51" s="221"/>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352"/>
    </row>
    <row r="52" spans="1:38" ht="14.25" customHeight="1" x14ac:dyDescent="0.45">
      <c r="A52" s="618"/>
      <c r="B52" s="215"/>
      <c r="C52" s="220"/>
      <c r="D52" s="357" t="s">
        <v>452</v>
      </c>
      <c r="E52" s="221"/>
      <c r="F52" s="221"/>
      <c r="G52" s="221"/>
      <c r="H52" s="221"/>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352"/>
    </row>
    <row r="53" spans="1:38" ht="14.25" customHeight="1" x14ac:dyDescent="0.45">
      <c r="A53" s="618"/>
      <c r="B53" s="215"/>
      <c r="C53" s="220"/>
      <c r="D53" s="357" t="s">
        <v>448</v>
      </c>
      <c r="E53" s="358">
        <f>Electricidad!E58</f>
        <v>2E-3</v>
      </c>
      <c r="F53" s="358">
        <f>Electricidad!F58</f>
        <v>2E-3</v>
      </c>
      <c r="G53" s="358">
        <f>Electricidad!G58</f>
        <v>2E-3</v>
      </c>
      <c r="H53" s="358">
        <f>Electricidad!H58</f>
        <v>2E-3</v>
      </c>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352"/>
    </row>
    <row r="54" spans="1:38" ht="14.25" customHeight="1" x14ac:dyDescent="0.45">
      <c r="A54" s="618"/>
      <c r="B54" s="215"/>
      <c r="C54" s="220"/>
      <c r="D54" s="357" t="s">
        <v>449</v>
      </c>
      <c r="E54" s="358">
        <f>Electricidad!E59</f>
        <v>0</v>
      </c>
      <c r="F54" s="358">
        <f>Electricidad!F59</f>
        <v>0</v>
      </c>
      <c r="G54" s="358">
        <f>Electricidad!G59</f>
        <v>0</v>
      </c>
      <c r="H54" s="358">
        <f>Electricidad!H59</f>
        <v>0</v>
      </c>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352"/>
    </row>
    <row r="55" spans="1:38" ht="14.25" customHeight="1" x14ac:dyDescent="0.45">
      <c r="A55" s="618"/>
      <c r="B55" s="215"/>
      <c r="C55" s="220"/>
      <c r="D55" s="357" t="s">
        <v>451</v>
      </c>
      <c r="E55" s="358">
        <f>Electricidad!E83</f>
        <v>3.6250000000000002E-3</v>
      </c>
      <c r="F55" s="358">
        <f>Electricidad!F83</f>
        <v>3.6250000000000002E-3</v>
      </c>
      <c r="G55" s="358">
        <f>Electricidad!G83</f>
        <v>3.6250000000000002E-3</v>
      </c>
      <c r="H55" s="358">
        <f>Electricidad!H83</f>
        <v>3.6250000000000002E-3</v>
      </c>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285"/>
      <c r="AH55" s="285"/>
      <c r="AI55" s="285"/>
      <c r="AJ55" s="285"/>
      <c r="AK55" s="285"/>
      <c r="AL55" s="352"/>
    </row>
    <row r="56" spans="1:38" ht="14.25" customHeight="1" x14ac:dyDescent="0.45">
      <c r="A56" s="618"/>
      <c r="B56" s="215"/>
      <c r="C56" s="220"/>
      <c r="D56" s="357"/>
      <c r="E56" s="221"/>
      <c r="F56" s="221"/>
      <c r="G56" s="221"/>
      <c r="H56" s="221"/>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352"/>
    </row>
    <row r="57" spans="1:38" ht="14.25" customHeight="1" x14ac:dyDescent="0.45">
      <c r="A57" s="618"/>
      <c r="B57" s="215"/>
      <c r="C57" s="220"/>
      <c r="D57" s="357" t="s">
        <v>453</v>
      </c>
      <c r="E57" s="221"/>
      <c r="F57" s="221"/>
      <c r="G57" s="221"/>
      <c r="H57" s="221"/>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352"/>
    </row>
    <row r="58" spans="1:38" ht="14.25" customHeight="1" x14ac:dyDescent="0.45">
      <c r="A58" s="618"/>
      <c r="B58" s="215"/>
      <c r="C58" s="220"/>
      <c r="D58" s="357" t="s">
        <v>454</v>
      </c>
      <c r="E58" s="358">
        <f>SUM(E59:E60)</f>
        <v>0.38359099999999996</v>
      </c>
      <c r="F58" s="358">
        <f>SUM(F59:F60)</f>
        <v>0.38359099999999996</v>
      </c>
      <c r="G58" s="358">
        <f>SUM(G59:G60)</f>
        <v>0.38354099999999991</v>
      </c>
      <c r="H58" s="358">
        <f>SUM(H59:H60)</f>
        <v>0.43729599999999996</v>
      </c>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352"/>
    </row>
    <row r="59" spans="1:38" ht="14.25" customHeight="1" x14ac:dyDescent="0.45">
      <c r="A59" s="618"/>
      <c r="B59" s="215"/>
      <c r="C59" s="220"/>
      <c r="D59" s="359" t="s">
        <v>455</v>
      </c>
      <c r="E59" s="358">
        <f>Electricidad!E70</f>
        <v>0.37858699999999995</v>
      </c>
      <c r="F59" s="358">
        <f>Electricidad!F70</f>
        <v>0.37858699999999995</v>
      </c>
      <c r="G59" s="358">
        <f>Electricidad!G70</f>
        <v>0.3785369999999999</v>
      </c>
      <c r="H59" s="358">
        <f>Electricidad!H70</f>
        <v>0.43229199999999995</v>
      </c>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5"/>
      <c r="AJ59" s="285"/>
      <c r="AK59" s="285"/>
      <c r="AL59" s="352"/>
    </row>
    <row r="60" spans="1:38" ht="14.25" customHeight="1" x14ac:dyDescent="0.45">
      <c r="A60" s="618"/>
      <c r="B60" s="215"/>
      <c r="C60" s="220"/>
      <c r="D60" s="359" t="s">
        <v>456</v>
      </c>
      <c r="E60" s="358">
        <f>Electricidad!E78</f>
        <v>5.0039999999999998E-3</v>
      </c>
      <c r="F60" s="358">
        <f>Electricidad!F78</f>
        <v>5.0039999999999998E-3</v>
      </c>
      <c r="G60" s="358">
        <f>Electricidad!G78</f>
        <v>5.0039999999999998E-3</v>
      </c>
      <c r="H60" s="358">
        <f>Electricidad!H78</f>
        <v>5.0039999999999998E-3</v>
      </c>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285"/>
      <c r="AL60" s="352"/>
    </row>
    <row r="61" spans="1:38" ht="14.25" customHeight="1" x14ac:dyDescent="0.45">
      <c r="A61" s="618"/>
      <c r="B61" s="215"/>
      <c r="C61" s="220"/>
      <c r="D61" s="357" t="s">
        <v>457</v>
      </c>
      <c r="E61" s="358">
        <f>Electricidad!E72</f>
        <v>1.44E-2</v>
      </c>
      <c r="F61" s="358">
        <f>Electricidad!F72</f>
        <v>1.44E-2</v>
      </c>
      <c r="G61" s="358">
        <f>Electricidad!G72</f>
        <v>1.44E-2</v>
      </c>
      <c r="H61" s="358">
        <f>Electricidad!H72</f>
        <v>1.44E-2</v>
      </c>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285"/>
      <c r="AL61" s="352"/>
    </row>
    <row r="62" spans="1:38" ht="14.25" customHeight="1" x14ac:dyDescent="0.45">
      <c r="A62" s="618"/>
      <c r="B62" s="215"/>
      <c r="C62" s="220"/>
      <c r="D62" s="357" t="s">
        <v>450</v>
      </c>
      <c r="E62" s="358">
        <f>SUM(E63:E64)</f>
        <v>0.58134777999999998</v>
      </c>
      <c r="F62" s="358">
        <f>SUM(F63:F64)</f>
        <v>0.64101478000000001</v>
      </c>
      <c r="G62" s="358">
        <f>SUM(G63:G64)</f>
        <v>0.64291978000000005</v>
      </c>
      <c r="H62" s="358">
        <f>SUM(H63:H64)</f>
        <v>0.59190777999999999</v>
      </c>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c r="AL62" s="352"/>
    </row>
    <row r="63" spans="1:38" ht="14.25" customHeight="1" x14ac:dyDescent="0.45">
      <c r="A63" s="618"/>
      <c r="B63" s="215"/>
      <c r="C63" s="220"/>
      <c r="D63" s="359" t="s">
        <v>458</v>
      </c>
      <c r="E63" s="358">
        <f>Electricidad!E76</f>
        <v>5.04E-2</v>
      </c>
      <c r="F63" s="358">
        <f>Electricidad!F76</f>
        <v>5.04E-2</v>
      </c>
      <c r="G63" s="358">
        <f>Electricidad!G76</f>
        <v>5.04E-2</v>
      </c>
      <c r="H63" s="358">
        <f>Electricidad!H76</f>
        <v>5.04E-2</v>
      </c>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c r="AL63" s="352"/>
    </row>
    <row r="64" spans="1:38" ht="14.25" customHeight="1" x14ac:dyDescent="0.45">
      <c r="A64" s="618"/>
      <c r="B64" s="215"/>
      <c r="C64" s="220"/>
      <c r="D64" s="359" t="s">
        <v>459</v>
      </c>
      <c r="E64" s="358">
        <f>Electricidad!E71</f>
        <v>0.53094777999999998</v>
      </c>
      <c r="F64" s="358">
        <f>Electricidad!F71</f>
        <v>0.59061478000000001</v>
      </c>
      <c r="G64" s="358">
        <f>Electricidad!G71</f>
        <v>0.59251978000000005</v>
      </c>
      <c r="H64" s="358">
        <f>Electricidad!H71</f>
        <v>0.54150777999999999</v>
      </c>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c r="AL64" s="352"/>
    </row>
    <row r="65" spans="1:57" ht="14.25" customHeight="1" x14ac:dyDescent="0.45">
      <c r="A65" s="618"/>
      <c r="B65" s="215"/>
      <c r="C65" s="220"/>
      <c r="D65" s="357" t="s">
        <v>411</v>
      </c>
      <c r="E65" s="358">
        <f>SUM(E66:E68)</f>
        <v>0.24892200000000003</v>
      </c>
      <c r="F65" s="358">
        <f>SUM(F66:F68)</f>
        <v>0.25419200000000008</v>
      </c>
      <c r="G65" s="358">
        <f>SUM(G66:G68)</f>
        <v>0.25574000000000002</v>
      </c>
      <c r="H65" s="358">
        <f>SUM(H66:H68)</f>
        <v>0.27790700000000002</v>
      </c>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c r="AL65" s="352"/>
    </row>
    <row r="66" spans="1:57" ht="14.25" customHeight="1" x14ac:dyDescent="0.45">
      <c r="A66" s="618"/>
      <c r="B66" s="215"/>
      <c r="C66" s="220"/>
      <c r="D66" s="359" t="s">
        <v>460</v>
      </c>
      <c r="E66" s="358">
        <f>Electricidad!E85</f>
        <v>1.2E-2</v>
      </c>
      <c r="F66" s="358">
        <f>Electricidad!F85</f>
        <v>1.2E-2</v>
      </c>
      <c r="G66" s="358">
        <f>Electricidad!G85</f>
        <v>1.2E-2</v>
      </c>
      <c r="H66" s="358">
        <f>Electricidad!H85</f>
        <v>1.2E-2</v>
      </c>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c r="AL66" s="352"/>
    </row>
    <row r="67" spans="1:57" ht="14.25" customHeight="1" x14ac:dyDescent="0.45">
      <c r="A67" s="618"/>
      <c r="B67" s="215"/>
      <c r="C67" s="220"/>
      <c r="D67" s="359" t="s">
        <v>461</v>
      </c>
      <c r="E67" s="358">
        <f>Electricidad!E73</f>
        <v>0.19107200000000002</v>
      </c>
      <c r="F67" s="358">
        <f>Electricidad!F73</f>
        <v>0.19634200000000007</v>
      </c>
      <c r="G67" s="358">
        <f>Electricidad!G73</f>
        <v>0.19789000000000001</v>
      </c>
      <c r="H67" s="358">
        <f>Electricidad!H73</f>
        <v>0.19725700000000002</v>
      </c>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285"/>
      <c r="AL67" s="352"/>
    </row>
    <row r="68" spans="1:57" ht="14.25" customHeight="1" x14ac:dyDescent="0.45">
      <c r="A68" s="618"/>
      <c r="B68" s="215"/>
      <c r="C68" s="220"/>
      <c r="D68" s="359" t="s">
        <v>462</v>
      </c>
      <c r="E68" s="358">
        <f>Electricidad!E77</f>
        <v>4.5850000000000002E-2</v>
      </c>
      <c r="F68" s="358">
        <f>Electricidad!F77</f>
        <v>4.5850000000000002E-2</v>
      </c>
      <c r="G68" s="358">
        <f>Electricidad!G77</f>
        <v>4.5850000000000002E-2</v>
      </c>
      <c r="H68" s="358">
        <f>Electricidad!H77</f>
        <v>6.8650000000000003E-2</v>
      </c>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285"/>
      <c r="AL68" s="352"/>
    </row>
    <row r="69" spans="1:57" ht="14.25" customHeight="1" x14ac:dyDescent="0.45">
      <c r="A69" s="618"/>
      <c r="B69" s="215"/>
      <c r="C69" s="220"/>
      <c r="D69" s="357"/>
      <c r="E69" s="243"/>
      <c r="F69" s="243"/>
      <c r="G69" s="243"/>
      <c r="H69" s="243"/>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285"/>
      <c r="AL69" s="352"/>
    </row>
    <row r="70" spans="1:57" ht="14.25" customHeight="1" x14ac:dyDescent="0.45">
      <c r="A70" s="618"/>
      <c r="B70" s="215"/>
      <c r="C70" s="220"/>
      <c r="D70" s="357"/>
      <c r="E70" s="360">
        <f>SUM(E40+E41+E42+E45+E46+E47+E48+E53+E54+E55+E58+E61+E62+E65)</f>
        <v>1.3063868000000001</v>
      </c>
      <c r="F70" s="360">
        <f>SUM(F40+F41+F42+F45+F46+F47+F48+F53+F54+F55+F58+F61+F62+F65)</f>
        <v>1.3670987999999999</v>
      </c>
      <c r="G70" s="360">
        <f>SUM(G40+G41+G42+G45+G46+G47+G48+G53+G54+G55+G58+G61+G62+G65)</f>
        <v>1.3720398</v>
      </c>
      <c r="H70" s="360">
        <f>SUM(H40+H41+H42+H45+H46+H47+H48+H53+H54+H55+H58+H61+H62+H65)</f>
        <v>1.3765731400000001</v>
      </c>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285"/>
      <c r="AL70" s="352"/>
    </row>
    <row r="71" spans="1:57" ht="13.5" customHeight="1" x14ac:dyDescent="0.45">
      <c r="A71" s="618"/>
      <c r="B71" s="215"/>
      <c r="C71" s="220"/>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285"/>
      <c r="AL71" s="352"/>
    </row>
    <row r="72" spans="1:57" ht="13.5" customHeight="1" x14ac:dyDescent="0.45">
      <c r="A72" s="618"/>
      <c r="B72" s="215"/>
      <c r="C72" s="220"/>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285"/>
      <c r="AL72" s="352"/>
    </row>
    <row r="73" spans="1:57" ht="14.25" customHeight="1" x14ac:dyDescent="0.45">
      <c r="A73" s="618"/>
      <c r="B73" s="215"/>
      <c r="C73" s="220"/>
      <c r="D73" s="361" t="s">
        <v>259</v>
      </c>
      <c r="E73" s="218"/>
      <c r="F73" s="218"/>
      <c r="G73" s="218"/>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285"/>
      <c r="AL73" s="352"/>
    </row>
    <row r="74" spans="1:57" ht="13.5" customHeight="1" x14ac:dyDescent="0.45">
      <c r="A74" s="618"/>
      <c r="B74" s="215"/>
      <c r="C74" s="220"/>
      <c r="D74" s="243" t="s">
        <v>220</v>
      </c>
      <c r="E74" s="218"/>
      <c r="F74" s="218"/>
      <c r="G74" s="218"/>
      <c r="H74" s="218"/>
      <c r="I74" s="218"/>
      <c r="J74" s="218"/>
      <c r="K74" s="218"/>
      <c r="L74" s="218"/>
      <c r="M74" s="218"/>
      <c r="N74" s="218">
        <v>0.1</v>
      </c>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618"/>
      <c r="AM74" s="3"/>
      <c r="AN74" s="3"/>
      <c r="AO74" s="3"/>
      <c r="AP74" s="3"/>
      <c r="AQ74" s="3"/>
      <c r="AR74" s="3"/>
      <c r="AS74" s="3"/>
      <c r="AT74" s="3"/>
      <c r="AU74" s="3"/>
      <c r="AV74" s="3"/>
      <c r="AW74" s="3"/>
      <c r="AX74" s="3"/>
      <c r="AY74" s="3"/>
      <c r="AZ74" s="3"/>
      <c r="BA74" s="3"/>
      <c r="BB74" s="3"/>
      <c r="BC74" s="3"/>
      <c r="BD74" s="3"/>
      <c r="BE74" s="3"/>
    </row>
    <row r="75" spans="1:57" ht="14.25" customHeight="1" x14ac:dyDescent="0.45">
      <c r="A75" s="618"/>
      <c r="B75" s="215"/>
      <c r="C75" s="220"/>
      <c r="D75" s="243" t="s">
        <v>261</v>
      </c>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618"/>
      <c r="AM75" s="3"/>
      <c r="AN75" s="3"/>
      <c r="AO75" s="3"/>
      <c r="AP75" s="3"/>
      <c r="AQ75" s="3"/>
      <c r="AR75" s="3"/>
      <c r="AS75" s="3"/>
      <c r="AT75" s="3"/>
      <c r="AU75" s="3"/>
      <c r="AV75" s="3"/>
      <c r="AW75" s="3"/>
      <c r="AX75" s="3"/>
      <c r="AY75" s="3"/>
      <c r="AZ75" s="3"/>
      <c r="BA75" s="3"/>
      <c r="BB75" s="3"/>
      <c r="BC75" s="3"/>
      <c r="BD75" s="3"/>
      <c r="BE75" s="3"/>
    </row>
    <row r="76" spans="1:57" ht="14.25" customHeight="1" x14ac:dyDescent="0.45">
      <c r="A76" s="618"/>
      <c r="B76" s="215"/>
      <c r="C76" s="220"/>
      <c r="D76" s="243" t="s">
        <v>262</v>
      </c>
      <c r="E76" s="218"/>
      <c r="F76" s="29"/>
      <c r="G76" s="29"/>
      <c r="H76" s="29"/>
      <c r="I76" s="218"/>
      <c r="J76" s="29"/>
      <c r="K76" s="29"/>
      <c r="L76" s="29"/>
      <c r="M76" s="29"/>
      <c r="N76" s="29"/>
      <c r="O76" s="37">
        <v>0.05</v>
      </c>
      <c r="P76" s="29"/>
      <c r="Q76" s="29"/>
      <c r="R76" s="29"/>
      <c r="S76" s="29"/>
      <c r="T76" s="29"/>
      <c r="U76" s="29"/>
      <c r="V76" s="29"/>
      <c r="W76" s="29"/>
      <c r="X76" s="29"/>
      <c r="Y76" s="29"/>
      <c r="Z76" s="29"/>
      <c r="AA76" s="29"/>
      <c r="AB76" s="29"/>
      <c r="AC76" s="29"/>
      <c r="AD76" s="29"/>
      <c r="AE76" s="29"/>
      <c r="AF76" s="29"/>
      <c r="AG76" s="29"/>
      <c r="AH76" s="29"/>
      <c r="AI76" s="29"/>
      <c r="AJ76" s="29"/>
      <c r="AK76" s="29"/>
      <c r="AL76" s="618"/>
      <c r="AM76" s="3"/>
      <c r="AN76" s="3"/>
      <c r="AO76" s="3"/>
      <c r="AP76" s="3"/>
      <c r="AQ76" s="3"/>
      <c r="AR76" s="3"/>
      <c r="AS76" s="3"/>
      <c r="AT76" s="3"/>
      <c r="AU76" s="3"/>
      <c r="AV76" s="3"/>
      <c r="AW76" s="3"/>
      <c r="AX76" s="3"/>
      <c r="AY76" s="3"/>
      <c r="AZ76" s="3"/>
      <c r="BA76" s="3"/>
      <c r="BB76" s="3"/>
      <c r="BC76" s="3"/>
      <c r="BD76" s="3"/>
      <c r="BE76" s="3"/>
    </row>
    <row r="77" spans="1:57" ht="14.25" customHeight="1" x14ac:dyDescent="0.45">
      <c r="A77" s="618"/>
      <c r="B77" s="215"/>
      <c r="C77" s="220"/>
      <c r="D77" s="243" t="s">
        <v>199</v>
      </c>
      <c r="E77" s="29"/>
      <c r="F77" s="29"/>
      <c r="G77" s="29"/>
      <c r="H77" s="29"/>
      <c r="I77" s="218"/>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618"/>
      <c r="AM77" s="3"/>
      <c r="AN77" s="3"/>
      <c r="AO77" s="3"/>
      <c r="AP77" s="3"/>
      <c r="AQ77" s="3"/>
      <c r="AR77" s="3"/>
      <c r="AS77" s="3"/>
      <c r="AT77" s="3"/>
      <c r="AU77" s="3"/>
      <c r="AV77" s="3"/>
      <c r="AW77" s="3"/>
      <c r="AX77" s="3"/>
      <c r="AY77" s="3"/>
      <c r="AZ77" s="3"/>
      <c r="BA77" s="3"/>
      <c r="BB77" s="3"/>
      <c r="BC77" s="3"/>
      <c r="BD77" s="3"/>
      <c r="BE77" s="3"/>
    </row>
    <row r="78" spans="1:57" ht="13.5" customHeight="1" x14ac:dyDescent="0.45">
      <c r="A78" s="618"/>
      <c r="B78" s="215"/>
      <c r="C78" s="220"/>
      <c r="D78" s="221" t="s">
        <v>201</v>
      </c>
      <c r="E78" s="29"/>
      <c r="F78" s="29"/>
      <c r="G78" s="29"/>
      <c r="H78" s="29"/>
      <c r="I78" s="264">
        <v>4.9000000000000002E-2</v>
      </c>
      <c r="J78" s="218"/>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618"/>
      <c r="AM78" s="3"/>
      <c r="AN78" s="3"/>
      <c r="AO78" s="3"/>
      <c r="AP78" s="3"/>
      <c r="AQ78" s="3"/>
      <c r="AR78" s="3"/>
      <c r="AS78" s="3"/>
      <c r="AT78" s="3"/>
      <c r="AU78" s="3"/>
      <c r="AV78" s="3"/>
      <c r="AW78" s="3"/>
      <c r="AX78" s="3"/>
      <c r="AY78" s="3"/>
      <c r="AZ78" s="3"/>
      <c r="BA78" s="3"/>
      <c r="BB78" s="3"/>
      <c r="BC78" s="3"/>
      <c r="BD78" s="3"/>
      <c r="BE78" s="3"/>
    </row>
    <row r="79" spans="1:57" ht="14.25" customHeight="1" x14ac:dyDescent="0.45">
      <c r="A79" s="618"/>
      <c r="B79" s="215"/>
      <c r="C79" s="220"/>
      <c r="D79" s="321" t="s">
        <v>203</v>
      </c>
      <c r="E79" s="29"/>
      <c r="F79" s="29"/>
      <c r="G79" s="29"/>
      <c r="H79" s="29"/>
      <c r="I79" s="218"/>
      <c r="J79" s="264">
        <v>0.2054</v>
      </c>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618"/>
      <c r="AM79" s="3"/>
      <c r="AN79" s="3"/>
      <c r="AO79" s="3"/>
      <c r="AP79" s="3"/>
      <c r="AQ79" s="3"/>
      <c r="AR79" s="3"/>
      <c r="AS79" s="3"/>
      <c r="AT79" s="3"/>
      <c r="AU79" s="3"/>
      <c r="AV79" s="3"/>
      <c r="AW79" s="3"/>
      <c r="AX79" s="3"/>
      <c r="AY79" s="3"/>
      <c r="AZ79" s="3"/>
      <c r="BA79" s="3"/>
      <c r="BB79" s="3"/>
      <c r="BC79" s="3"/>
      <c r="BD79" s="3"/>
      <c r="BE79" s="3"/>
    </row>
    <row r="80" spans="1:57" ht="14.25" customHeight="1" x14ac:dyDescent="0.45">
      <c r="A80" s="618"/>
      <c r="B80" s="215"/>
      <c r="C80" s="220"/>
      <c r="D80" s="519" t="s">
        <v>205</v>
      </c>
      <c r="E80" s="29"/>
      <c r="F80" s="29"/>
      <c r="G80" s="29"/>
      <c r="H80" s="29"/>
      <c r="I80" s="218"/>
      <c r="J80" s="218"/>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618"/>
      <c r="AM80" s="3"/>
      <c r="AN80" s="3"/>
      <c r="AO80" s="3"/>
      <c r="AP80" s="3"/>
      <c r="AQ80" s="3"/>
      <c r="AR80" s="3"/>
      <c r="AS80" s="3"/>
      <c r="AT80" s="3"/>
      <c r="AU80" s="3"/>
      <c r="AV80" s="3"/>
      <c r="AW80" s="3"/>
      <c r="AX80" s="3"/>
      <c r="AY80" s="3"/>
      <c r="AZ80" s="3"/>
      <c r="BA80" s="3"/>
      <c r="BB80" s="3"/>
      <c r="BC80" s="3"/>
      <c r="BD80" s="3"/>
      <c r="BE80" s="3"/>
    </row>
    <row r="81" spans="1:57" ht="14.25" customHeight="1" x14ac:dyDescent="0.45">
      <c r="A81" s="618"/>
      <c r="B81" s="215"/>
      <c r="C81" s="220"/>
      <c r="D81" s="221" t="s">
        <v>207</v>
      </c>
      <c r="E81" s="29"/>
      <c r="F81" s="29"/>
      <c r="G81" s="29"/>
      <c r="H81" s="29"/>
      <c r="I81" s="218"/>
      <c r="J81" s="218"/>
      <c r="K81" s="37">
        <v>7.1999999999999998E-3</v>
      </c>
      <c r="L81" s="37">
        <v>1.46E-2</v>
      </c>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618"/>
      <c r="AM81" s="3"/>
      <c r="AN81" s="3"/>
      <c r="AO81" s="3"/>
      <c r="AP81" s="3"/>
      <c r="AQ81" s="3"/>
      <c r="AR81" s="3"/>
      <c r="AS81" s="3"/>
      <c r="AT81" s="3"/>
      <c r="AU81" s="3"/>
      <c r="AV81" s="3"/>
      <c r="AW81" s="3"/>
      <c r="AX81" s="3"/>
      <c r="AY81" s="3"/>
      <c r="AZ81" s="3"/>
      <c r="BA81" s="3"/>
      <c r="BB81" s="3"/>
      <c r="BC81" s="3"/>
      <c r="BD81" s="3"/>
      <c r="BE81" s="3"/>
    </row>
    <row r="82" spans="1:57" ht="14.25" customHeight="1" x14ac:dyDescent="0.45">
      <c r="A82" s="618"/>
      <c r="B82" s="215"/>
      <c r="C82" s="220"/>
      <c r="D82" s="221" t="s">
        <v>209</v>
      </c>
      <c r="E82" s="29"/>
      <c r="F82" s="29"/>
      <c r="G82" s="29"/>
      <c r="H82" s="29"/>
      <c r="I82" s="218"/>
      <c r="J82" s="218"/>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618"/>
      <c r="AM82" s="3"/>
    </row>
    <row r="83" spans="1:57" ht="14.25" customHeight="1" x14ac:dyDescent="0.45">
      <c r="A83" s="618"/>
      <c r="B83" s="215"/>
      <c r="C83" s="220"/>
      <c r="D83" s="221" t="s">
        <v>211</v>
      </c>
      <c r="E83" s="29"/>
      <c r="F83" s="29"/>
      <c r="G83" s="29"/>
      <c r="H83" s="29"/>
      <c r="I83" s="218"/>
      <c r="J83" s="218"/>
      <c r="K83" s="29"/>
      <c r="L83" s="29"/>
      <c r="M83" s="29"/>
      <c r="N83" s="29"/>
      <c r="O83" s="29"/>
      <c r="P83" s="37"/>
      <c r="Q83" s="37">
        <v>0.59560000000000002</v>
      </c>
      <c r="R83" s="218"/>
      <c r="S83" s="102">
        <v>2.4</v>
      </c>
      <c r="T83" s="29"/>
      <c r="U83" s="29"/>
      <c r="V83" s="29"/>
      <c r="W83" s="29"/>
      <c r="X83" s="29"/>
      <c r="Y83" s="29"/>
      <c r="Z83" s="29"/>
      <c r="AA83" s="29"/>
      <c r="AB83" s="29"/>
      <c r="AC83" s="29"/>
      <c r="AD83" s="29"/>
      <c r="AE83" s="29"/>
      <c r="AF83" s="29"/>
      <c r="AG83" s="29"/>
      <c r="AH83" s="29"/>
      <c r="AI83" s="29"/>
      <c r="AJ83" s="29"/>
      <c r="AK83" s="29"/>
      <c r="AL83" s="618"/>
      <c r="AM83" s="3"/>
    </row>
    <row r="84" spans="1:57" ht="14.25" customHeight="1" x14ac:dyDescent="0.45">
      <c r="A84" s="618"/>
      <c r="B84" s="215"/>
      <c r="C84" s="220"/>
      <c r="D84" s="243" t="s">
        <v>212</v>
      </c>
      <c r="E84" s="29"/>
      <c r="F84" s="29"/>
      <c r="G84" s="29"/>
      <c r="H84" s="29"/>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618"/>
      <c r="AM84" s="3"/>
    </row>
    <row r="85" spans="1:57" ht="14.25" customHeight="1" x14ac:dyDescent="0.45">
      <c r="A85" s="618"/>
      <c r="B85" s="215"/>
      <c r="C85" s="220"/>
      <c r="D85" s="221" t="s">
        <v>201</v>
      </c>
      <c r="E85" s="29"/>
      <c r="F85" s="29"/>
      <c r="G85" s="29"/>
      <c r="H85" s="29"/>
      <c r="I85" s="218"/>
      <c r="J85" s="264">
        <v>8.9999999999999993E-3</v>
      </c>
      <c r="K85" s="264">
        <v>0.05</v>
      </c>
      <c r="L85" s="218"/>
      <c r="M85" s="218" t="s">
        <v>221</v>
      </c>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618"/>
      <c r="AM85" s="3"/>
    </row>
    <row r="86" spans="1:57" ht="14.25" customHeight="1" x14ac:dyDescent="0.45">
      <c r="A86" s="618"/>
      <c r="B86" s="215"/>
      <c r="C86" s="220"/>
      <c r="D86" s="221" t="s">
        <v>203</v>
      </c>
      <c r="E86" s="29"/>
      <c r="F86" s="29"/>
      <c r="G86" s="29"/>
      <c r="H86" s="29"/>
      <c r="I86" s="218"/>
      <c r="J86" s="218"/>
      <c r="K86" s="218"/>
      <c r="L86" s="218"/>
      <c r="M86" s="218"/>
      <c r="N86" s="218"/>
      <c r="O86" s="264">
        <v>0.19400000000000001</v>
      </c>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618"/>
      <c r="AM86" s="3"/>
    </row>
    <row r="87" spans="1:57" ht="14.25" customHeight="1" x14ac:dyDescent="0.45">
      <c r="A87" s="618"/>
      <c r="B87" s="215"/>
      <c r="C87" s="220"/>
      <c r="D87" s="221" t="s">
        <v>205</v>
      </c>
      <c r="E87" s="29"/>
      <c r="F87" s="29"/>
      <c r="G87" s="29"/>
      <c r="H87" s="29"/>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618"/>
      <c r="AM87" s="3"/>
    </row>
    <row r="88" spans="1:57" ht="14.25" customHeight="1" x14ac:dyDescent="0.45">
      <c r="A88" s="618"/>
      <c r="B88" s="215"/>
      <c r="C88" s="220"/>
      <c r="D88" s="221" t="s">
        <v>207</v>
      </c>
      <c r="E88" s="29"/>
      <c r="F88" s="29"/>
      <c r="G88" s="29"/>
      <c r="H88" s="29"/>
      <c r="I88" s="264">
        <v>0.03</v>
      </c>
      <c r="J88" s="218"/>
      <c r="K88" s="264">
        <v>4.0000000000000001E-3</v>
      </c>
      <c r="L88" s="264">
        <v>1.4579999999999999E-2</v>
      </c>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618"/>
      <c r="AM88" s="3"/>
    </row>
    <row r="89" spans="1:57" ht="14.25" customHeight="1" x14ac:dyDescent="0.45">
      <c r="A89" s="618"/>
      <c r="B89" s="215"/>
      <c r="C89" s="220"/>
      <c r="D89" s="221" t="s">
        <v>209</v>
      </c>
      <c r="E89" s="29"/>
      <c r="F89" s="29"/>
      <c r="G89" s="29"/>
      <c r="H89" s="29"/>
      <c r="I89" s="218"/>
      <c r="J89" s="218"/>
      <c r="K89" s="218"/>
      <c r="L89" s="264">
        <v>0.05</v>
      </c>
      <c r="M89" s="218"/>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618"/>
      <c r="AM89" s="3"/>
    </row>
    <row r="90" spans="1:57" ht="14.25" customHeight="1" x14ac:dyDescent="0.45">
      <c r="A90" s="618"/>
      <c r="B90" s="215"/>
      <c r="C90" s="220"/>
      <c r="D90" s="221" t="s">
        <v>211</v>
      </c>
      <c r="E90" s="29"/>
      <c r="F90" s="29"/>
      <c r="G90" s="29"/>
      <c r="H90" s="29"/>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618"/>
      <c r="AM90" s="3"/>
    </row>
    <row r="91" spans="1:57" ht="14.25" customHeight="1" x14ac:dyDescent="0.45">
      <c r="A91" s="618"/>
      <c r="B91" s="215"/>
      <c r="C91" s="220"/>
      <c r="D91" s="221" t="s">
        <v>263</v>
      </c>
      <c r="E91" s="29"/>
      <c r="F91" s="29"/>
      <c r="G91" s="29"/>
      <c r="H91" s="29"/>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618"/>
      <c r="AM91" s="3"/>
    </row>
    <row r="92" spans="1:57" ht="14.25" customHeight="1" x14ac:dyDescent="0.45">
      <c r="A92" s="618"/>
      <c r="B92" s="215"/>
      <c r="C92" s="220"/>
      <c r="D92" s="243" t="s">
        <v>264</v>
      </c>
      <c r="E92" s="29"/>
      <c r="F92" s="29"/>
      <c r="G92" s="29"/>
      <c r="H92" s="29"/>
      <c r="I92" s="218"/>
      <c r="J92" s="218"/>
      <c r="K92" s="264">
        <v>0.2</v>
      </c>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618"/>
      <c r="AM92" s="3"/>
    </row>
    <row r="93" spans="1:57" ht="14.25" customHeight="1" x14ac:dyDescent="0.45">
      <c r="A93" s="618"/>
      <c r="B93" s="215"/>
      <c r="C93" s="220"/>
      <c r="D93" s="243" t="s">
        <v>265</v>
      </c>
      <c r="E93" s="29"/>
      <c r="F93" s="29"/>
      <c r="G93" s="29"/>
      <c r="H93" s="29"/>
      <c r="I93" s="218"/>
      <c r="J93" s="264">
        <v>0.05</v>
      </c>
      <c r="K93" s="264">
        <v>0.11</v>
      </c>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618"/>
      <c r="AM93" s="3"/>
    </row>
    <row r="94" spans="1:57" ht="14.25" customHeight="1" x14ac:dyDescent="0.45">
      <c r="A94" s="618"/>
      <c r="B94" s="215"/>
      <c r="C94" s="220"/>
      <c r="D94" s="243" t="s">
        <v>266</v>
      </c>
      <c r="E94" s="29"/>
      <c r="F94" s="29"/>
      <c r="G94" s="29"/>
      <c r="H94" s="29"/>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618"/>
      <c r="AM94" s="3"/>
    </row>
    <row r="95" spans="1:57" ht="14.25" customHeight="1" x14ac:dyDescent="0.45">
      <c r="A95" s="618"/>
      <c r="B95" s="215"/>
      <c r="C95" s="220"/>
      <c r="D95" s="243" t="s">
        <v>267</v>
      </c>
      <c r="E95" s="29"/>
      <c r="F95" s="29"/>
      <c r="G95" s="29"/>
      <c r="H95" s="29"/>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618"/>
      <c r="AM95" s="3"/>
    </row>
    <row r="96" spans="1:57" ht="14.25" customHeight="1" x14ac:dyDescent="0.45">
      <c r="A96" s="618"/>
      <c r="B96" s="215"/>
      <c r="C96" s="220"/>
      <c r="D96" s="243" t="s">
        <v>268</v>
      </c>
      <c r="E96" s="29"/>
      <c r="F96" s="29"/>
      <c r="G96" s="29"/>
      <c r="H96" s="29"/>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618"/>
      <c r="AM96" s="3"/>
    </row>
    <row r="97" spans="1:58" ht="14.25" customHeight="1" x14ac:dyDescent="0.45">
      <c r="A97" s="618"/>
      <c r="B97" s="215"/>
      <c r="C97" s="220"/>
      <c r="D97" s="243" t="s">
        <v>269</v>
      </c>
      <c r="E97" s="29"/>
      <c r="F97" s="29"/>
      <c r="G97" s="29"/>
      <c r="H97" s="29"/>
      <c r="I97" s="218"/>
      <c r="J97" s="218"/>
      <c r="K97" s="264">
        <v>0.187</v>
      </c>
      <c r="L97" s="218"/>
      <c r="M97" s="264">
        <v>0.4</v>
      </c>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618"/>
      <c r="AM97" s="3"/>
    </row>
    <row r="98" spans="1:58" ht="14.25" customHeight="1" x14ac:dyDescent="0.45">
      <c r="A98" s="618"/>
      <c r="B98" s="215"/>
      <c r="C98" s="220"/>
      <c r="D98" s="243" t="s">
        <v>270</v>
      </c>
      <c r="E98" s="29"/>
      <c r="F98" s="29"/>
      <c r="G98" s="29"/>
      <c r="H98" s="29"/>
      <c r="I98" s="218"/>
      <c r="J98" s="218"/>
      <c r="K98" s="218"/>
      <c r="L98" s="264"/>
      <c r="M98" s="218"/>
      <c r="N98" s="264">
        <v>0.12</v>
      </c>
      <c r="O98" s="264">
        <v>0.32</v>
      </c>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618"/>
      <c r="AM98" s="3"/>
      <c r="AN98" s="3"/>
      <c r="AO98" s="3"/>
      <c r="AP98" s="3"/>
      <c r="AQ98" s="3"/>
      <c r="AR98" s="3"/>
      <c r="AS98" s="3"/>
      <c r="AT98" s="3"/>
      <c r="AU98" s="3"/>
      <c r="AV98" s="3"/>
      <c r="AW98" s="3"/>
      <c r="AX98" s="3"/>
      <c r="AY98" s="3"/>
      <c r="AZ98" s="3"/>
      <c r="BA98" s="3"/>
      <c r="BB98" s="3"/>
      <c r="BC98" s="3"/>
      <c r="BD98" s="3"/>
      <c r="BE98" s="3"/>
      <c r="BF98" s="3"/>
    </row>
    <row r="99" spans="1:58" ht="14.25" customHeight="1" x14ac:dyDescent="0.45">
      <c r="A99" s="618"/>
      <c r="B99" s="215"/>
      <c r="C99" s="220"/>
      <c r="D99" s="243" t="s">
        <v>271</v>
      </c>
      <c r="E99" s="29"/>
      <c r="F99" s="29"/>
      <c r="G99" s="29"/>
      <c r="H99" s="29"/>
      <c r="I99" s="218"/>
      <c r="J99" s="218"/>
      <c r="K99" s="264">
        <v>0.15</v>
      </c>
      <c r="L99" s="218"/>
      <c r="M99" s="218"/>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618"/>
      <c r="AM99" s="3"/>
      <c r="AN99" s="3"/>
      <c r="AO99" s="3"/>
      <c r="AP99" s="3"/>
      <c r="AQ99" s="3"/>
      <c r="AR99" s="3"/>
      <c r="AS99" s="3"/>
      <c r="AT99" s="3"/>
      <c r="AU99" s="3"/>
      <c r="AV99" s="3"/>
      <c r="AW99" s="3"/>
      <c r="AX99" s="3"/>
      <c r="AY99" s="3"/>
      <c r="AZ99" s="3"/>
      <c r="BA99" s="3"/>
      <c r="BB99" s="3"/>
      <c r="BC99" s="3"/>
      <c r="BD99" s="3"/>
      <c r="BE99" s="3"/>
      <c r="BF99" s="3"/>
    </row>
    <row r="100" spans="1:58" ht="14.25" customHeight="1" x14ac:dyDescent="0.45">
      <c r="A100" s="618"/>
      <c r="B100" s="215"/>
      <c r="C100" s="220"/>
      <c r="D100" s="243" t="s">
        <v>272</v>
      </c>
      <c r="E100" s="29"/>
      <c r="F100" s="29"/>
      <c r="G100" s="29"/>
      <c r="H100" s="29"/>
      <c r="I100" s="218"/>
      <c r="J100" s="218"/>
      <c r="K100" s="264">
        <v>0.2</v>
      </c>
      <c r="L100" s="218"/>
      <c r="M100" s="264">
        <v>0.13</v>
      </c>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618"/>
      <c r="AM100" s="3"/>
      <c r="AN100" s="3"/>
      <c r="AO100" s="3"/>
      <c r="AP100" s="3"/>
      <c r="AQ100" s="3"/>
      <c r="AR100" s="3"/>
      <c r="AS100" s="3"/>
      <c r="AT100" s="3"/>
      <c r="AU100" s="3"/>
      <c r="AV100" s="3"/>
      <c r="AW100" s="3"/>
      <c r="AX100" s="3"/>
      <c r="AY100" s="3"/>
      <c r="AZ100" s="3"/>
      <c r="BA100" s="3"/>
      <c r="BB100" s="3"/>
      <c r="BC100" s="3"/>
      <c r="BD100" s="3"/>
      <c r="BE100" s="3"/>
      <c r="BF100" s="3"/>
    </row>
    <row r="101" spans="1:58" ht="14.25" customHeight="1" x14ac:dyDescent="0.45">
      <c r="A101" s="618"/>
      <c r="B101" s="215"/>
      <c r="C101" s="220"/>
      <c r="D101" s="243" t="s">
        <v>273</v>
      </c>
      <c r="E101" s="218"/>
      <c r="F101" s="218"/>
      <c r="G101" s="218"/>
      <c r="H101" s="218"/>
      <c r="I101" s="218"/>
      <c r="J101" s="218"/>
      <c r="K101" s="264">
        <v>0.12</v>
      </c>
      <c r="L101" s="218"/>
      <c r="M101" s="264">
        <v>0.27</v>
      </c>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618"/>
      <c r="AM101" s="3"/>
      <c r="AN101" s="3"/>
      <c r="AO101" s="3"/>
      <c r="AP101" s="3"/>
      <c r="AQ101" s="3"/>
      <c r="AR101" s="3"/>
      <c r="AS101" s="3"/>
      <c r="AT101" s="3"/>
      <c r="AU101" s="3"/>
      <c r="AV101" s="3"/>
      <c r="AW101" s="3"/>
      <c r="AX101" s="3"/>
      <c r="AY101" s="3"/>
      <c r="AZ101" s="3"/>
      <c r="BA101" s="3"/>
      <c r="BB101" s="3"/>
      <c r="BC101" s="3"/>
      <c r="BD101" s="3"/>
      <c r="BE101" s="3"/>
      <c r="BF101" s="3"/>
    </row>
    <row r="102" spans="1:58" ht="14.25" customHeight="1" x14ac:dyDescent="0.45">
      <c r="A102" s="618"/>
      <c r="B102" s="215"/>
      <c r="C102" s="220"/>
      <c r="D102" s="243" t="s">
        <v>274</v>
      </c>
      <c r="E102" s="218"/>
      <c r="F102" s="218"/>
      <c r="G102" s="218"/>
      <c r="H102" s="218"/>
      <c r="I102" s="218"/>
      <c r="J102" s="218"/>
      <c r="K102" s="264">
        <v>0.03</v>
      </c>
      <c r="L102" s="218"/>
      <c r="M102" s="218"/>
      <c r="N102" s="264"/>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618"/>
      <c r="AM102" s="3"/>
      <c r="AN102" s="3"/>
      <c r="AO102" s="3"/>
      <c r="AP102" s="3"/>
      <c r="AQ102" s="3"/>
      <c r="AR102" s="3"/>
      <c r="AS102" s="3"/>
      <c r="AT102" s="3"/>
      <c r="AU102" s="3"/>
      <c r="AV102" s="3"/>
      <c r="AW102" s="3"/>
      <c r="AX102" s="3"/>
      <c r="AY102" s="3"/>
      <c r="AZ102" s="3"/>
      <c r="BA102" s="3"/>
      <c r="BB102" s="3"/>
      <c r="BC102" s="3"/>
      <c r="BD102" s="3"/>
      <c r="BE102" s="3"/>
      <c r="BF102" s="3"/>
    </row>
    <row r="103" spans="1:58" ht="14.25" customHeight="1" x14ac:dyDescent="0.45">
      <c r="A103" s="618"/>
      <c r="B103" s="215"/>
      <c r="C103" s="220"/>
      <c r="D103" s="221" t="s">
        <v>275</v>
      </c>
      <c r="E103" s="218">
        <f t="shared" ref="E103:R103" si="0">SUM(E74:E102)-E77-E84</f>
        <v>0</v>
      </c>
      <c r="F103" s="218">
        <f t="shared" si="0"/>
        <v>0</v>
      </c>
      <c r="G103" s="218">
        <f t="shared" si="0"/>
        <v>0</v>
      </c>
      <c r="H103" s="218">
        <f t="shared" si="0"/>
        <v>0</v>
      </c>
      <c r="I103" s="218">
        <f t="shared" si="0"/>
        <v>7.9000000000000001E-2</v>
      </c>
      <c r="J103" s="218">
        <f t="shared" si="0"/>
        <v>0.26440000000000002</v>
      </c>
      <c r="K103" s="218">
        <f t="shared" si="0"/>
        <v>1.0582</v>
      </c>
      <c r="L103" s="218">
        <f t="shared" si="0"/>
        <v>7.918E-2</v>
      </c>
      <c r="M103" s="218">
        <f t="shared" si="0"/>
        <v>0.8</v>
      </c>
      <c r="N103" s="218">
        <f t="shared" si="0"/>
        <v>0.22</v>
      </c>
      <c r="O103" s="218">
        <f t="shared" si="0"/>
        <v>0.56400000000000006</v>
      </c>
      <c r="P103" s="218">
        <f t="shared" si="0"/>
        <v>0</v>
      </c>
      <c r="Q103" s="218">
        <f t="shared" si="0"/>
        <v>0.59560000000000002</v>
      </c>
      <c r="R103" s="218">
        <f t="shared" si="0"/>
        <v>0</v>
      </c>
      <c r="S103" s="285"/>
      <c r="T103" s="285"/>
      <c r="U103" s="285"/>
      <c r="V103" s="285"/>
      <c r="W103" s="285"/>
      <c r="X103" s="285"/>
      <c r="Y103" s="285"/>
      <c r="Z103" s="285"/>
      <c r="AA103" s="285"/>
      <c r="AB103" s="285"/>
      <c r="AC103" s="285"/>
      <c r="AD103" s="285"/>
      <c r="AE103" s="285"/>
      <c r="AF103" s="285"/>
      <c r="AG103" s="285"/>
      <c r="AH103" s="285"/>
      <c r="AI103" s="285"/>
      <c r="AJ103" s="285"/>
      <c r="AK103" s="285"/>
      <c r="AL103" s="352"/>
    </row>
    <row r="104" spans="1:58" ht="14" customHeight="1" x14ac:dyDescent="0.45">
      <c r="A104" s="618"/>
      <c r="B104" s="215"/>
      <c r="C104" s="220"/>
      <c r="D104" s="353"/>
      <c r="E104" s="363"/>
      <c r="F104" s="363"/>
      <c r="G104" s="363"/>
      <c r="H104" s="220"/>
      <c r="I104" s="220"/>
      <c r="J104" s="220"/>
      <c r="K104" s="220"/>
      <c r="L104" s="220"/>
      <c r="M104" s="220"/>
      <c r="N104" s="220"/>
      <c r="O104" s="220"/>
      <c r="P104" s="220"/>
      <c r="Q104" s="220"/>
      <c r="R104" s="220"/>
      <c r="S104" s="220"/>
      <c r="T104" s="220"/>
      <c r="U104" s="220"/>
      <c r="V104" s="220"/>
      <c r="W104" s="220"/>
      <c r="X104" s="220"/>
      <c r="Y104" s="220"/>
      <c r="Z104" s="220"/>
      <c r="AA104" s="220"/>
      <c r="AB104" s="220"/>
      <c r="AC104" s="220"/>
      <c r="AD104" s="220"/>
      <c r="AE104" s="220"/>
      <c r="AF104" s="220"/>
      <c r="AG104" s="220"/>
      <c r="AH104" s="220"/>
      <c r="AI104" s="220"/>
      <c r="AJ104" s="220"/>
      <c r="AK104" s="220"/>
      <c r="AL104" s="352"/>
    </row>
    <row r="105" spans="1:58" ht="14.25" customHeight="1" x14ac:dyDescent="0.45">
      <c r="A105" s="618"/>
      <c r="B105" s="215"/>
      <c r="C105" s="220"/>
      <c r="D105" s="243" t="s">
        <v>463</v>
      </c>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85"/>
      <c r="AL105" s="352"/>
    </row>
    <row r="106" spans="1:58" ht="14.25" customHeight="1" x14ac:dyDescent="0.45">
      <c r="A106" s="618"/>
      <c r="B106" s="215"/>
      <c r="C106" s="220"/>
      <c r="D106" s="243" t="s">
        <v>220</v>
      </c>
      <c r="E106" s="302">
        <f t="shared" ref="E106:R106" si="1">E74+E102*0.5</f>
        <v>0</v>
      </c>
      <c r="F106" s="302">
        <f t="shared" si="1"/>
        <v>0</v>
      </c>
      <c r="G106" s="302">
        <f t="shared" si="1"/>
        <v>0</v>
      </c>
      <c r="H106" s="302">
        <f t="shared" si="1"/>
        <v>0</v>
      </c>
      <c r="I106" s="302">
        <f t="shared" si="1"/>
        <v>0</v>
      </c>
      <c r="J106" s="302">
        <f t="shared" si="1"/>
        <v>0</v>
      </c>
      <c r="K106" s="302">
        <f t="shared" si="1"/>
        <v>1.4999999999999999E-2</v>
      </c>
      <c r="L106" s="302">
        <f t="shared" si="1"/>
        <v>0</v>
      </c>
      <c r="M106" s="302">
        <f t="shared" si="1"/>
        <v>0</v>
      </c>
      <c r="N106" s="302">
        <f t="shared" si="1"/>
        <v>0.1</v>
      </c>
      <c r="O106" s="302">
        <f t="shared" si="1"/>
        <v>0</v>
      </c>
      <c r="P106" s="302">
        <f t="shared" si="1"/>
        <v>0</v>
      </c>
      <c r="Q106" s="302">
        <f t="shared" si="1"/>
        <v>0</v>
      </c>
      <c r="R106" s="302">
        <f t="shared" si="1"/>
        <v>0</v>
      </c>
      <c r="S106" s="302">
        <f t="shared" ref="S106:AK106" si="2">S74+S102*0.5</f>
        <v>0</v>
      </c>
      <c r="T106" s="302">
        <f t="shared" si="2"/>
        <v>0</v>
      </c>
      <c r="U106" s="302">
        <f t="shared" si="2"/>
        <v>0</v>
      </c>
      <c r="V106" s="302">
        <f t="shared" si="2"/>
        <v>0</v>
      </c>
      <c r="W106" s="302">
        <f t="shared" si="2"/>
        <v>0</v>
      </c>
      <c r="X106" s="302">
        <f t="shared" si="2"/>
        <v>0</v>
      </c>
      <c r="Y106" s="302">
        <f t="shared" si="2"/>
        <v>0</v>
      </c>
      <c r="Z106" s="302">
        <f t="shared" si="2"/>
        <v>0</v>
      </c>
      <c r="AA106" s="302">
        <f t="shared" si="2"/>
        <v>0</v>
      </c>
      <c r="AB106" s="302">
        <f t="shared" si="2"/>
        <v>0</v>
      </c>
      <c r="AC106" s="302">
        <f t="shared" si="2"/>
        <v>0</v>
      </c>
      <c r="AD106" s="302">
        <f t="shared" si="2"/>
        <v>0</v>
      </c>
      <c r="AE106" s="302">
        <f t="shared" si="2"/>
        <v>0</v>
      </c>
      <c r="AF106" s="302">
        <f t="shared" si="2"/>
        <v>0</v>
      </c>
      <c r="AG106" s="302">
        <f t="shared" si="2"/>
        <v>0</v>
      </c>
      <c r="AH106" s="302">
        <f t="shared" si="2"/>
        <v>0</v>
      </c>
      <c r="AI106" s="302">
        <f t="shared" si="2"/>
        <v>0</v>
      </c>
      <c r="AJ106" s="302">
        <f t="shared" si="2"/>
        <v>0</v>
      </c>
      <c r="AK106" s="302">
        <f t="shared" si="2"/>
        <v>0</v>
      </c>
      <c r="AL106" s="302">
        <f>AL74+AL102*0.5</f>
        <v>0</v>
      </c>
      <c r="AM106" s="302">
        <f t="shared" ref="AM106:AV106" si="3">AM74+AM102*0.5</f>
        <v>0</v>
      </c>
      <c r="AN106" s="302">
        <f t="shared" si="3"/>
        <v>0</v>
      </c>
      <c r="AO106" s="302">
        <f t="shared" si="3"/>
        <v>0</v>
      </c>
      <c r="AP106" s="302">
        <f t="shared" si="3"/>
        <v>0</v>
      </c>
      <c r="AQ106" s="302">
        <f t="shared" si="3"/>
        <v>0</v>
      </c>
      <c r="AR106" s="302">
        <f t="shared" si="3"/>
        <v>0</v>
      </c>
      <c r="AS106" s="302">
        <f t="shared" si="3"/>
        <v>0</v>
      </c>
      <c r="AT106" s="302">
        <f t="shared" si="3"/>
        <v>0</v>
      </c>
      <c r="AU106" s="302">
        <f t="shared" si="3"/>
        <v>0</v>
      </c>
      <c r="AV106" s="302">
        <f t="shared" si="3"/>
        <v>0</v>
      </c>
      <c r="AW106" s="302">
        <f>AW74+AW102*0.5</f>
        <v>0</v>
      </c>
      <c r="AX106" s="302">
        <f t="shared" ref="AX106:BB106" si="4">AX74+AX102*0.5</f>
        <v>0</v>
      </c>
      <c r="AY106" s="302">
        <f t="shared" si="4"/>
        <v>0</v>
      </c>
      <c r="AZ106" s="302">
        <f t="shared" si="4"/>
        <v>0</v>
      </c>
      <c r="BA106" s="302">
        <f t="shared" si="4"/>
        <v>0</v>
      </c>
      <c r="BB106" s="302">
        <f t="shared" si="4"/>
        <v>0</v>
      </c>
      <c r="BC106" s="302">
        <f>BC74+BC102*0.5</f>
        <v>0</v>
      </c>
      <c r="BD106" s="302">
        <f t="shared" ref="BD106:BE106" si="5">BD74+BD102*0.5</f>
        <v>0</v>
      </c>
      <c r="BE106" s="302">
        <f t="shared" si="5"/>
        <v>0</v>
      </c>
    </row>
    <row r="107" spans="1:58" ht="14.25" customHeight="1" x14ac:dyDescent="0.45">
      <c r="A107" s="618"/>
      <c r="B107" s="215"/>
      <c r="C107" s="220"/>
      <c r="D107" s="514" t="s">
        <v>255</v>
      </c>
      <c r="E107" s="218">
        <f t="shared" ref="E107:R107" si="6">E93+E100+E98*0.5</f>
        <v>0</v>
      </c>
      <c r="F107" s="218">
        <f t="shared" si="6"/>
        <v>0</v>
      </c>
      <c r="G107" s="218">
        <f t="shared" si="6"/>
        <v>0</v>
      </c>
      <c r="H107" s="218">
        <f t="shared" si="6"/>
        <v>0</v>
      </c>
      <c r="I107" s="218">
        <f t="shared" si="6"/>
        <v>0</v>
      </c>
      <c r="J107" s="218">
        <f t="shared" si="6"/>
        <v>0.05</v>
      </c>
      <c r="K107" s="218">
        <f t="shared" si="6"/>
        <v>0.31</v>
      </c>
      <c r="L107" s="218">
        <f t="shared" si="6"/>
        <v>0</v>
      </c>
      <c r="M107" s="218">
        <f t="shared" si="6"/>
        <v>0.13</v>
      </c>
      <c r="N107" s="218">
        <f t="shared" si="6"/>
        <v>0.06</v>
      </c>
      <c r="O107" s="218">
        <f t="shared" si="6"/>
        <v>0.16</v>
      </c>
      <c r="P107" s="218">
        <f t="shared" si="6"/>
        <v>0</v>
      </c>
      <c r="Q107" s="218">
        <f t="shared" si="6"/>
        <v>0</v>
      </c>
      <c r="R107" s="218">
        <f t="shared" si="6"/>
        <v>0</v>
      </c>
      <c r="S107" s="218">
        <f t="shared" ref="S107:AK107" si="7">S93+S100+S98*0.5</f>
        <v>0</v>
      </c>
      <c r="T107" s="218">
        <f t="shared" si="7"/>
        <v>0</v>
      </c>
      <c r="U107" s="218">
        <f t="shared" si="7"/>
        <v>0</v>
      </c>
      <c r="V107" s="218">
        <f t="shared" si="7"/>
        <v>0</v>
      </c>
      <c r="W107" s="218">
        <f t="shared" si="7"/>
        <v>0</v>
      </c>
      <c r="X107" s="218">
        <f t="shared" si="7"/>
        <v>0</v>
      </c>
      <c r="Y107" s="218">
        <f t="shared" si="7"/>
        <v>0</v>
      </c>
      <c r="Z107" s="218">
        <f t="shared" si="7"/>
        <v>0</v>
      </c>
      <c r="AA107" s="218">
        <f t="shared" si="7"/>
        <v>0</v>
      </c>
      <c r="AB107" s="218">
        <f t="shared" si="7"/>
        <v>0</v>
      </c>
      <c r="AC107" s="218">
        <f t="shared" si="7"/>
        <v>0</v>
      </c>
      <c r="AD107" s="218">
        <f t="shared" si="7"/>
        <v>0</v>
      </c>
      <c r="AE107" s="218">
        <f t="shared" si="7"/>
        <v>0</v>
      </c>
      <c r="AF107" s="218">
        <f t="shared" si="7"/>
        <v>0</v>
      </c>
      <c r="AG107" s="218">
        <f t="shared" si="7"/>
        <v>0</v>
      </c>
      <c r="AH107" s="218">
        <f t="shared" si="7"/>
        <v>0</v>
      </c>
      <c r="AI107" s="218">
        <f t="shared" si="7"/>
        <v>0</v>
      </c>
      <c r="AJ107" s="218">
        <f t="shared" si="7"/>
        <v>0</v>
      </c>
      <c r="AK107" s="218">
        <f t="shared" si="7"/>
        <v>0</v>
      </c>
      <c r="AL107" s="218">
        <f>AL93+AL100+AL98*0.5</f>
        <v>0</v>
      </c>
      <c r="AM107" s="218">
        <f t="shared" ref="AM107:AV107" si="8">AM93+AM100+AM98*0.5</f>
        <v>0</v>
      </c>
      <c r="AN107" s="218">
        <f t="shared" si="8"/>
        <v>0</v>
      </c>
      <c r="AO107" s="218">
        <f t="shared" si="8"/>
        <v>0</v>
      </c>
      <c r="AP107" s="218">
        <f t="shared" si="8"/>
        <v>0</v>
      </c>
      <c r="AQ107" s="218">
        <f t="shared" si="8"/>
        <v>0</v>
      </c>
      <c r="AR107" s="218">
        <f t="shared" si="8"/>
        <v>0</v>
      </c>
      <c r="AS107" s="218">
        <f t="shared" si="8"/>
        <v>0</v>
      </c>
      <c r="AT107" s="218">
        <f t="shared" si="8"/>
        <v>0</v>
      </c>
      <c r="AU107" s="218">
        <f t="shared" si="8"/>
        <v>0</v>
      </c>
      <c r="AV107" s="218">
        <f t="shared" si="8"/>
        <v>0</v>
      </c>
      <c r="AW107" s="218">
        <f>AW93+AW100+AW98*0.5</f>
        <v>0</v>
      </c>
      <c r="AX107" s="218">
        <f t="shared" ref="AX107:BB107" si="9">AX93+AX100+AX98*0.5</f>
        <v>0</v>
      </c>
      <c r="AY107" s="218">
        <f t="shared" si="9"/>
        <v>0</v>
      </c>
      <c r="AZ107" s="218">
        <f t="shared" si="9"/>
        <v>0</v>
      </c>
      <c r="BA107" s="218">
        <f t="shared" si="9"/>
        <v>0</v>
      </c>
      <c r="BB107" s="218">
        <f t="shared" si="9"/>
        <v>0</v>
      </c>
      <c r="BC107" s="218">
        <f>BC93+BC100+BC98*0.5</f>
        <v>0</v>
      </c>
      <c r="BD107" s="218">
        <f t="shared" ref="BD107:BE107" si="10">BD93+BD100+BD98*0.5</f>
        <v>0</v>
      </c>
      <c r="BE107" s="218">
        <f t="shared" si="10"/>
        <v>0</v>
      </c>
    </row>
    <row r="108" spans="1:58" ht="14.25" customHeight="1" x14ac:dyDescent="0.45">
      <c r="A108" s="618"/>
      <c r="B108" s="215"/>
      <c r="C108" s="220"/>
      <c r="D108" s="243" t="s">
        <v>199</v>
      </c>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85"/>
      <c r="AL108" s="285"/>
      <c r="AM108" s="285"/>
      <c r="AN108" s="285"/>
      <c r="AO108" s="285"/>
      <c r="AP108" s="285"/>
      <c r="AQ108" s="285"/>
      <c r="AR108" s="285"/>
      <c r="AS108" s="285"/>
      <c r="AT108" s="285"/>
      <c r="AU108" s="285"/>
      <c r="AV108" s="285"/>
      <c r="AW108" s="285"/>
      <c r="AX108" s="285"/>
      <c r="AY108" s="285"/>
      <c r="AZ108" s="285"/>
      <c r="BA108" s="285"/>
      <c r="BB108" s="285"/>
      <c r="BC108" s="285"/>
      <c r="BD108" s="285"/>
      <c r="BE108" s="285"/>
    </row>
    <row r="109" spans="1:58" ht="14.25" customHeight="1" x14ac:dyDescent="0.45">
      <c r="A109" s="618"/>
      <c r="B109" s="215"/>
      <c r="C109" s="220"/>
      <c r="D109" s="221" t="s">
        <v>201</v>
      </c>
      <c r="E109" s="218">
        <f t="shared" ref="E109:R109" si="11">E78</f>
        <v>0</v>
      </c>
      <c r="F109" s="218">
        <f t="shared" si="11"/>
        <v>0</v>
      </c>
      <c r="G109" s="218">
        <f t="shared" si="11"/>
        <v>0</v>
      </c>
      <c r="H109" s="218">
        <f t="shared" si="11"/>
        <v>0</v>
      </c>
      <c r="I109" s="218">
        <f t="shared" si="11"/>
        <v>4.9000000000000002E-2</v>
      </c>
      <c r="J109" s="218">
        <f t="shared" si="11"/>
        <v>0</v>
      </c>
      <c r="K109" s="218">
        <f t="shared" si="11"/>
        <v>0</v>
      </c>
      <c r="L109" s="218">
        <f t="shared" si="11"/>
        <v>0</v>
      </c>
      <c r="M109" s="218">
        <f t="shared" si="11"/>
        <v>0</v>
      </c>
      <c r="N109" s="218">
        <f t="shared" si="11"/>
        <v>0</v>
      </c>
      <c r="O109" s="218">
        <f t="shared" si="11"/>
        <v>0</v>
      </c>
      <c r="P109" s="218">
        <f t="shared" si="11"/>
        <v>0</v>
      </c>
      <c r="Q109" s="218">
        <f t="shared" si="11"/>
        <v>0</v>
      </c>
      <c r="R109" s="218">
        <f t="shared" si="11"/>
        <v>0</v>
      </c>
      <c r="S109" s="218">
        <f t="shared" ref="S109:AK109" si="12">S78</f>
        <v>0</v>
      </c>
      <c r="T109" s="218">
        <f t="shared" si="12"/>
        <v>0</v>
      </c>
      <c r="U109" s="218">
        <f t="shared" si="12"/>
        <v>0</v>
      </c>
      <c r="V109" s="218">
        <f t="shared" si="12"/>
        <v>0</v>
      </c>
      <c r="W109" s="218">
        <f t="shared" si="12"/>
        <v>0</v>
      </c>
      <c r="X109" s="218">
        <f t="shared" si="12"/>
        <v>0</v>
      </c>
      <c r="Y109" s="218">
        <f t="shared" si="12"/>
        <v>0</v>
      </c>
      <c r="Z109" s="218">
        <f t="shared" si="12"/>
        <v>0</v>
      </c>
      <c r="AA109" s="218">
        <f t="shared" si="12"/>
        <v>0</v>
      </c>
      <c r="AB109" s="218">
        <f t="shared" si="12"/>
        <v>0</v>
      </c>
      <c r="AC109" s="218">
        <f t="shared" si="12"/>
        <v>0</v>
      </c>
      <c r="AD109" s="218">
        <f t="shared" si="12"/>
        <v>0</v>
      </c>
      <c r="AE109" s="218">
        <f t="shared" si="12"/>
        <v>0</v>
      </c>
      <c r="AF109" s="218">
        <f t="shared" si="12"/>
        <v>0</v>
      </c>
      <c r="AG109" s="218">
        <f t="shared" si="12"/>
        <v>0</v>
      </c>
      <c r="AH109" s="218">
        <f t="shared" si="12"/>
        <v>0</v>
      </c>
      <c r="AI109" s="218">
        <f t="shared" si="12"/>
        <v>0</v>
      </c>
      <c r="AJ109" s="218">
        <f t="shared" si="12"/>
        <v>0</v>
      </c>
      <c r="AK109" s="218">
        <f t="shared" si="12"/>
        <v>0</v>
      </c>
      <c r="AL109" s="218">
        <f>AL78</f>
        <v>0</v>
      </c>
      <c r="AM109" s="218">
        <f t="shared" ref="AM109:AV109" si="13">AM78</f>
        <v>0</v>
      </c>
      <c r="AN109" s="218">
        <f t="shared" si="13"/>
        <v>0</v>
      </c>
      <c r="AO109" s="218">
        <f t="shared" si="13"/>
        <v>0</v>
      </c>
      <c r="AP109" s="218">
        <f t="shared" si="13"/>
        <v>0</v>
      </c>
      <c r="AQ109" s="218">
        <f t="shared" si="13"/>
        <v>0</v>
      </c>
      <c r="AR109" s="218">
        <f t="shared" si="13"/>
        <v>0</v>
      </c>
      <c r="AS109" s="218">
        <f t="shared" si="13"/>
        <v>0</v>
      </c>
      <c r="AT109" s="218">
        <f t="shared" si="13"/>
        <v>0</v>
      </c>
      <c r="AU109" s="218">
        <f t="shared" si="13"/>
        <v>0</v>
      </c>
      <c r="AV109" s="218">
        <f t="shared" si="13"/>
        <v>0</v>
      </c>
      <c r="AW109" s="218">
        <f>AW78</f>
        <v>0</v>
      </c>
      <c r="AX109" s="218">
        <f t="shared" ref="AX109:BB109" si="14">AX78</f>
        <v>0</v>
      </c>
      <c r="AY109" s="218">
        <f t="shared" si="14"/>
        <v>0</v>
      </c>
      <c r="AZ109" s="218">
        <f t="shared" si="14"/>
        <v>0</v>
      </c>
      <c r="BA109" s="218">
        <f t="shared" si="14"/>
        <v>0</v>
      </c>
      <c r="BB109" s="218">
        <f t="shared" si="14"/>
        <v>0</v>
      </c>
      <c r="BC109" s="218">
        <f>BC78</f>
        <v>0</v>
      </c>
      <c r="BD109" s="218">
        <f t="shared" ref="BD109:BE109" si="15">BD78</f>
        <v>0</v>
      </c>
      <c r="BE109" s="218">
        <f t="shared" si="15"/>
        <v>0</v>
      </c>
    </row>
    <row r="110" spans="1:58" ht="14" customHeight="1" x14ac:dyDescent="0.45">
      <c r="A110" s="618"/>
      <c r="B110" s="215"/>
      <c r="C110" s="220"/>
      <c r="D110" s="221" t="s">
        <v>203</v>
      </c>
      <c r="E110" s="218">
        <f t="shared" ref="E110:R110" si="16">E79+0.5*E99</f>
        <v>0</v>
      </c>
      <c r="F110" s="218">
        <f t="shared" si="16"/>
        <v>0</v>
      </c>
      <c r="G110" s="218">
        <f t="shared" si="16"/>
        <v>0</v>
      </c>
      <c r="H110" s="218">
        <f t="shared" si="16"/>
        <v>0</v>
      </c>
      <c r="I110" s="218">
        <f t="shared" si="16"/>
        <v>0</v>
      </c>
      <c r="J110" s="218">
        <f t="shared" si="16"/>
        <v>0.2054</v>
      </c>
      <c r="K110" s="218">
        <f t="shared" si="16"/>
        <v>7.4999999999999997E-2</v>
      </c>
      <c r="L110" s="218">
        <f t="shared" si="16"/>
        <v>0</v>
      </c>
      <c r="M110" s="218">
        <f t="shared" si="16"/>
        <v>0</v>
      </c>
      <c r="N110" s="218">
        <f t="shared" si="16"/>
        <v>0</v>
      </c>
      <c r="O110" s="218">
        <f t="shared" si="16"/>
        <v>0</v>
      </c>
      <c r="P110" s="218">
        <f t="shared" si="16"/>
        <v>0</v>
      </c>
      <c r="Q110" s="218">
        <f t="shared" si="16"/>
        <v>0</v>
      </c>
      <c r="R110" s="218">
        <f t="shared" si="16"/>
        <v>0</v>
      </c>
      <c r="S110" s="218">
        <f t="shared" ref="S110:AK110" si="17">S79+0.5*S99</f>
        <v>0</v>
      </c>
      <c r="T110" s="218">
        <f t="shared" si="17"/>
        <v>0</v>
      </c>
      <c r="U110" s="218">
        <f t="shared" si="17"/>
        <v>0</v>
      </c>
      <c r="V110" s="218">
        <f t="shared" si="17"/>
        <v>0</v>
      </c>
      <c r="W110" s="218">
        <f t="shared" si="17"/>
        <v>0</v>
      </c>
      <c r="X110" s="218">
        <f t="shared" si="17"/>
        <v>0</v>
      </c>
      <c r="Y110" s="218">
        <f t="shared" si="17"/>
        <v>0</v>
      </c>
      <c r="Z110" s="218">
        <f t="shared" si="17"/>
        <v>0</v>
      </c>
      <c r="AA110" s="218">
        <f t="shared" si="17"/>
        <v>0</v>
      </c>
      <c r="AB110" s="218">
        <f t="shared" si="17"/>
        <v>0</v>
      </c>
      <c r="AC110" s="218">
        <f t="shared" si="17"/>
        <v>0</v>
      </c>
      <c r="AD110" s="218">
        <f t="shared" si="17"/>
        <v>0</v>
      </c>
      <c r="AE110" s="218">
        <f t="shared" si="17"/>
        <v>0</v>
      </c>
      <c r="AF110" s="218">
        <f t="shared" si="17"/>
        <v>0</v>
      </c>
      <c r="AG110" s="218">
        <f t="shared" si="17"/>
        <v>0</v>
      </c>
      <c r="AH110" s="218">
        <f t="shared" si="17"/>
        <v>0</v>
      </c>
      <c r="AI110" s="218">
        <f t="shared" si="17"/>
        <v>0</v>
      </c>
      <c r="AJ110" s="218">
        <f t="shared" si="17"/>
        <v>0</v>
      </c>
      <c r="AK110" s="218">
        <f t="shared" si="17"/>
        <v>0</v>
      </c>
      <c r="AL110" s="218">
        <f>AL79+0.5*AL99</f>
        <v>0</v>
      </c>
      <c r="AM110" s="218">
        <f t="shared" ref="AM110:AV110" si="18">AM79+0.5*AM99</f>
        <v>0</v>
      </c>
      <c r="AN110" s="218">
        <f t="shared" si="18"/>
        <v>0</v>
      </c>
      <c r="AO110" s="218">
        <f t="shared" si="18"/>
        <v>0</v>
      </c>
      <c r="AP110" s="218">
        <f t="shared" si="18"/>
        <v>0</v>
      </c>
      <c r="AQ110" s="218">
        <f t="shared" si="18"/>
        <v>0</v>
      </c>
      <c r="AR110" s="218">
        <f t="shared" si="18"/>
        <v>0</v>
      </c>
      <c r="AS110" s="218">
        <f t="shared" si="18"/>
        <v>0</v>
      </c>
      <c r="AT110" s="218">
        <f t="shared" si="18"/>
        <v>0</v>
      </c>
      <c r="AU110" s="218">
        <f t="shared" si="18"/>
        <v>0</v>
      </c>
      <c r="AV110" s="218">
        <f t="shared" si="18"/>
        <v>0</v>
      </c>
      <c r="AW110" s="218">
        <f>AW79+0.5*AW99</f>
        <v>0</v>
      </c>
      <c r="AX110" s="218">
        <f t="shared" ref="AX110:BB110" si="19">AX79+0.5*AX99</f>
        <v>0</v>
      </c>
      <c r="AY110" s="218">
        <f t="shared" si="19"/>
        <v>0</v>
      </c>
      <c r="AZ110" s="218">
        <f t="shared" si="19"/>
        <v>0</v>
      </c>
      <c r="BA110" s="218">
        <f t="shared" si="19"/>
        <v>0</v>
      </c>
      <c r="BB110" s="218">
        <f t="shared" si="19"/>
        <v>0</v>
      </c>
      <c r="BC110" s="218">
        <f>BC79+0.5*BC99</f>
        <v>0</v>
      </c>
      <c r="BD110" s="218">
        <f t="shared" ref="BD110:BE110" si="20">BD79+0.5*BD99</f>
        <v>0</v>
      </c>
      <c r="BE110" s="218">
        <f t="shared" si="20"/>
        <v>0</v>
      </c>
    </row>
    <row r="111" spans="1:58" ht="14" customHeight="1" x14ac:dyDescent="0.45">
      <c r="A111" s="618"/>
      <c r="B111" s="215"/>
      <c r="C111" s="220"/>
      <c r="D111" s="221" t="s">
        <v>205</v>
      </c>
      <c r="E111" s="218">
        <f t="shared" ref="E111:R111" si="21">E80</f>
        <v>0</v>
      </c>
      <c r="F111" s="218">
        <f t="shared" si="21"/>
        <v>0</v>
      </c>
      <c r="G111" s="218">
        <f t="shared" si="21"/>
        <v>0</v>
      </c>
      <c r="H111" s="218">
        <f t="shared" si="21"/>
        <v>0</v>
      </c>
      <c r="I111" s="218">
        <f t="shared" si="21"/>
        <v>0</v>
      </c>
      <c r="J111" s="218">
        <f t="shared" si="21"/>
        <v>0</v>
      </c>
      <c r="K111" s="218">
        <f t="shared" si="21"/>
        <v>0</v>
      </c>
      <c r="L111" s="218">
        <f t="shared" si="21"/>
        <v>0</v>
      </c>
      <c r="M111" s="218">
        <f t="shared" si="21"/>
        <v>0</v>
      </c>
      <c r="N111" s="218">
        <f t="shared" si="21"/>
        <v>0</v>
      </c>
      <c r="O111" s="218">
        <f t="shared" si="21"/>
        <v>0</v>
      </c>
      <c r="P111" s="218">
        <f t="shared" si="21"/>
        <v>0</v>
      </c>
      <c r="Q111" s="218">
        <f t="shared" si="21"/>
        <v>0</v>
      </c>
      <c r="R111" s="218">
        <f t="shared" si="21"/>
        <v>0</v>
      </c>
      <c r="S111" s="218">
        <f t="shared" ref="S111:AK111" si="22">S80</f>
        <v>0</v>
      </c>
      <c r="T111" s="218">
        <f t="shared" si="22"/>
        <v>0</v>
      </c>
      <c r="U111" s="218">
        <f t="shared" si="22"/>
        <v>0</v>
      </c>
      <c r="V111" s="218">
        <f t="shared" si="22"/>
        <v>0</v>
      </c>
      <c r="W111" s="218">
        <f t="shared" si="22"/>
        <v>0</v>
      </c>
      <c r="X111" s="218">
        <f t="shared" si="22"/>
        <v>0</v>
      </c>
      <c r="Y111" s="218">
        <f t="shared" si="22"/>
        <v>0</v>
      </c>
      <c r="Z111" s="218">
        <f t="shared" si="22"/>
        <v>0</v>
      </c>
      <c r="AA111" s="218">
        <f t="shared" si="22"/>
        <v>0</v>
      </c>
      <c r="AB111" s="218">
        <f t="shared" si="22"/>
        <v>0</v>
      </c>
      <c r="AC111" s="218">
        <f t="shared" si="22"/>
        <v>0</v>
      </c>
      <c r="AD111" s="218">
        <f t="shared" si="22"/>
        <v>0</v>
      </c>
      <c r="AE111" s="218">
        <f t="shared" si="22"/>
        <v>0</v>
      </c>
      <c r="AF111" s="218">
        <f t="shared" si="22"/>
        <v>0</v>
      </c>
      <c r="AG111" s="218">
        <f t="shared" si="22"/>
        <v>0</v>
      </c>
      <c r="AH111" s="218">
        <f t="shared" si="22"/>
        <v>0</v>
      </c>
      <c r="AI111" s="218">
        <f t="shared" si="22"/>
        <v>0</v>
      </c>
      <c r="AJ111" s="218">
        <f t="shared" si="22"/>
        <v>0</v>
      </c>
      <c r="AK111" s="218">
        <f t="shared" si="22"/>
        <v>0</v>
      </c>
      <c r="AL111" s="218">
        <f>AL80</f>
        <v>0</v>
      </c>
      <c r="AM111" s="218">
        <f t="shared" ref="AM111:AV111" si="23">AM80</f>
        <v>0</v>
      </c>
      <c r="AN111" s="218">
        <f t="shared" si="23"/>
        <v>0</v>
      </c>
      <c r="AO111" s="218">
        <f t="shared" si="23"/>
        <v>0</v>
      </c>
      <c r="AP111" s="218">
        <f t="shared" si="23"/>
        <v>0</v>
      </c>
      <c r="AQ111" s="218">
        <f t="shared" si="23"/>
        <v>0</v>
      </c>
      <c r="AR111" s="218">
        <f t="shared" si="23"/>
        <v>0</v>
      </c>
      <c r="AS111" s="218">
        <f t="shared" si="23"/>
        <v>0</v>
      </c>
      <c r="AT111" s="218">
        <f t="shared" si="23"/>
        <v>0</v>
      </c>
      <c r="AU111" s="218">
        <f t="shared" si="23"/>
        <v>0</v>
      </c>
      <c r="AV111" s="218">
        <f t="shared" si="23"/>
        <v>0</v>
      </c>
      <c r="AW111" s="218">
        <f>AW80</f>
        <v>0</v>
      </c>
      <c r="AX111" s="218">
        <f t="shared" ref="AX111:BB111" si="24">AX80</f>
        <v>0</v>
      </c>
      <c r="AY111" s="218">
        <f t="shared" si="24"/>
        <v>0</v>
      </c>
      <c r="AZ111" s="218">
        <f t="shared" si="24"/>
        <v>0</v>
      </c>
      <c r="BA111" s="218">
        <f t="shared" si="24"/>
        <v>0</v>
      </c>
      <c r="BB111" s="218">
        <f t="shared" si="24"/>
        <v>0</v>
      </c>
      <c r="BC111" s="218">
        <f>BC80</f>
        <v>0</v>
      </c>
      <c r="BD111" s="218">
        <f t="shared" ref="BD111:BE111" si="25">BD80</f>
        <v>0</v>
      </c>
      <c r="BE111" s="218">
        <f t="shared" si="25"/>
        <v>0</v>
      </c>
    </row>
    <row r="112" spans="1:58" ht="14.25" customHeight="1" x14ac:dyDescent="0.45">
      <c r="A112" s="618"/>
      <c r="B112" s="215"/>
      <c r="C112" s="220"/>
      <c r="D112" s="221" t="s">
        <v>207</v>
      </c>
      <c r="E112" s="218">
        <f t="shared" ref="E112:R112" si="26">E81</f>
        <v>0</v>
      </c>
      <c r="F112" s="218">
        <f t="shared" si="26"/>
        <v>0</v>
      </c>
      <c r="G112" s="218">
        <f t="shared" si="26"/>
        <v>0</v>
      </c>
      <c r="H112" s="218">
        <f t="shared" si="26"/>
        <v>0</v>
      </c>
      <c r="I112" s="218">
        <f t="shared" si="26"/>
        <v>0</v>
      </c>
      <c r="J112" s="218">
        <f t="shared" si="26"/>
        <v>0</v>
      </c>
      <c r="K112" s="218">
        <f t="shared" si="26"/>
        <v>7.1999999999999998E-3</v>
      </c>
      <c r="L112" s="218">
        <f t="shared" si="26"/>
        <v>1.46E-2</v>
      </c>
      <c r="M112" s="218">
        <f t="shared" si="26"/>
        <v>0</v>
      </c>
      <c r="N112" s="218">
        <f t="shared" si="26"/>
        <v>0</v>
      </c>
      <c r="O112" s="218">
        <f t="shared" si="26"/>
        <v>0</v>
      </c>
      <c r="P112" s="218">
        <f t="shared" si="26"/>
        <v>0</v>
      </c>
      <c r="Q112" s="218">
        <f t="shared" si="26"/>
        <v>0</v>
      </c>
      <c r="R112" s="218">
        <f t="shared" si="26"/>
        <v>0</v>
      </c>
      <c r="S112" s="218">
        <f t="shared" ref="S112:AK112" si="27">S81</f>
        <v>0</v>
      </c>
      <c r="T112" s="218">
        <f t="shared" si="27"/>
        <v>0</v>
      </c>
      <c r="U112" s="218">
        <f t="shared" si="27"/>
        <v>0</v>
      </c>
      <c r="V112" s="218">
        <f t="shared" si="27"/>
        <v>0</v>
      </c>
      <c r="W112" s="218">
        <f t="shared" si="27"/>
        <v>0</v>
      </c>
      <c r="X112" s="218">
        <f t="shared" si="27"/>
        <v>0</v>
      </c>
      <c r="Y112" s="218">
        <f t="shared" si="27"/>
        <v>0</v>
      </c>
      <c r="Z112" s="218">
        <f t="shared" si="27"/>
        <v>0</v>
      </c>
      <c r="AA112" s="218">
        <f t="shared" si="27"/>
        <v>0</v>
      </c>
      <c r="AB112" s="218">
        <f t="shared" si="27"/>
        <v>0</v>
      </c>
      <c r="AC112" s="218">
        <f t="shared" si="27"/>
        <v>0</v>
      </c>
      <c r="AD112" s="218">
        <f t="shared" si="27"/>
        <v>0</v>
      </c>
      <c r="AE112" s="218">
        <f t="shared" si="27"/>
        <v>0</v>
      </c>
      <c r="AF112" s="218">
        <f t="shared" si="27"/>
        <v>0</v>
      </c>
      <c r="AG112" s="218">
        <f t="shared" si="27"/>
        <v>0</v>
      </c>
      <c r="AH112" s="218">
        <f t="shared" si="27"/>
        <v>0</v>
      </c>
      <c r="AI112" s="218">
        <f t="shared" si="27"/>
        <v>0</v>
      </c>
      <c r="AJ112" s="218">
        <f t="shared" si="27"/>
        <v>0</v>
      </c>
      <c r="AK112" s="218">
        <f t="shared" si="27"/>
        <v>0</v>
      </c>
      <c r="AL112" s="218">
        <f>AL81</f>
        <v>0</v>
      </c>
      <c r="AM112" s="218">
        <f t="shared" ref="AM112:AV112" si="28">AM81</f>
        <v>0</v>
      </c>
      <c r="AN112" s="218">
        <f t="shared" si="28"/>
        <v>0</v>
      </c>
      <c r="AO112" s="218">
        <f t="shared" si="28"/>
        <v>0</v>
      </c>
      <c r="AP112" s="218">
        <f t="shared" si="28"/>
        <v>0</v>
      </c>
      <c r="AQ112" s="218">
        <f t="shared" si="28"/>
        <v>0</v>
      </c>
      <c r="AR112" s="218">
        <f t="shared" si="28"/>
        <v>0</v>
      </c>
      <c r="AS112" s="218">
        <f t="shared" si="28"/>
        <v>0</v>
      </c>
      <c r="AT112" s="218">
        <f t="shared" si="28"/>
        <v>0</v>
      </c>
      <c r="AU112" s="218">
        <f t="shared" si="28"/>
        <v>0</v>
      </c>
      <c r="AV112" s="218">
        <f t="shared" si="28"/>
        <v>0</v>
      </c>
      <c r="AW112" s="218">
        <f>AW81</f>
        <v>0</v>
      </c>
      <c r="AX112" s="218">
        <f t="shared" ref="AX112:BB112" si="29">AX81</f>
        <v>0</v>
      </c>
      <c r="AY112" s="218">
        <f t="shared" si="29"/>
        <v>0</v>
      </c>
      <c r="AZ112" s="218">
        <f t="shared" si="29"/>
        <v>0</v>
      </c>
      <c r="BA112" s="218">
        <f t="shared" si="29"/>
        <v>0</v>
      </c>
      <c r="BB112" s="218">
        <f t="shared" si="29"/>
        <v>0</v>
      </c>
      <c r="BC112" s="218">
        <f>BC81</f>
        <v>0</v>
      </c>
      <c r="BD112" s="218">
        <f t="shared" ref="BD112:BE112" si="30">BD81</f>
        <v>0</v>
      </c>
      <c r="BE112" s="218">
        <f t="shared" si="30"/>
        <v>0</v>
      </c>
    </row>
    <row r="113" spans="1:57" ht="14" customHeight="1" x14ac:dyDescent="0.45">
      <c r="A113" s="618"/>
      <c r="B113" s="215"/>
      <c r="C113" s="220"/>
      <c r="D113" s="221" t="s">
        <v>209</v>
      </c>
      <c r="E113" s="218">
        <f t="shared" ref="E113:R113" si="31">E82</f>
        <v>0</v>
      </c>
      <c r="F113" s="218">
        <f t="shared" si="31"/>
        <v>0</v>
      </c>
      <c r="G113" s="218">
        <f t="shared" si="31"/>
        <v>0</v>
      </c>
      <c r="H113" s="218">
        <f t="shared" si="31"/>
        <v>0</v>
      </c>
      <c r="I113" s="218">
        <f t="shared" si="31"/>
        <v>0</v>
      </c>
      <c r="J113" s="218">
        <f t="shared" si="31"/>
        <v>0</v>
      </c>
      <c r="K113" s="218">
        <f t="shared" si="31"/>
        <v>0</v>
      </c>
      <c r="L113" s="218">
        <f t="shared" si="31"/>
        <v>0</v>
      </c>
      <c r="M113" s="218">
        <f t="shared" si="31"/>
        <v>0</v>
      </c>
      <c r="N113" s="218">
        <f t="shared" si="31"/>
        <v>0</v>
      </c>
      <c r="O113" s="218">
        <f t="shared" si="31"/>
        <v>0</v>
      </c>
      <c r="P113" s="218">
        <f t="shared" si="31"/>
        <v>0</v>
      </c>
      <c r="Q113" s="218">
        <f t="shared" si="31"/>
        <v>0</v>
      </c>
      <c r="R113" s="218">
        <f t="shared" si="31"/>
        <v>0</v>
      </c>
      <c r="S113" s="218">
        <f t="shared" ref="S113:AK113" si="32">S82</f>
        <v>0</v>
      </c>
      <c r="T113" s="218">
        <f t="shared" si="32"/>
        <v>0</v>
      </c>
      <c r="U113" s="218">
        <f t="shared" si="32"/>
        <v>0</v>
      </c>
      <c r="V113" s="218">
        <f t="shared" si="32"/>
        <v>0</v>
      </c>
      <c r="W113" s="218">
        <f t="shared" si="32"/>
        <v>0</v>
      </c>
      <c r="X113" s="218">
        <f t="shared" si="32"/>
        <v>0</v>
      </c>
      <c r="Y113" s="218">
        <f t="shared" si="32"/>
        <v>0</v>
      </c>
      <c r="Z113" s="218">
        <f t="shared" si="32"/>
        <v>0</v>
      </c>
      <c r="AA113" s="218">
        <f t="shared" si="32"/>
        <v>0</v>
      </c>
      <c r="AB113" s="218">
        <f t="shared" si="32"/>
        <v>0</v>
      </c>
      <c r="AC113" s="218">
        <f t="shared" si="32"/>
        <v>0</v>
      </c>
      <c r="AD113" s="218">
        <f t="shared" si="32"/>
        <v>0</v>
      </c>
      <c r="AE113" s="218">
        <f t="shared" si="32"/>
        <v>0</v>
      </c>
      <c r="AF113" s="218">
        <f t="shared" si="32"/>
        <v>0</v>
      </c>
      <c r="AG113" s="218">
        <f t="shared" si="32"/>
        <v>0</v>
      </c>
      <c r="AH113" s="218">
        <f t="shared" si="32"/>
        <v>0</v>
      </c>
      <c r="AI113" s="218">
        <f t="shared" si="32"/>
        <v>0</v>
      </c>
      <c r="AJ113" s="218">
        <f t="shared" si="32"/>
        <v>0</v>
      </c>
      <c r="AK113" s="218">
        <f t="shared" si="32"/>
        <v>0</v>
      </c>
      <c r="AL113" s="218">
        <f>AL82</f>
        <v>0</v>
      </c>
      <c r="AM113" s="218">
        <f t="shared" ref="AM113:AV113" si="33">AM82</f>
        <v>0</v>
      </c>
      <c r="AN113" s="218">
        <f t="shared" si="33"/>
        <v>0</v>
      </c>
      <c r="AO113" s="218">
        <f t="shared" si="33"/>
        <v>0</v>
      </c>
      <c r="AP113" s="218">
        <f t="shared" si="33"/>
        <v>0</v>
      </c>
      <c r="AQ113" s="218">
        <f t="shared" si="33"/>
        <v>0</v>
      </c>
      <c r="AR113" s="218">
        <f t="shared" si="33"/>
        <v>0</v>
      </c>
      <c r="AS113" s="218">
        <f t="shared" si="33"/>
        <v>0</v>
      </c>
      <c r="AT113" s="218">
        <f t="shared" si="33"/>
        <v>0</v>
      </c>
      <c r="AU113" s="218">
        <f t="shared" si="33"/>
        <v>0</v>
      </c>
      <c r="AV113" s="218">
        <f t="shared" si="33"/>
        <v>0</v>
      </c>
      <c r="AW113" s="218">
        <f>AW82</f>
        <v>0</v>
      </c>
      <c r="AX113" s="218">
        <f t="shared" ref="AX113:BB113" si="34">AX82</f>
        <v>0</v>
      </c>
      <c r="AY113" s="218">
        <f t="shared" si="34"/>
        <v>0</v>
      </c>
      <c r="AZ113" s="218">
        <f t="shared" si="34"/>
        <v>0</v>
      </c>
      <c r="BA113" s="218">
        <f t="shared" si="34"/>
        <v>0</v>
      </c>
      <c r="BB113" s="218">
        <f t="shared" si="34"/>
        <v>0</v>
      </c>
      <c r="BC113" s="218">
        <f>BC82</f>
        <v>0</v>
      </c>
      <c r="BD113" s="218">
        <f t="shared" ref="BD113:BE113" si="35">BD82</f>
        <v>0</v>
      </c>
      <c r="BE113" s="218">
        <f t="shared" si="35"/>
        <v>0</v>
      </c>
    </row>
    <row r="114" spans="1:57" ht="14.25" customHeight="1" x14ac:dyDescent="0.45">
      <c r="A114" s="618"/>
      <c r="B114" s="215"/>
      <c r="C114" s="220"/>
      <c r="D114" s="520" t="s">
        <v>211</v>
      </c>
      <c r="E114" s="218">
        <f t="shared" ref="E114:R114" si="36">E83</f>
        <v>0</v>
      </c>
      <c r="F114" s="218">
        <f t="shared" si="36"/>
        <v>0</v>
      </c>
      <c r="G114" s="218">
        <f t="shared" si="36"/>
        <v>0</v>
      </c>
      <c r="H114" s="218">
        <f t="shared" si="36"/>
        <v>0</v>
      </c>
      <c r="I114" s="218">
        <f t="shared" si="36"/>
        <v>0</v>
      </c>
      <c r="J114" s="218">
        <f t="shared" si="36"/>
        <v>0</v>
      </c>
      <c r="K114" s="218">
        <f t="shared" si="36"/>
        <v>0</v>
      </c>
      <c r="L114" s="218">
        <f t="shared" si="36"/>
        <v>0</v>
      </c>
      <c r="M114" s="218">
        <f t="shared" si="36"/>
        <v>0</v>
      </c>
      <c r="N114" s="218">
        <f t="shared" si="36"/>
        <v>0</v>
      </c>
      <c r="O114" s="218">
        <f t="shared" si="36"/>
        <v>0</v>
      </c>
      <c r="P114" s="218">
        <f t="shared" si="36"/>
        <v>0</v>
      </c>
      <c r="Q114" s="218">
        <f t="shared" si="36"/>
        <v>0.59560000000000002</v>
      </c>
      <c r="R114" s="218">
        <f t="shared" si="36"/>
        <v>0</v>
      </c>
      <c r="S114" s="218">
        <f t="shared" ref="S114:AK114" si="37">S83</f>
        <v>2.4</v>
      </c>
      <c r="T114" s="218">
        <f t="shared" si="37"/>
        <v>0</v>
      </c>
      <c r="U114" s="218">
        <f t="shared" si="37"/>
        <v>0</v>
      </c>
      <c r="V114" s="218">
        <f t="shared" si="37"/>
        <v>0</v>
      </c>
      <c r="W114" s="218">
        <f t="shared" si="37"/>
        <v>0</v>
      </c>
      <c r="X114" s="218">
        <f t="shared" si="37"/>
        <v>0</v>
      </c>
      <c r="Y114" s="218">
        <f t="shared" si="37"/>
        <v>0</v>
      </c>
      <c r="Z114" s="218">
        <f t="shared" si="37"/>
        <v>0</v>
      </c>
      <c r="AA114" s="218">
        <f t="shared" si="37"/>
        <v>0</v>
      </c>
      <c r="AB114" s="218">
        <f t="shared" si="37"/>
        <v>0</v>
      </c>
      <c r="AC114" s="218">
        <f t="shared" si="37"/>
        <v>0</v>
      </c>
      <c r="AD114" s="218">
        <f t="shared" si="37"/>
        <v>0</v>
      </c>
      <c r="AE114" s="218">
        <f t="shared" si="37"/>
        <v>0</v>
      </c>
      <c r="AF114" s="218">
        <f t="shared" si="37"/>
        <v>0</v>
      </c>
      <c r="AG114" s="218">
        <f t="shared" si="37"/>
        <v>0</v>
      </c>
      <c r="AH114" s="218">
        <f t="shared" si="37"/>
        <v>0</v>
      </c>
      <c r="AI114" s="218">
        <f t="shared" si="37"/>
        <v>0</v>
      </c>
      <c r="AJ114" s="218">
        <f t="shared" si="37"/>
        <v>0</v>
      </c>
      <c r="AK114" s="218">
        <f t="shared" si="37"/>
        <v>0</v>
      </c>
      <c r="AL114" s="218">
        <f>AL83</f>
        <v>0</v>
      </c>
      <c r="AM114" s="218">
        <f t="shared" ref="AM114:AV114" si="38">AM83</f>
        <v>0</v>
      </c>
      <c r="AN114" s="218">
        <f t="shared" si="38"/>
        <v>0</v>
      </c>
      <c r="AO114" s="218">
        <f t="shared" si="38"/>
        <v>0</v>
      </c>
      <c r="AP114" s="218">
        <f t="shared" si="38"/>
        <v>0</v>
      </c>
      <c r="AQ114" s="218">
        <f t="shared" si="38"/>
        <v>0</v>
      </c>
      <c r="AR114" s="218">
        <f t="shared" si="38"/>
        <v>0</v>
      </c>
      <c r="AS114" s="218">
        <f t="shared" si="38"/>
        <v>0</v>
      </c>
      <c r="AT114" s="218">
        <f t="shared" si="38"/>
        <v>0</v>
      </c>
      <c r="AU114" s="218">
        <f t="shared" si="38"/>
        <v>0</v>
      </c>
      <c r="AV114" s="218">
        <f t="shared" si="38"/>
        <v>0</v>
      </c>
      <c r="AW114" s="218">
        <f>AW83</f>
        <v>0</v>
      </c>
      <c r="AX114" s="218">
        <f t="shared" ref="AX114:BB114" si="39">AX83</f>
        <v>0</v>
      </c>
      <c r="AY114" s="218">
        <f t="shared" si="39"/>
        <v>0</v>
      </c>
      <c r="AZ114" s="218">
        <f t="shared" si="39"/>
        <v>0</v>
      </c>
      <c r="BA114" s="218">
        <f t="shared" si="39"/>
        <v>0</v>
      </c>
      <c r="BB114" s="218">
        <f t="shared" si="39"/>
        <v>0</v>
      </c>
      <c r="BC114" s="218">
        <f>BC83</f>
        <v>0</v>
      </c>
      <c r="BD114" s="218">
        <f t="shared" ref="BD114:BE114" si="40">BD83</f>
        <v>0</v>
      </c>
      <c r="BE114" s="218">
        <f t="shared" si="40"/>
        <v>0</v>
      </c>
    </row>
    <row r="115" spans="1:57" ht="14.25" customHeight="1" x14ac:dyDescent="0.45">
      <c r="A115" s="618"/>
      <c r="B115" s="215"/>
      <c r="C115" s="220"/>
      <c r="D115" s="243" t="s">
        <v>212</v>
      </c>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285"/>
      <c r="AL115" s="285"/>
      <c r="AM115" s="285"/>
      <c r="AN115" s="285"/>
      <c r="AO115" s="285"/>
      <c r="AP115" s="285"/>
      <c r="AQ115" s="285"/>
      <c r="AR115" s="285"/>
      <c r="AS115" s="285"/>
      <c r="AT115" s="285"/>
      <c r="AU115" s="285"/>
      <c r="AV115" s="285"/>
      <c r="AW115" s="285"/>
      <c r="AX115" s="285"/>
      <c r="AY115" s="285"/>
      <c r="AZ115" s="285"/>
      <c r="BA115" s="285"/>
      <c r="BB115" s="285"/>
      <c r="BC115" s="285"/>
      <c r="BD115" s="285"/>
      <c r="BE115" s="285"/>
    </row>
    <row r="116" spans="1:57" ht="14.25" customHeight="1" x14ac:dyDescent="0.45">
      <c r="A116" s="618"/>
      <c r="B116" s="215"/>
      <c r="C116" s="220"/>
      <c r="D116" s="221" t="s">
        <v>201</v>
      </c>
      <c r="E116" s="218">
        <f t="shared" ref="E116:L116" si="41">E85</f>
        <v>0</v>
      </c>
      <c r="F116" s="218">
        <f t="shared" si="41"/>
        <v>0</v>
      </c>
      <c r="G116" s="218">
        <f t="shared" si="41"/>
        <v>0</v>
      </c>
      <c r="H116" s="218">
        <f t="shared" si="41"/>
        <v>0</v>
      </c>
      <c r="I116" s="218">
        <f t="shared" si="41"/>
        <v>0</v>
      </c>
      <c r="J116" s="218">
        <f t="shared" si="41"/>
        <v>8.9999999999999993E-3</v>
      </c>
      <c r="K116" s="218">
        <f t="shared" si="41"/>
        <v>0.05</v>
      </c>
      <c r="L116" s="218">
        <f t="shared" si="41"/>
        <v>0</v>
      </c>
      <c r="M116" s="218">
        <v>0</v>
      </c>
      <c r="N116" s="218">
        <f>N85</f>
        <v>0</v>
      </c>
      <c r="O116" s="218">
        <f>O85</f>
        <v>0</v>
      </c>
      <c r="P116" s="218">
        <f>P85</f>
        <v>0</v>
      </c>
      <c r="Q116" s="218">
        <f>Q85</f>
        <v>0</v>
      </c>
      <c r="R116" s="218">
        <f>R85</f>
        <v>0</v>
      </c>
      <c r="S116" s="218">
        <f t="shared" ref="S116:AK116" si="42">S85</f>
        <v>0</v>
      </c>
      <c r="T116" s="218">
        <f t="shared" si="42"/>
        <v>0</v>
      </c>
      <c r="U116" s="218">
        <f t="shared" si="42"/>
        <v>0</v>
      </c>
      <c r="V116" s="218">
        <f t="shared" si="42"/>
        <v>0</v>
      </c>
      <c r="W116" s="218">
        <f t="shared" si="42"/>
        <v>0</v>
      </c>
      <c r="X116" s="218">
        <f t="shared" si="42"/>
        <v>0</v>
      </c>
      <c r="Y116" s="218">
        <f t="shared" si="42"/>
        <v>0</v>
      </c>
      <c r="Z116" s="218">
        <f t="shared" si="42"/>
        <v>0</v>
      </c>
      <c r="AA116" s="218">
        <f t="shared" si="42"/>
        <v>0</v>
      </c>
      <c r="AB116" s="218">
        <f t="shared" si="42"/>
        <v>0</v>
      </c>
      <c r="AC116" s="218">
        <f t="shared" si="42"/>
        <v>0</v>
      </c>
      <c r="AD116" s="218">
        <f t="shared" si="42"/>
        <v>0</v>
      </c>
      <c r="AE116" s="218">
        <f t="shared" si="42"/>
        <v>0</v>
      </c>
      <c r="AF116" s="218">
        <f t="shared" si="42"/>
        <v>0</v>
      </c>
      <c r="AG116" s="218">
        <f t="shared" si="42"/>
        <v>0</v>
      </c>
      <c r="AH116" s="218">
        <f t="shared" si="42"/>
        <v>0</v>
      </c>
      <c r="AI116" s="218">
        <f t="shared" si="42"/>
        <v>0</v>
      </c>
      <c r="AJ116" s="218">
        <f t="shared" si="42"/>
        <v>0</v>
      </c>
      <c r="AK116" s="218">
        <f t="shared" si="42"/>
        <v>0</v>
      </c>
      <c r="AL116" s="218">
        <f>AL85</f>
        <v>0</v>
      </c>
      <c r="AM116" s="218">
        <f t="shared" ref="AM116:AV116" si="43">AM85</f>
        <v>0</v>
      </c>
      <c r="AN116" s="218">
        <f t="shared" si="43"/>
        <v>0</v>
      </c>
      <c r="AO116" s="218">
        <f t="shared" si="43"/>
        <v>0</v>
      </c>
      <c r="AP116" s="218">
        <f t="shared" si="43"/>
        <v>0</v>
      </c>
      <c r="AQ116" s="218">
        <f t="shared" si="43"/>
        <v>0</v>
      </c>
      <c r="AR116" s="218">
        <f t="shared" si="43"/>
        <v>0</v>
      </c>
      <c r="AS116" s="218">
        <f t="shared" si="43"/>
        <v>0</v>
      </c>
      <c r="AT116" s="218">
        <f t="shared" si="43"/>
        <v>0</v>
      </c>
      <c r="AU116" s="218">
        <f t="shared" si="43"/>
        <v>0</v>
      </c>
      <c r="AV116" s="218">
        <f t="shared" si="43"/>
        <v>0</v>
      </c>
      <c r="AW116" s="218">
        <f>AW85</f>
        <v>0</v>
      </c>
      <c r="AX116" s="218">
        <f t="shared" ref="AX116:BB116" si="44">AX85</f>
        <v>0</v>
      </c>
      <c r="AY116" s="218">
        <f t="shared" si="44"/>
        <v>0</v>
      </c>
      <c r="AZ116" s="218">
        <f t="shared" si="44"/>
        <v>0</v>
      </c>
      <c r="BA116" s="218">
        <f t="shared" si="44"/>
        <v>0</v>
      </c>
      <c r="BB116" s="218">
        <f t="shared" si="44"/>
        <v>0</v>
      </c>
      <c r="BC116" s="218">
        <f>BC85</f>
        <v>0</v>
      </c>
      <c r="BD116" s="218">
        <f t="shared" ref="BD116:BE116" si="45">BD85</f>
        <v>0</v>
      </c>
      <c r="BE116" s="218">
        <f t="shared" si="45"/>
        <v>0</v>
      </c>
    </row>
    <row r="117" spans="1:57" ht="14.25" customHeight="1" x14ac:dyDescent="0.45">
      <c r="A117" s="618"/>
      <c r="B117" s="215"/>
      <c r="C117" s="220"/>
      <c r="D117" s="221" t="s">
        <v>203</v>
      </c>
      <c r="E117" s="218">
        <f t="shared" ref="E117:R117" si="46">E86+0.5*E99</f>
        <v>0</v>
      </c>
      <c r="F117" s="218">
        <f t="shared" si="46"/>
        <v>0</v>
      </c>
      <c r="G117" s="218">
        <f t="shared" si="46"/>
        <v>0</v>
      </c>
      <c r="H117" s="218">
        <f t="shared" si="46"/>
        <v>0</v>
      </c>
      <c r="I117" s="218">
        <f t="shared" si="46"/>
        <v>0</v>
      </c>
      <c r="J117" s="218">
        <f t="shared" si="46"/>
        <v>0</v>
      </c>
      <c r="K117" s="218">
        <f t="shared" si="46"/>
        <v>7.4999999999999997E-2</v>
      </c>
      <c r="L117" s="218">
        <f t="shared" si="46"/>
        <v>0</v>
      </c>
      <c r="M117" s="218">
        <f t="shared" si="46"/>
        <v>0</v>
      </c>
      <c r="N117" s="218">
        <f t="shared" si="46"/>
        <v>0</v>
      </c>
      <c r="O117" s="218">
        <f t="shared" si="46"/>
        <v>0.19400000000000001</v>
      </c>
      <c r="P117" s="218">
        <f t="shared" si="46"/>
        <v>0</v>
      </c>
      <c r="Q117" s="218">
        <f t="shared" si="46"/>
        <v>0</v>
      </c>
      <c r="R117" s="218">
        <f t="shared" si="46"/>
        <v>0</v>
      </c>
      <c r="S117" s="218">
        <f t="shared" ref="S117:AK117" si="47">S86+0.5*S99</f>
        <v>0</v>
      </c>
      <c r="T117" s="218">
        <f t="shared" si="47"/>
        <v>0</v>
      </c>
      <c r="U117" s="218">
        <f t="shared" si="47"/>
        <v>0</v>
      </c>
      <c r="V117" s="218">
        <f t="shared" si="47"/>
        <v>0</v>
      </c>
      <c r="W117" s="218">
        <f t="shared" si="47"/>
        <v>0</v>
      </c>
      <c r="X117" s="218">
        <f t="shared" si="47"/>
        <v>0</v>
      </c>
      <c r="Y117" s="218">
        <f t="shared" si="47"/>
        <v>0</v>
      </c>
      <c r="Z117" s="218">
        <f t="shared" si="47"/>
        <v>0</v>
      </c>
      <c r="AA117" s="218">
        <f t="shared" si="47"/>
        <v>0</v>
      </c>
      <c r="AB117" s="218">
        <f t="shared" si="47"/>
        <v>0</v>
      </c>
      <c r="AC117" s="218">
        <f t="shared" si="47"/>
        <v>0</v>
      </c>
      <c r="AD117" s="218">
        <f t="shared" si="47"/>
        <v>0</v>
      </c>
      <c r="AE117" s="218">
        <f t="shared" si="47"/>
        <v>0</v>
      </c>
      <c r="AF117" s="218">
        <f t="shared" si="47"/>
        <v>0</v>
      </c>
      <c r="AG117" s="218">
        <f t="shared" si="47"/>
        <v>0</v>
      </c>
      <c r="AH117" s="218">
        <f t="shared" si="47"/>
        <v>0</v>
      </c>
      <c r="AI117" s="218">
        <f t="shared" si="47"/>
        <v>0</v>
      </c>
      <c r="AJ117" s="218">
        <f t="shared" si="47"/>
        <v>0</v>
      </c>
      <c r="AK117" s="218">
        <f t="shared" si="47"/>
        <v>0</v>
      </c>
      <c r="AL117" s="218">
        <f>AL86+0.5*AL99</f>
        <v>0</v>
      </c>
      <c r="AM117" s="218">
        <f t="shared" ref="AM117:AV117" si="48">AM86+0.5*AM99</f>
        <v>0</v>
      </c>
      <c r="AN117" s="218">
        <f t="shared" si="48"/>
        <v>0</v>
      </c>
      <c r="AO117" s="218">
        <f t="shared" si="48"/>
        <v>0</v>
      </c>
      <c r="AP117" s="218">
        <f t="shared" si="48"/>
        <v>0</v>
      </c>
      <c r="AQ117" s="218">
        <f t="shared" si="48"/>
        <v>0</v>
      </c>
      <c r="AR117" s="218">
        <f t="shared" si="48"/>
        <v>0</v>
      </c>
      <c r="AS117" s="218">
        <f t="shared" si="48"/>
        <v>0</v>
      </c>
      <c r="AT117" s="218">
        <f t="shared" si="48"/>
        <v>0</v>
      </c>
      <c r="AU117" s="218">
        <f t="shared" si="48"/>
        <v>0</v>
      </c>
      <c r="AV117" s="218">
        <f t="shared" si="48"/>
        <v>0</v>
      </c>
      <c r="AW117" s="218">
        <f>AW86+0.5*AW99</f>
        <v>0</v>
      </c>
      <c r="AX117" s="218">
        <f t="shared" ref="AX117:BB117" si="49">AX86+0.5*AX99</f>
        <v>0</v>
      </c>
      <c r="AY117" s="218">
        <f t="shared" si="49"/>
        <v>0</v>
      </c>
      <c r="AZ117" s="218">
        <f t="shared" si="49"/>
        <v>0</v>
      </c>
      <c r="BA117" s="218">
        <f t="shared" si="49"/>
        <v>0</v>
      </c>
      <c r="BB117" s="218">
        <f t="shared" si="49"/>
        <v>0</v>
      </c>
      <c r="BC117" s="218">
        <f>BC86+0.5*BC99</f>
        <v>0</v>
      </c>
      <c r="BD117" s="218">
        <f t="shared" ref="BD117:BE117" si="50">BD86+0.5*BD99</f>
        <v>0</v>
      </c>
      <c r="BE117" s="218">
        <f t="shared" si="50"/>
        <v>0</v>
      </c>
    </row>
    <row r="118" spans="1:57" ht="14.25" customHeight="1" x14ac:dyDescent="0.45">
      <c r="A118" s="618"/>
      <c r="B118" s="215"/>
      <c r="C118" s="220"/>
      <c r="D118" s="221" t="s">
        <v>205</v>
      </c>
      <c r="E118" s="218">
        <f t="shared" ref="E118:R118" si="51">E87</f>
        <v>0</v>
      </c>
      <c r="F118" s="218">
        <f t="shared" si="51"/>
        <v>0</v>
      </c>
      <c r="G118" s="218">
        <f t="shared" si="51"/>
        <v>0</v>
      </c>
      <c r="H118" s="218">
        <f t="shared" si="51"/>
        <v>0</v>
      </c>
      <c r="I118" s="218">
        <f t="shared" si="51"/>
        <v>0</v>
      </c>
      <c r="J118" s="218">
        <f t="shared" si="51"/>
        <v>0</v>
      </c>
      <c r="K118" s="218">
        <f t="shared" si="51"/>
        <v>0</v>
      </c>
      <c r="L118" s="218">
        <f t="shared" si="51"/>
        <v>0</v>
      </c>
      <c r="M118" s="218">
        <f t="shared" si="51"/>
        <v>0</v>
      </c>
      <c r="N118" s="218">
        <f t="shared" si="51"/>
        <v>0</v>
      </c>
      <c r="O118" s="218">
        <f t="shared" si="51"/>
        <v>0</v>
      </c>
      <c r="P118" s="218">
        <f t="shared" si="51"/>
        <v>0</v>
      </c>
      <c r="Q118" s="218">
        <f t="shared" si="51"/>
        <v>0</v>
      </c>
      <c r="R118" s="218">
        <f t="shared" si="51"/>
        <v>0</v>
      </c>
      <c r="S118" s="218">
        <f t="shared" ref="S118:AK118" si="52">S87</f>
        <v>0</v>
      </c>
      <c r="T118" s="218">
        <f t="shared" si="52"/>
        <v>0</v>
      </c>
      <c r="U118" s="218">
        <f t="shared" si="52"/>
        <v>0</v>
      </c>
      <c r="V118" s="218">
        <f t="shared" si="52"/>
        <v>0</v>
      </c>
      <c r="W118" s="218">
        <f t="shared" si="52"/>
        <v>0</v>
      </c>
      <c r="X118" s="218">
        <f t="shared" si="52"/>
        <v>0</v>
      </c>
      <c r="Y118" s="218">
        <f t="shared" si="52"/>
        <v>0</v>
      </c>
      <c r="Z118" s="218">
        <f t="shared" si="52"/>
        <v>0</v>
      </c>
      <c r="AA118" s="218">
        <f t="shared" si="52"/>
        <v>0</v>
      </c>
      <c r="AB118" s="218">
        <f t="shared" si="52"/>
        <v>0</v>
      </c>
      <c r="AC118" s="218">
        <f t="shared" si="52"/>
        <v>0</v>
      </c>
      <c r="AD118" s="218">
        <f t="shared" si="52"/>
        <v>0</v>
      </c>
      <c r="AE118" s="218">
        <f t="shared" si="52"/>
        <v>0</v>
      </c>
      <c r="AF118" s="218">
        <f t="shared" si="52"/>
        <v>0</v>
      </c>
      <c r="AG118" s="218">
        <f t="shared" si="52"/>
        <v>0</v>
      </c>
      <c r="AH118" s="218">
        <f t="shared" si="52"/>
        <v>0</v>
      </c>
      <c r="AI118" s="218">
        <f t="shared" si="52"/>
        <v>0</v>
      </c>
      <c r="AJ118" s="218">
        <f t="shared" si="52"/>
        <v>0</v>
      </c>
      <c r="AK118" s="218">
        <f t="shared" si="52"/>
        <v>0</v>
      </c>
      <c r="AL118" s="218">
        <f>AL87</f>
        <v>0</v>
      </c>
      <c r="AM118" s="218">
        <f t="shared" ref="AM118:AV118" si="53">AM87</f>
        <v>0</v>
      </c>
      <c r="AN118" s="218">
        <f t="shared" si="53"/>
        <v>0</v>
      </c>
      <c r="AO118" s="218">
        <f t="shared" si="53"/>
        <v>0</v>
      </c>
      <c r="AP118" s="218">
        <f t="shared" si="53"/>
        <v>0</v>
      </c>
      <c r="AQ118" s="218">
        <f t="shared" si="53"/>
        <v>0</v>
      </c>
      <c r="AR118" s="218">
        <f t="shared" si="53"/>
        <v>0</v>
      </c>
      <c r="AS118" s="218">
        <f t="shared" si="53"/>
        <v>0</v>
      </c>
      <c r="AT118" s="218">
        <f t="shared" si="53"/>
        <v>0</v>
      </c>
      <c r="AU118" s="218">
        <f t="shared" si="53"/>
        <v>0</v>
      </c>
      <c r="AV118" s="218">
        <f t="shared" si="53"/>
        <v>0</v>
      </c>
      <c r="AW118" s="218">
        <f>AW87</f>
        <v>0</v>
      </c>
      <c r="AX118" s="218">
        <f t="shared" ref="AX118:BB118" si="54">AX87</f>
        <v>0</v>
      </c>
      <c r="AY118" s="218">
        <f t="shared" si="54"/>
        <v>0</v>
      </c>
      <c r="AZ118" s="218">
        <f t="shared" si="54"/>
        <v>0</v>
      </c>
      <c r="BA118" s="218">
        <f t="shared" si="54"/>
        <v>0</v>
      </c>
      <c r="BB118" s="218">
        <f t="shared" si="54"/>
        <v>0</v>
      </c>
      <c r="BC118" s="218">
        <f>BC87</f>
        <v>0</v>
      </c>
      <c r="BD118" s="218">
        <f t="shared" ref="BD118:BE118" si="55">BD87</f>
        <v>0</v>
      </c>
      <c r="BE118" s="218">
        <f t="shared" si="55"/>
        <v>0</v>
      </c>
    </row>
    <row r="119" spans="1:57" ht="14.25" customHeight="1" x14ac:dyDescent="0.45">
      <c r="A119" s="618"/>
      <c r="B119" s="215"/>
      <c r="C119" s="220"/>
      <c r="D119" s="221" t="s">
        <v>207</v>
      </c>
      <c r="E119" s="218">
        <f t="shared" ref="E119:R119" si="56">E88</f>
        <v>0</v>
      </c>
      <c r="F119" s="218">
        <f t="shared" si="56"/>
        <v>0</v>
      </c>
      <c r="G119" s="218">
        <f t="shared" si="56"/>
        <v>0</v>
      </c>
      <c r="H119" s="218">
        <f t="shared" si="56"/>
        <v>0</v>
      </c>
      <c r="I119" s="218">
        <f t="shared" si="56"/>
        <v>0.03</v>
      </c>
      <c r="J119" s="218">
        <f t="shared" si="56"/>
        <v>0</v>
      </c>
      <c r="K119" s="218">
        <f t="shared" si="56"/>
        <v>4.0000000000000001E-3</v>
      </c>
      <c r="L119" s="218">
        <f t="shared" si="56"/>
        <v>1.4579999999999999E-2</v>
      </c>
      <c r="M119" s="218">
        <f t="shared" si="56"/>
        <v>0</v>
      </c>
      <c r="N119" s="218">
        <f t="shared" si="56"/>
        <v>0</v>
      </c>
      <c r="O119" s="218">
        <f t="shared" si="56"/>
        <v>0</v>
      </c>
      <c r="P119" s="218">
        <f t="shared" si="56"/>
        <v>0</v>
      </c>
      <c r="Q119" s="218">
        <f t="shared" si="56"/>
        <v>0</v>
      </c>
      <c r="R119" s="218">
        <f t="shared" si="56"/>
        <v>0</v>
      </c>
      <c r="S119" s="218">
        <f t="shared" ref="S119:AK119" si="57">S88</f>
        <v>0</v>
      </c>
      <c r="T119" s="218">
        <f t="shared" si="57"/>
        <v>0</v>
      </c>
      <c r="U119" s="218">
        <f t="shared" si="57"/>
        <v>0</v>
      </c>
      <c r="V119" s="218">
        <f t="shared" si="57"/>
        <v>0</v>
      </c>
      <c r="W119" s="218">
        <f t="shared" si="57"/>
        <v>0</v>
      </c>
      <c r="X119" s="218">
        <f t="shared" si="57"/>
        <v>0</v>
      </c>
      <c r="Y119" s="218">
        <f t="shared" si="57"/>
        <v>0</v>
      </c>
      <c r="Z119" s="218">
        <f t="shared" si="57"/>
        <v>0</v>
      </c>
      <c r="AA119" s="218">
        <f t="shared" si="57"/>
        <v>0</v>
      </c>
      <c r="AB119" s="218">
        <f t="shared" si="57"/>
        <v>0</v>
      </c>
      <c r="AC119" s="218">
        <f t="shared" si="57"/>
        <v>0</v>
      </c>
      <c r="AD119" s="218">
        <f t="shared" si="57"/>
        <v>0</v>
      </c>
      <c r="AE119" s="218">
        <f t="shared" si="57"/>
        <v>0</v>
      </c>
      <c r="AF119" s="218">
        <f t="shared" si="57"/>
        <v>0</v>
      </c>
      <c r="AG119" s="218">
        <f t="shared" si="57"/>
        <v>0</v>
      </c>
      <c r="AH119" s="218">
        <f t="shared" si="57"/>
        <v>0</v>
      </c>
      <c r="AI119" s="218">
        <f t="shared" si="57"/>
        <v>0</v>
      </c>
      <c r="AJ119" s="218">
        <f t="shared" si="57"/>
        <v>0</v>
      </c>
      <c r="AK119" s="218">
        <f t="shared" si="57"/>
        <v>0</v>
      </c>
      <c r="AL119" s="218">
        <f>AL88</f>
        <v>0</v>
      </c>
      <c r="AM119" s="218">
        <f t="shared" ref="AM119:AV119" si="58">AM88</f>
        <v>0</v>
      </c>
      <c r="AN119" s="218">
        <f t="shared" si="58"/>
        <v>0</v>
      </c>
      <c r="AO119" s="218">
        <f t="shared" si="58"/>
        <v>0</v>
      </c>
      <c r="AP119" s="218">
        <f t="shared" si="58"/>
        <v>0</v>
      </c>
      <c r="AQ119" s="218">
        <f t="shared" si="58"/>
        <v>0</v>
      </c>
      <c r="AR119" s="218">
        <f t="shared" si="58"/>
        <v>0</v>
      </c>
      <c r="AS119" s="218">
        <f t="shared" si="58"/>
        <v>0</v>
      </c>
      <c r="AT119" s="218">
        <f t="shared" si="58"/>
        <v>0</v>
      </c>
      <c r="AU119" s="218">
        <f t="shared" si="58"/>
        <v>0</v>
      </c>
      <c r="AV119" s="218">
        <f t="shared" si="58"/>
        <v>0</v>
      </c>
      <c r="AW119" s="218">
        <f>AW88</f>
        <v>0</v>
      </c>
      <c r="AX119" s="218">
        <f t="shared" ref="AX119:BB119" si="59">AX88</f>
        <v>0</v>
      </c>
      <c r="AY119" s="218">
        <f t="shared" si="59"/>
        <v>0</v>
      </c>
      <c r="AZ119" s="218">
        <f t="shared" si="59"/>
        <v>0</v>
      </c>
      <c r="BA119" s="218">
        <f t="shared" si="59"/>
        <v>0</v>
      </c>
      <c r="BB119" s="218">
        <f t="shared" si="59"/>
        <v>0</v>
      </c>
      <c r="BC119" s="218">
        <f>BC88</f>
        <v>0</v>
      </c>
      <c r="BD119" s="218">
        <f t="shared" ref="BD119:BE119" si="60">BD88</f>
        <v>0</v>
      </c>
      <c r="BE119" s="218">
        <f t="shared" si="60"/>
        <v>0</v>
      </c>
    </row>
    <row r="120" spans="1:57" ht="14.25" customHeight="1" x14ac:dyDescent="0.45">
      <c r="A120" s="618"/>
      <c r="B120" s="215"/>
      <c r="C120" s="220"/>
      <c r="D120" s="221" t="s">
        <v>209</v>
      </c>
      <c r="E120" s="218">
        <f t="shared" ref="E120:R120" si="61">E89</f>
        <v>0</v>
      </c>
      <c r="F120" s="218">
        <f t="shared" si="61"/>
        <v>0</v>
      </c>
      <c r="G120" s="218">
        <f t="shared" si="61"/>
        <v>0</v>
      </c>
      <c r="H120" s="218">
        <f t="shared" si="61"/>
        <v>0</v>
      </c>
      <c r="I120" s="218">
        <f t="shared" si="61"/>
        <v>0</v>
      </c>
      <c r="J120" s="218">
        <f t="shared" si="61"/>
        <v>0</v>
      </c>
      <c r="K120" s="218">
        <f t="shared" si="61"/>
        <v>0</v>
      </c>
      <c r="L120" s="218">
        <f t="shared" si="61"/>
        <v>0.05</v>
      </c>
      <c r="M120" s="218">
        <f t="shared" si="61"/>
        <v>0</v>
      </c>
      <c r="N120" s="218">
        <f t="shared" si="61"/>
        <v>0</v>
      </c>
      <c r="O120" s="218">
        <f t="shared" si="61"/>
        <v>0</v>
      </c>
      <c r="P120" s="218">
        <f t="shared" si="61"/>
        <v>0</v>
      </c>
      <c r="Q120" s="218">
        <f t="shared" si="61"/>
        <v>0</v>
      </c>
      <c r="R120" s="218">
        <f t="shared" si="61"/>
        <v>0</v>
      </c>
      <c r="S120" s="218">
        <f t="shared" ref="S120:AK120" si="62">S89</f>
        <v>0</v>
      </c>
      <c r="T120" s="218">
        <f t="shared" si="62"/>
        <v>0</v>
      </c>
      <c r="U120" s="218">
        <f t="shared" si="62"/>
        <v>0</v>
      </c>
      <c r="V120" s="218">
        <f t="shared" si="62"/>
        <v>0</v>
      </c>
      <c r="W120" s="218">
        <f t="shared" si="62"/>
        <v>0</v>
      </c>
      <c r="X120" s="218">
        <f t="shared" si="62"/>
        <v>0</v>
      </c>
      <c r="Y120" s="218">
        <f t="shared" si="62"/>
        <v>0</v>
      </c>
      <c r="Z120" s="218">
        <f t="shared" si="62"/>
        <v>0</v>
      </c>
      <c r="AA120" s="218">
        <f t="shared" si="62"/>
        <v>0</v>
      </c>
      <c r="AB120" s="218">
        <f t="shared" si="62"/>
        <v>0</v>
      </c>
      <c r="AC120" s="218">
        <f t="shared" si="62"/>
        <v>0</v>
      </c>
      <c r="AD120" s="218">
        <f t="shared" si="62"/>
        <v>0</v>
      </c>
      <c r="AE120" s="218">
        <f t="shared" si="62"/>
        <v>0</v>
      </c>
      <c r="AF120" s="218">
        <f t="shared" si="62"/>
        <v>0</v>
      </c>
      <c r="AG120" s="218">
        <f t="shared" si="62"/>
        <v>0</v>
      </c>
      <c r="AH120" s="218">
        <f t="shared" si="62"/>
        <v>0</v>
      </c>
      <c r="AI120" s="218">
        <f t="shared" si="62"/>
        <v>0</v>
      </c>
      <c r="AJ120" s="218">
        <f t="shared" si="62"/>
        <v>0</v>
      </c>
      <c r="AK120" s="218">
        <f t="shared" si="62"/>
        <v>0</v>
      </c>
      <c r="AL120" s="218">
        <f>AL89</f>
        <v>0</v>
      </c>
      <c r="AM120" s="218">
        <f t="shared" ref="AM120:AV120" si="63">AM89</f>
        <v>0</v>
      </c>
      <c r="AN120" s="218">
        <f t="shared" si="63"/>
        <v>0</v>
      </c>
      <c r="AO120" s="218">
        <f t="shared" si="63"/>
        <v>0</v>
      </c>
      <c r="AP120" s="218">
        <f t="shared" si="63"/>
        <v>0</v>
      </c>
      <c r="AQ120" s="218">
        <f t="shared" si="63"/>
        <v>0</v>
      </c>
      <c r="AR120" s="218">
        <f t="shared" si="63"/>
        <v>0</v>
      </c>
      <c r="AS120" s="218">
        <f t="shared" si="63"/>
        <v>0</v>
      </c>
      <c r="AT120" s="218">
        <f t="shared" si="63"/>
        <v>0</v>
      </c>
      <c r="AU120" s="218">
        <f t="shared" si="63"/>
        <v>0</v>
      </c>
      <c r="AV120" s="218">
        <f t="shared" si="63"/>
        <v>0</v>
      </c>
      <c r="AW120" s="218">
        <f>AW89</f>
        <v>0</v>
      </c>
      <c r="AX120" s="218">
        <f t="shared" ref="AX120:BB120" si="64">AX89</f>
        <v>0</v>
      </c>
      <c r="AY120" s="218">
        <f t="shared" si="64"/>
        <v>0</v>
      </c>
      <c r="AZ120" s="218">
        <f t="shared" si="64"/>
        <v>0</v>
      </c>
      <c r="BA120" s="218">
        <f t="shared" si="64"/>
        <v>0</v>
      </c>
      <c r="BB120" s="218">
        <f t="shared" si="64"/>
        <v>0</v>
      </c>
      <c r="BC120" s="218">
        <f>BC89</f>
        <v>0</v>
      </c>
      <c r="BD120" s="218">
        <f t="shared" ref="BD120:BE120" si="65">BD89</f>
        <v>0</v>
      </c>
      <c r="BE120" s="218">
        <f t="shared" si="65"/>
        <v>0</v>
      </c>
    </row>
    <row r="121" spans="1:57" ht="14.25" customHeight="1" x14ac:dyDescent="0.45">
      <c r="A121" s="618"/>
      <c r="B121" s="215"/>
      <c r="C121" s="220"/>
      <c r="D121" s="221" t="s">
        <v>211</v>
      </c>
      <c r="E121" s="218">
        <f t="shared" ref="E121:R121" si="66">E90</f>
        <v>0</v>
      </c>
      <c r="F121" s="218">
        <f t="shared" si="66"/>
        <v>0</v>
      </c>
      <c r="G121" s="218">
        <f t="shared" si="66"/>
        <v>0</v>
      </c>
      <c r="H121" s="218">
        <f t="shared" si="66"/>
        <v>0</v>
      </c>
      <c r="I121" s="218">
        <f t="shared" si="66"/>
        <v>0</v>
      </c>
      <c r="J121" s="218">
        <f t="shared" si="66"/>
        <v>0</v>
      </c>
      <c r="K121" s="218">
        <f t="shared" si="66"/>
        <v>0</v>
      </c>
      <c r="L121" s="218">
        <f t="shared" si="66"/>
        <v>0</v>
      </c>
      <c r="M121" s="218">
        <f t="shared" si="66"/>
        <v>0</v>
      </c>
      <c r="N121" s="218">
        <f t="shared" si="66"/>
        <v>0</v>
      </c>
      <c r="O121" s="218">
        <f t="shared" si="66"/>
        <v>0</v>
      </c>
      <c r="P121" s="218">
        <f t="shared" si="66"/>
        <v>0</v>
      </c>
      <c r="Q121" s="218">
        <f t="shared" si="66"/>
        <v>0</v>
      </c>
      <c r="R121" s="218">
        <f t="shared" si="66"/>
        <v>0</v>
      </c>
      <c r="S121" s="218">
        <f t="shared" ref="S121:AK121" si="67">S90</f>
        <v>0</v>
      </c>
      <c r="T121" s="218">
        <f t="shared" si="67"/>
        <v>0</v>
      </c>
      <c r="U121" s="218">
        <f t="shared" si="67"/>
        <v>0</v>
      </c>
      <c r="V121" s="218">
        <f t="shared" si="67"/>
        <v>0</v>
      </c>
      <c r="W121" s="218">
        <f t="shared" si="67"/>
        <v>0</v>
      </c>
      <c r="X121" s="218">
        <f t="shared" si="67"/>
        <v>0</v>
      </c>
      <c r="Y121" s="218">
        <f t="shared" si="67"/>
        <v>0</v>
      </c>
      <c r="Z121" s="218">
        <f t="shared" si="67"/>
        <v>0</v>
      </c>
      <c r="AA121" s="218">
        <f t="shared" si="67"/>
        <v>0</v>
      </c>
      <c r="AB121" s="218">
        <f t="shared" si="67"/>
        <v>0</v>
      </c>
      <c r="AC121" s="218">
        <f t="shared" si="67"/>
        <v>0</v>
      </c>
      <c r="AD121" s="218">
        <f t="shared" si="67"/>
        <v>0</v>
      </c>
      <c r="AE121" s="218">
        <f t="shared" si="67"/>
        <v>0</v>
      </c>
      <c r="AF121" s="218">
        <f t="shared" si="67"/>
        <v>0</v>
      </c>
      <c r="AG121" s="218">
        <f t="shared" si="67"/>
        <v>0</v>
      </c>
      <c r="AH121" s="218">
        <f t="shared" si="67"/>
        <v>0</v>
      </c>
      <c r="AI121" s="218">
        <f t="shared" si="67"/>
        <v>0</v>
      </c>
      <c r="AJ121" s="218">
        <f t="shared" si="67"/>
        <v>0</v>
      </c>
      <c r="AK121" s="218">
        <f t="shared" si="67"/>
        <v>0</v>
      </c>
      <c r="AL121" s="218">
        <f>AL90</f>
        <v>0</v>
      </c>
      <c r="AM121" s="218">
        <f t="shared" ref="AM121:AV121" si="68">AM90</f>
        <v>0</v>
      </c>
      <c r="AN121" s="218">
        <f t="shared" si="68"/>
        <v>0</v>
      </c>
      <c r="AO121" s="218">
        <f t="shared" si="68"/>
        <v>0</v>
      </c>
      <c r="AP121" s="218">
        <f t="shared" si="68"/>
        <v>0</v>
      </c>
      <c r="AQ121" s="218">
        <f t="shared" si="68"/>
        <v>0</v>
      </c>
      <c r="AR121" s="218">
        <f t="shared" si="68"/>
        <v>0</v>
      </c>
      <c r="AS121" s="218">
        <f t="shared" si="68"/>
        <v>0</v>
      </c>
      <c r="AT121" s="218">
        <f t="shared" si="68"/>
        <v>0</v>
      </c>
      <c r="AU121" s="218">
        <f t="shared" si="68"/>
        <v>0</v>
      </c>
      <c r="AV121" s="218">
        <f t="shared" si="68"/>
        <v>0</v>
      </c>
      <c r="AW121" s="218">
        <f>AW90</f>
        <v>0</v>
      </c>
      <c r="AX121" s="218">
        <f t="shared" ref="AX121:BB121" si="69">AX90</f>
        <v>0</v>
      </c>
      <c r="AY121" s="218">
        <f t="shared" si="69"/>
        <v>0</v>
      </c>
      <c r="AZ121" s="218">
        <f t="shared" si="69"/>
        <v>0</v>
      </c>
      <c r="BA121" s="218">
        <f t="shared" si="69"/>
        <v>0</v>
      </c>
      <c r="BB121" s="218">
        <f t="shared" si="69"/>
        <v>0</v>
      </c>
      <c r="BC121" s="218">
        <f>BC90</f>
        <v>0</v>
      </c>
      <c r="BD121" s="218">
        <f t="shared" ref="BD121:BE121" si="70">BD90</f>
        <v>0</v>
      </c>
      <c r="BE121" s="218">
        <f t="shared" si="70"/>
        <v>0</v>
      </c>
    </row>
    <row r="122" spans="1:57" ht="14.25" customHeight="1" x14ac:dyDescent="0.45">
      <c r="A122" s="618"/>
      <c r="B122" s="215"/>
      <c r="C122" s="220"/>
      <c r="D122" s="514" t="s">
        <v>257</v>
      </c>
      <c r="E122" s="218">
        <f t="shared" ref="E122:R122" si="71">0.5*E98+E92+E101</f>
        <v>0</v>
      </c>
      <c r="F122" s="218">
        <f t="shared" si="71"/>
        <v>0</v>
      </c>
      <c r="G122" s="218">
        <f t="shared" si="71"/>
        <v>0</v>
      </c>
      <c r="H122" s="218">
        <f t="shared" si="71"/>
        <v>0</v>
      </c>
      <c r="I122" s="218">
        <f t="shared" si="71"/>
        <v>0</v>
      </c>
      <c r="J122" s="218">
        <f t="shared" si="71"/>
        <v>0</v>
      </c>
      <c r="K122" s="218">
        <f>0.5*K98+K92+K101</f>
        <v>0.32</v>
      </c>
      <c r="L122" s="218">
        <f t="shared" si="71"/>
        <v>0</v>
      </c>
      <c r="M122" s="218">
        <f t="shared" si="71"/>
        <v>0.27</v>
      </c>
      <c r="N122" s="218">
        <f t="shared" si="71"/>
        <v>0.06</v>
      </c>
      <c r="O122" s="218">
        <f t="shared" si="71"/>
        <v>0.16</v>
      </c>
      <c r="P122" s="218">
        <f t="shared" si="71"/>
        <v>0</v>
      </c>
      <c r="Q122" s="218">
        <f t="shared" si="71"/>
        <v>0</v>
      </c>
      <c r="R122" s="218">
        <f t="shared" si="71"/>
        <v>0</v>
      </c>
      <c r="S122" s="218">
        <f t="shared" ref="S122:AK122" si="72">0.5*S98+S92+S101</f>
        <v>0</v>
      </c>
      <c r="T122" s="218">
        <f t="shared" si="72"/>
        <v>0</v>
      </c>
      <c r="U122" s="218">
        <f t="shared" si="72"/>
        <v>0</v>
      </c>
      <c r="V122" s="218">
        <f t="shared" si="72"/>
        <v>0</v>
      </c>
      <c r="W122" s="218">
        <f t="shared" si="72"/>
        <v>0</v>
      </c>
      <c r="X122" s="218">
        <f t="shared" si="72"/>
        <v>0</v>
      </c>
      <c r="Y122" s="218">
        <f t="shared" si="72"/>
        <v>0</v>
      </c>
      <c r="Z122" s="218">
        <f t="shared" si="72"/>
        <v>0</v>
      </c>
      <c r="AA122" s="218">
        <f t="shared" si="72"/>
        <v>0</v>
      </c>
      <c r="AB122" s="218">
        <f t="shared" si="72"/>
        <v>0</v>
      </c>
      <c r="AC122" s="218">
        <f t="shared" si="72"/>
        <v>0</v>
      </c>
      <c r="AD122" s="218">
        <f t="shared" si="72"/>
        <v>0</v>
      </c>
      <c r="AE122" s="218">
        <f t="shared" si="72"/>
        <v>0</v>
      </c>
      <c r="AF122" s="218">
        <f t="shared" si="72"/>
        <v>0</v>
      </c>
      <c r="AG122" s="218">
        <f t="shared" si="72"/>
        <v>0</v>
      </c>
      <c r="AH122" s="218">
        <f t="shared" si="72"/>
        <v>0</v>
      </c>
      <c r="AI122" s="218">
        <f t="shared" si="72"/>
        <v>0</v>
      </c>
      <c r="AJ122" s="218">
        <f t="shared" si="72"/>
        <v>0</v>
      </c>
      <c r="AK122" s="218">
        <f t="shared" si="72"/>
        <v>0</v>
      </c>
      <c r="AL122" s="218">
        <f>0.5*AL98+AL92+AL101</f>
        <v>0</v>
      </c>
      <c r="AM122" s="218">
        <f t="shared" ref="AM122:AV122" si="73">0.5*AM98+AM92+AM101</f>
        <v>0</v>
      </c>
      <c r="AN122" s="218">
        <f t="shared" si="73"/>
        <v>0</v>
      </c>
      <c r="AO122" s="218">
        <f t="shared" si="73"/>
        <v>0</v>
      </c>
      <c r="AP122" s="218">
        <f t="shared" si="73"/>
        <v>0</v>
      </c>
      <c r="AQ122" s="218">
        <f t="shared" si="73"/>
        <v>0</v>
      </c>
      <c r="AR122" s="218">
        <f t="shared" si="73"/>
        <v>0</v>
      </c>
      <c r="AS122" s="218">
        <f t="shared" si="73"/>
        <v>0</v>
      </c>
      <c r="AT122" s="218">
        <f t="shared" si="73"/>
        <v>0</v>
      </c>
      <c r="AU122" s="218">
        <f t="shared" si="73"/>
        <v>0</v>
      </c>
      <c r="AV122" s="218">
        <f t="shared" si="73"/>
        <v>0</v>
      </c>
      <c r="AW122" s="218">
        <f>0.5*AW98+AW92+AW101</f>
        <v>0</v>
      </c>
      <c r="AX122" s="218">
        <f t="shared" ref="AX122:BB122" si="74">0.5*AX98+AX92+AX101</f>
        <v>0</v>
      </c>
      <c r="AY122" s="218">
        <f t="shared" si="74"/>
        <v>0</v>
      </c>
      <c r="AZ122" s="218">
        <f t="shared" si="74"/>
        <v>0</v>
      </c>
      <c r="BA122" s="218">
        <f t="shared" si="74"/>
        <v>0</v>
      </c>
      <c r="BB122" s="218">
        <f t="shared" si="74"/>
        <v>0</v>
      </c>
      <c r="BC122" s="218">
        <f>0.5*BC98+BC92+BC101</f>
        <v>0</v>
      </c>
      <c r="BD122" s="218">
        <f t="shared" ref="BD122:BE122" si="75">0.5*BD98+BD92+BD101</f>
        <v>0</v>
      </c>
      <c r="BE122" s="218">
        <f t="shared" si="75"/>
        <v>0</v>
      </c>
    </row>
    <row r="123" spans="1:57" ht="14.25" customHeight="1" x14ac:dyDescent="0.45">
      <c r="A123" s="618"/>
      <c r="B123" s="215"/>
      <c r="C123" s="220"/>
      <c r="D123" s="243" t="s">
        <v>344</v>
      </c>
      <c r="E123" s="325">
        <f t="shared" ref="E123:R123" si="76">E102*0.5</f>
        <v>0</v>
      </c>
      <c r="F123" s="325">
        <f t="shared" si="76"/>
        <v>0</v>
      </c>
      <c r="G123" s="325">
        <f t="shared" si="76"/>
        <v>0</v>
      </c>
      <c r="H123" s="325">
        <f t="shared" si="76"/>
        <v>0</v>
      </c>
      <c r="I123" s="325">
        <f t="shared" si="76"/>
        <v>0</v>
      </c>
      <c r="J123" s="325">
        <f t="shared" si="76"/>
        <v>0</v>
      </c>
      <c r="K123" s="325">
        <f t="shared" si="76"/>
        <v>1.4999999999999999E-2</v>
      </c>
      <c r="L123" s="325">
        <f t="shared" si="76"/>
        <v>0</v>
      </c>
      <c r="M123" s="325">
        <f t="shared" si="76"/>
        <v>0</v>
      </c>
      <c r="N123" s="325">
        <f t="shared" si="76"/>
        <v>0</v>
      </c>
      <c r="O123" s="325">
        <f t="shared" si="76"/>
        <v>0</v>
      </c>
      <c r="P123" s="325">
        <f t="shared" si="76"/>
        <v>0</v>
      </c>
      <c r="Q123" s="325">
        <f t="shared" si="76"/>
        <v>0</v>
      </c>
      <c r="R123" s="325">
        <f t="shared" si="76"/>
        <v>0</v>
      </c>
      <c r="S123" s="325">
        <f t="shared" ref="S123:AK123" si="77">S102*0.5</f>
        <v>0</v>
      </c>
      <c r="T123" s="325">
        <f t="shared" si="77"/>
        <v>0</v>
      </c>
      <c r="U123" s="325">
        <f t="shared" si="77"/>
        <v>0</v>
      </c>
      <c r="V123" s="325">
        <f t="shared" si="77"/>
        <v>0</v>
      </c>
      <c r="W123" s="325">
        <f t="shared" si="77"/>
        <v>0</v>
      </c>
      <c r="X123" s="325">
        <f t="shared" si="77"/>
        <v>0</v>
      </c>
      <c r="Y123" s="325">
        <f t="shared" si="77"/>
        <v>0</v>
      </c>
      <c r="Z123" s="325">
        <f t="shared" si="77"/>
        <v>0</v>
      </c>
      <c r="AA123" s="325">
        <f t="shared" si="77"/>
        <v>0</v>
      </c>
      <c r="AB123" s="325">
        <f t="shared" si="77"/>
        <v>0</v>
      </c>
      <c r="AC123" s="325">
        <f t="shared" si="77"/>
        <v>0</v>
      </c>
      <c r="AD123" s="325">
        <f t="shared" si="77"/>
        <v>0</v>
      </c>
      <c r="AE123" s="325">
        <f t="shared" si="77"/>
        <v>0</v>
      </c>
      <c r="AF123" s="325">
        <f t="shared" si="77"/>
        <v>0</v>
      </c>
      <c r="AG123" s="325">
        <f t="shared" si="77"/>
        <v>0</v>
      </c>
      <c r="AH123" s="325">
        <f t="shared" si="77"/>
        <v>0</v>
      </c>
      <c r="AI123" s="325">
        <f t="shared" si="77"/>
        <v>0</v>
      </c>
      <c r="AJ123" s="325">
        <f t="shared" si="77"/>
        <v>0</v>
      </c>
      <c r="AK123" s="325">
        <f t="shared" si="77"/>
        <v>0</v>
      </c>
      <c r="AL123" s="325">
        <f>AL102*0.5</f>
        <v>0</v>
      </c>
      <c r="AM123" s="325">
        <f t="shared" ref="AM123:AV123" si="78">AM102*0.5</f>
        <v>0</v>
      </c>
      <c r="AN123" s="325">
        <f t="shared" si="78"/>
        <v>0</v>
      </c>
      <c r="AO123" s="325">
        <f t="shared" si="78"/>
        <v>0</v>
      </c>
      <c r="AP123" s="325">
        <f t="shared" si="78"/>
        <v>0</v>
      </c>
      <c r="AQ123" s="325">
        <f t="shared" si="78"/>
        <v>0</v>
      </c>
      <c r="AR123" s="325">
        <f t="shared" si="78"/>
        <v>0</v>
      </c>
      <c r="AS123" s="325">
        <f t="shared" si="78"/>
        <v>0</v>
      </c>
      <c r="AT123" s="325">
        <f t="shared" si="78"/>
        <v>0</v>
      </c>
      <c r="AU123" s="325">
        <f t="shared" si="78"/>
        <v>0</v>
      </c>
      <c r="AV123" s="325">
        <f t="shared" si="78"/>
        <v>0</v>
      </c>
      <c r="AW123" s="325">
        <f>AW102*0.5</f>
        <v>0</v>
      </c>
      <c r="AX123" s="325">
        <f t="shared" ref="AX123:BB123" si="79">AX102*0.5</f>
        <v>0</v>
      </c>
      <c r="AY123" s="325">
        <f t="shared" si="79"/>
        <v>0</v>
      </c>
      <c r="AZ123" s="325">
        <f t="shared" si="79"/>
        <v>0</v>
      </c>
      <c r="BA123" s="325">
        <f t="shared" si="79"/>
        <v>0</v>
      </c>
      <c r="BB123" s="325">
        <f t="shared" si="79"/>
        <v>0</v>
      </c>
      <c r="BC123" s="325">
        <f>BC102*0.5</f>
        <v>0</v>
      </c>
      <c r="BD123" s="325">
        <f t="shared" ref="BD123:BE123" si="80">BD102*0.5</f>
        <v>0</v>
      </c>
      <c r="BE123" s="325">
        <f t="shared" si="80"/>
        <v>0</v>
      </c>
    </row>
    <row r="124" spans="1:57" ht="14.25" customHeight="1" x14ac:dyDescent="0.45">
      <c r="A124" s="618"/>
      <c r="B124" s="215"/>
      <c r="C124" s="220"/>
      <c r="D124" s="228" t="s">
        <v>180</v>
      </c>
      <c r="E124" s="218"/>
      <c r="F124" s="218"/>
      <c r="G124" s="218"/>
      <c r="H124" s="218"/>
      <c r="I124" s="218"/>
      <c r="J124" s="218"/>
      <c r="K124" s="218"/>
      <c r="L124" s="218"/>
      <c r="M124" s="218"/>
      <c r="N124" s="218"/>
      <c r="O124" s="218"/>
      <c r="P124" s="218"/>
      <c r="Q124" s="218"/>
      <c r="R124" s="218"/>
      <c r="S124" s="285"/>
      <c r="T124" s="285"/>
      <c r="U124" s="285"/>
      <c r="V124" s="285"/>
      <c r="W124" s="285"/>
      <c r="X124" s="285"/>
      <c r="Y124" s="285"/>
      <c r="Z124" s="285"/>
      <c r="AA124" s="285"/>
      <c r="AB124" s="285"/>
      <c r="AC124" s="285"/>
      <c r="AD124" s="285"/>
      <c r="AE124" s="285"/>
      <c r="AF124" s="285"/>
      <c r="AG124" s="285"/>
      <c r="AH124" s="285"/>
      <c r="AI124" s="285"/>
      <c r="AJ124" s="285"/>
      <c r="AK124" s="285"/>
      <c r="AL124" s="352"/>
    </row>
    <row r="125" spans="1:57" ht="14.25" customHeight="1" x14ac:dyDescent="0.45">
      <c r="A125" s="618"/>
      <c r="B125" s="215"/>
      <c r="C125" s="220"/>
      <c r="D125" s="221" t="s">
        <v>190</v>
      </c>
      <c r="E125" s="218"/>
      <c r="F125" s="218"/>
      <c r="G125" s="218"/>
      <c r="H125" s="218"/>
      <c r="I125" s="218"/>
      <c r="J125" s="218"/>
      <c r="K125" s="218"/>
      <c r="L125" s="218"/>
      <c r="M125" s="218"/>
      <c r="N125" s="218"/>
      <c r="O125" s="218"/>
      <c r="P125" s="218"/>
      <c r="Q125" s="218"/>
      <c r="R125" s="218"/>
      <c r="S125" s="285"/>
      <c r="T125" s="285"/>
      <c r="U125" s="285"/>
      <c r="V125" s="285"/>
      <c r="W125" s="285"/>
      <c r="X125" s="285"/>
      <c r="Y125" s="285"/>
      <c r="Z125" s="285"/>
      <c r="AA125" s="285"/>
      <c r="AB125" s="285"/>
      <c r="AC125" s="285"/>
      <c r="AD125" s="285"/>
      <c r="AE125" s="285"/>
      <c r="AF125" s="285"/>
      <c r="AG125" s="285"/>
      <c r="AH125" s="285"/>
      <c r="AI125" s="285"/>
      <c r="AJ125" s="285"/>
      <c r="AK125" s="285"/>
      <c r="AL125" s="352"/>
    </row>
    <row r="126" spans="1:57" ht="14.25" customHeight="1" x14ac:dyDescent="0.45">
      <c r="A126" s="618"/>
      <c r="B126" s="215"/>
      <c r="C126" s="220"/>
      <c r="D126" s="221" t="s">
        <v>195</v>
      </c>
      <c r="E126" s="218"/>
      <c r="F126" s="218"/>
      <c r="G126" s="218"/>
      <c r="H126" s="218"/>
      <c r="I126" s="218"/>
      <c r="J126" s="218"/>
      <c r="K126" s="218"/>
      <c r="L126" s="218"/>
      <c r="M126" s="218"/>
      <c r="N126" s="218"/>
      <c r="O126" s="218"/>
      <c r="P126" s="218"/>
      <c r="Q126" s="218"/>
      <c r="R126" s="218"/>
      <c r="S126" s="285"/>
      <c r="T126" s="285"/>
      <c r="U126" s="285"/>
      <c r="V126" s="285"/>
      <c r="W126" s="285"/>
      <c r="X126" s="285"/>
      <c r="Y126" s="285"/>
      <c r="Z126" s="285"/>
      <c r="AA126" s="285"/>
      <c r="AB126" s="285"/>
      <c r="AC126" s="285"/>
      <c r="AD126" s="285"/>
      <c r="AE126" s="285"/>
      <c r="AF126" s="285"/>
      <c r="AG126" s="285"/>
      <c r="AH126" s="285"/>
      <c r="AI126" s="285"/>
      <c r="AJ126" s="285"/>
      <c r="AK126" s="285"/>
      <c r="AL126" s="352"/>
    </row>
    <row r="127" spans="1:57" ht="14.25" customHeight="1" x14ac:dyDescent="0.45">
      <c r="A127" s="618"/>
      <c r="B127" s="215"/>
      <c r="C127" s="220"/>
      <c r="D127" s="354" t="s">
        <v>344</v>
      </c>
      <c r="E127" s="218"/>
      <c r="F127" s="218"/>
      <c r="G127" s="218"/>
      <c r="H127" s="218"/>
      <c r="I127" s="218"/>
      <c r="J127" s="218"/>
      <c r="K127" s="218"/>
      <c r="L127" s="218"/>
      <c r="M127" s="218"/>
      <c r="N127" s="218"/>
      <c r="O127" s="218"/>
      <c r="P127" s="218"/>
      <c r="Q127" s="218"/>
      <c r="R127" s="218"/>
      <c r="S127" s="285"/>
      <c r="T127" s="285"/>
      <c r="U127" s="285"/>
      <c r="V127" s="285"/>
      <c r="W127" s="285"/>
      <c r="X127" s="285"/>
      <c r="Y127" s="285"/>
      <c r="Z127" s="285"/>
      <c r="AA127" s="285"/>
      <c r="AB127" s="285"/>
      <c r="AC127" s="285"/>
      <c r="AD127" s="285"/>
      <c r="AE127" s="285"/>
      <c r="AF127" s="285"/>
      <c r="AG127" s="285"/>
      <c r="AH127" s="285"/>
      <c r="AI127" s="285"/>
      <c r="AJ127" s="285"/>
      <c r="AK127" s="285"/>
      <c r="AL127" s="352"/>
    </row>
    <row r="128" spans="1:57" ht="14.25" customHeight="1" x14ac:dyDescent="0.45">
      <c r="A128" s="618"/>
      <c r="B128" s="215"/>
      <c r="C128" s="220"/>
      <c r="D128" s="221" t="s">
        <v>345</v>
      </c>
      <c r="E128" s="218"/>
      <c r="F128" s="218"/>
      <c r="G128" s="218"/>
      <c r="H128" s="218"/>
      <c r="I128" s="218"/>
      <c r="J128" s="218"/>
      <c r="K128" s="218"/>
      <c r="L128" s="218"/>
      <c r="M128" s="218"/>
      <c r="N128" s="218"/>
      <c r="O128" s="218"/>
      <c r="P128" s="218"/>
      <c r="Q128" s="218"/>
      <c r="R128" s="218"/>
      <c r="S128" s="285"/>
      <c r="T128" s="285"/>
      <c r="U128" s="285"/>
      <c r="V128" s="285"/>
      <c r="W128" s="285"/>
      <c r="X128" s="285"/>
      <c r="Y128" s="285"/>
      <c r="Z128" s="285"/>
      <c r="AA128" s="285"/>
      <c r="AB128" s="285"/>
      <c r="AC128" s="285"/>
      <c r="AD128" s="285"/>
      <c r="AE128" s="285"/>
      <c r="AF128" s="285"/>
      <c r="AG128" s="285"/>
      <c r="AH128" s="285"/>
      <c r="AI128" s="285"/>
      <c r="AJ128" s="285"/>
      <c r="AK128" s="285"/>
      <c r="AL128" s="352"/>
    </row>
    <row r="129" spans="1:38" ht="14.25" customHeight="1" x14ac:dyDescent="0.45">
      <c r="A129" s="618"/>
      <c r="B129" s="215"/>
      <c r="C129" s="220"/>
      <c r="D129" s="228" t="s">
        <v>188</v>
      </c>
      <c r="E129" s="230"/>
      <c r="F129" s="230"/>
      <c r="G129" s="230"/>
      <c r="H129" s="230"/>
      <c r="I129" s="230"/>
      <c r="J129" s="230"/>
      <c r="K129" s="230"/>
      <c r="L129" s="230"/>
      <c r="M129" s="230"/>
      <c r="N129" s="230"/>
      <c r="O129" s="230"/>
      <c r="P129" s="230"/>
      <c r="Q129" s="230"/>
      <c r="R129" s="230"/>
      <c r="S129" s="285"/>
      <c r="T129" s="285"/>
      <c r="U129" s="285"/>
      <c r="V129" s="285"/>
      <c r="W129" s="285"/>
      <c r="X129" s="285"/>
      <c r="Y129" s="285"/>
      <c r="Z129" s="285"/>
      <c r="AA129" s="285"/>
      <c r="AB129" s="285"/>
      <c r="AC129" s="285"/>
      <c r="AD129" s="285"/>
      <c r="AE129" s="285"/>
      <c r="AF129" s="285"/>
      <c r="AG129" s="285"/>
      <c r="AH129" s="285"/>
      <c r="AI129" s="285"/>
      <c r="AJ129" s="285"/>
      <c r="AK129" s="285"/>
      <c r="AL129" s="352"/>
    </row>
    <row r="130" spans="1:38" ht="14.25" customHeight="1" x14ac:dyDescent="0.45">
      <c r="A130" s="618"/>
      <c r="B130" s="215"/>
      <c r="C130" s="220"/>
      <c r="D130" s="221" t="s">
        <v>190</v>
      </c>
      <c r="E130" s="29"/>
      <c r="F130" s="29"/>
      <c r="G130" s="29"/>
      <c r="H130" s="29"/>
      <c r="I130" s="29"/>
      <c r="J130" s="29"/>
      <c r="K130" s="29"/>
      <c r="L130" s="29"/>
      <c r="M130" s="29"/>
      <c r="N130" s="29"/>
      <c r="O130" s="29"/>
      <c r="P130" s="29"/>
      <c r="Q130" s="29"/>
      <c r="R130" s="29"/>
      <c r="S130" s="285"/>
      <c r="T130" s="285"/>
      <c r="U130" s="285"/>
      <c r="V130" s="285"/>
      <c r="W130" s="285"/>
      <c r="X130" s="285"/>
      <c r="Y130" s="285"/>
      <c r="Z130" s="285"/>
      <c r="AA130" s="285"/>
      <c r="AB130" s="285"/>
      <c r="AC130" s="285"/>
      <c r="AD130" s="285"/>
      <c r="AE130" s="285"/>
      <c r="AF130" s="285"/>
      <c r="AG130" s="285"/>
      <c r="AH130" s="285"/>
      <c r="AI130" s="285"/>
      <c r="AJ130" s="285"/>
      <c r="AK130" s="285"/>
      <c r="AL130" s="352"/>
    </row>
    <row r="131" spans="1:38" ht="14.25" customHeight="1" x14ac:dyDescent="0.45">
      <c r="A131" s="618"/>
      <c r="B131" s="215"/>
      <c r="C131" s="220"/>
      <c r="D131" s="515" t="s">
        <v>411</v>
      </c>
      <c r="E131" s="29">
        <f t="shared" ref="E131:R131" si="81">E97</f>
        <v>0</v>
      </c>
      <c r="F131" s="29">
        <f t="shared" si="81"/>
        <v>0</v>
      </c>
      <c r="G131" s="29">
        <f t="shared" si="81"/>
        <v>0</v>
      </c>
      <c r="H131" s="29">
        <f t="shared" si="81"/>
        <v>0</v>
      </c>
      <c r="I131" s="29">
        <f t="shared" si="81"/>
        <v>0</v>
      </c>
      <c r="J131" s="29">
        <f t="shared" si="81"/>
        <v>0</v>
      </c>
      <c r="K131" s="29">
        <f t="shared" si="81"/>
        <v>0.187</v>
      </c>
      <c r="L131" s="29">
        <f t="shared" si="81"/>
        <v>0</v>
      </c>
      <c r="M131" s="29">
        <f t="shared" si="81"/>
        <v>0.4</v>
      </c>
      <c r="N131" s="29">
        <f t="shared" si="81"/>
        <v>0</v>
      </c>
      <c r="O131" s="29">
        <f t="shared" si="81"/>
        <v>0</v>
      </c>
      <c r="P131" s="29">
        <f t="shared" si="81"/>
        <v>0</v>
      </c>
      <c r="Q131" s="29">
        <f t="shared" si="81"/>
        <v>0</v>
      </c>
      <c r="R131" s="29">
        <f t="shared" si="81"/>
        <v>0</v>
      </c>
      <c r="S131" s="285"/>
      <c r="T131" s="285"/>
      <c r="U131" s="285"/>
      <c r="V131" s="285"/>
      <c r="W131" s="285"/>
      <c r="X131" s="285"/>
      <c r="Y131" s="285"/>
      <c r="Z131" s="285"/>
      <c r="AA131" s="285"/>
      <c r="AB131" s="285"/>
      <c r="AC131" s="285"/>
      <c r="AD131" s="285"/>
      <c r="AE131" s="285"/>
      <c r="AF131" s="285"/>
      <c r="AG131" s="285"/>
      <c r="AH131" s="285"/>
      <c r="AI131" s="285"/>
      <c r="AJ131" s="285"/>
      <c r="AK131" s="285"/>
      <c r="AL131" s="352"/>
    </row>
    <row r="132" spans="1:38" ht="14.25" customHeight="1" x14ac:dyDescent="0.45">
      <c r="A132" s="618"/>
      <c r="B132" s="215"/>
      <c r="C132" s="220"/>
      <c r="D132" s="228" t="s">
        <v>193</v>
      </c>
      <c r="E132" s="230"/>
      <c r="F132" s="230"/>
      <c r="G132" s="230"/>
      <c r="H132" s="230"/>
      <c r="I132" s="230"/>
      <c r="J132" s="230"/>
      <c r="K132" s="230"/>
      <c r="L132" s="230"/>
      <c r="M132" s="230"/>
      <c r="N132" s="230"/>
      <c r="O132" s="230"/>
      <c r="P132" s="230"/>
      <c r="Q132" s="230"/>
      <c r="R132" s="230"/>
      <c r="S132" s="285"/>
      <c r="T132" s="285"/>
      <c r="U132" s="285"/>
      <c r="V132" s="285"/>
      <c r="W132" s="285"/>
      <c r="X132" s="285"/>
      <c r="Y132" s="285"/>
      <c r="Z132" s="285"/>
      <c r="AA132" s="285"/>
      <c r="AB132" s="285"/>
      <c r="AC132" s="285"/>
      <c r="AD132" s="285"/>
      <c r="AE132" s="285"/>
      <c r="AF132" s="285"/>
      <c r="AG132" s="285"/>
      <c r="AH132" s="285"/>
      <c r="AI132" s="285"/>
      <c r="AJ132" s="285"/>
      <c r="AK132" s="285"/>
      <c r="AL132" s="352"/>
    </row>
    <row r="133" spans="1:38" ht="14.25" customHeight="1" x14ac:dyDescent="0.45">
      <c r="A133" s="618"/>
      <c r="B133" s="215"/>
      <c r="C133" s="220"/>
      <c r="D133" s="221" t="s">
        <v>195</v>
      </c>
      <c r="E133" s="29"/>
      <c r="F133" s="29"/>
      <c r="G133" s="29"/>
      <c r="H133" s="29"/>
      <c r="I133" s="29"/>
      <c r="J133" s="29"/>
      <c r="K133" s="29"/>
      <c r="L133" s="29"/>
      <c r="M133" s="29"/>
      <c r="N133" s="29"/>
      <c r="O133" s="29"/>
      <c r="P133" s="29"/>
      <c r="Q133" s="29"/>
      <c r="R133" s="29"/>
      <c r="S133" s="285"/>
      <c r="T133" s="285"/>
      <c r="U133" s="285"/>
      <c r="V133" s="285"/>
      <c r="W133" s="285"/>
      <c r="X133" s="285"/>
      <c r="Y133" s="285"/>
      <c r="Z133" s="285"/>
      <c r="AA133" s="285"/>
      <c r="AB133" s="285"/>
      <c r="AC133" s="285"/>
      <c r="AD133" s="285"/>
      <c r="AE133" s="285"/>
      <c r="AF133" s="285"/>
      <c r="AG133" s="285"/>
      <c r="AH133" s="285"/>
      <c r="AI133" s="285"/>
      <c r="AJ133" s="285"/>
      <c r="AK133" s="285"/>
      <c r="AL133" s="352"/>
    </row>
    <row r="134" spans="1:38" ht="14.25" customHeight="1" x14ac:dyDescent="0.45">
      <c r="A134" s="618"/>
      <c r="B134" s="215"/>
      <c r="C134" s="220"/>
      <c r="D134" s="243" t="s">
        <v>253</v>
      </c>
      <c r="E134" s="218"/>
      <c r="F134" s="218"/>
      <c r="G134" s="218"/>
      <c r="H134" s="218"/>
      <c r="I134" s="218"/>
      <c r="J134" s="218"/>
      <c r="K134" s="218"/>
      <c r="L134" s="218"/>
      <c r="M134" s="218"/>
      <c r="N134" s="218"/>
      <c r="O134" s="218"/>
      <c r="P134" s="218"/>
      <c r="Q134" s="218"/>
      <c r="R134" s="218"/>
      <c r="S134" s="285"/>
      <c r="T134" s="285"/>
      <c r="U134" s="285"/>
      <c r="V134" s="285"/>
      <c r="W134" s="285"/>
      <c r="X134" s="285"/>
      <c r="Y134" s="285"/>
      <c r="Z134" s="285"/>
      <c r="AA134" s="285"/>
      <c r="AB134" s="285"/>
      <c r="AC134" s="285"/>
      <c r="AD134" s="285"/>
      <c r="AE134" s="285"/>
      <c r="AF134" s="285"/>
      <c r="AG134" s="285"/>
      <c r="AH134" s="285"/>
      <c r="AI134" s="285"/>
      <c r="AJ134" s="285"/>
      <c r="AK134" s="285"/>
      <c r="AL134" s="352"/>
    </row>
    <row r="135" spans="1:38" ht="14.25" customHeight="1" x14ac:dyDescent="0.45">
      <c r="A135" s="618"/>
      <c r="B135" s="215"/>
      <c r="C135" s="220"/>
      <c r="D135" s="514" t="s">
        <v>262</v>
      </c>
      <c r="E135" s="218">
        <f t="shared" ref="E135:R135" si="82">E76+E102*0.5</f>
        <v>0</v>
      </c>
      <c r="F135" s="218">
        <f t="shared" si="82"/>
        <v>0</v>
      </c>
      <c r="G135" s="218">
        <f t="shared" si="82"/>
        <v>0</v>
      </c>
      <c r="H135" s="218">
        <f t="shared" si="82"/>
        <v>0</v>
      </c>
      <c r="I135" s="218">
        <f t="shared" si="82"/>
        <v>0</v>
      </c>
      <c r="J135" s="218">
        <f t="shared" si="82"/>
        <v>0</v>
      </c>
      <c r="K135" s="218">
        <f t="shared" si="82"/>
        <v>1.4999999999999999E-2</v>
      </c>
      <c r="L135" s="218">
        <f t="shared" si="82"/>
        <v>0</v>
      </c>
      <c r="M135" s="218">
        <f t="shared" si="82"/>
        <v>0</v>
      </c>
      <c r="N135" s="218">
        <f t="shared" si="82"/>
        <v>0</v>
      </c>
      <c r="O135" s="218">
        <f t="shared" si="82"/>
        <v>0.05</v>
      </c>
      <c r="P135" s="218">
        <f t="shared" si="82"/>
        <v>0</v>
      </c>
      <c r="Q135" s="218">
        <f t="shared" si="82"/>
        <v>0</v>
      </c>
      <c r="R135" s="218">
        <f t="shared" si="82"/>
        <v>0</v>
      </c>
      <c r="S135" s="285"/>
      <c r="T135" s="285"/>
      <c r="U135" s="285"/>
      <c r="V135" s="285"/>
      <c r="W135" s="285"/>
      <c r="X135" s="285"/>
      <c r="Y135" s="285"/>
      <c r="Z135" s="285"/>
      <c r="AA135" s="285"/>
      <c r="AB135" s="285"/>
      <c r="AC135" s="285"/>
      <c r="AD135" s="285"/>
      <c r="AE135" s="285"/>
      <c r="AF135" s="285"/>
      <c r="AG135" s="285"/>
      <c r="AH135" s="285"/>
      <c r="AI135" s="285"/>
      <c r="AJ135" s="285"/>
      <c r="AK135" s="285"/>
      <c r="AL135" s="352"/>
    </row>
    <row r="136" spans="1:38" ht="14.25" customHeight="1" x14ac:dyDescent="0.45">
      <c r="A136" s="618"/>
      <c r="B136" s="215"/>
      <c r="C136" s="220"/>
      <c r="D136" s="243" t="s">
        <v>59</v>
      </c>
      <c r="E136" s="218">
        <f t="shared" ref="E136:R136" si="83">SUM(E106:E134)</f>
        <v>0</v>
      </c>
      <c r="F136" s="218">
        <f t="shared" si="83"/>
        <v>0</v>
      </c>
      <c r="G136" s="218">
        <f t="shared" si="83"/>
        <v>0</v>
      </c>
      <c r="H136" s="218">
        <f t="shared" si="83"/>
        <v>0</v>
      </c>
      <c r="I136" s="218">
        <f t="shared" si="83"/>
        <v>7.9000000000000001E-2</v>
      </c>
      <c r="J136" s="218">
        <f t="shared" si="83"/>
        <v>0.26440000000000002</v>
      </c>
      <c r="K136" s="218">
        <f t="shared" si="83"/>
        <v>1.0582</v>
      </c>
      <c r="L136" s="218">
        <f t="shared" si="83"/>
        <v>7.918E-2</v>
      </c>
      <c r="M136" s="218">
        <f t="shared" si="83"/>
        <v>0.8</v>
      </c>
      <c r="N136" s="218">
        <f t="shared" si="83"/>
        <v>0.22</v>
      </c>
      <c r="O136" s="218">
        <f t="shared" si="83"/>
        <v>0.51400000000000001</v>
      </c>
      <c r="P136" s="218">
        <f t="shared" si="83"/>
        <v>0</v>
      </c>
      <c r="Q136" s="218">
        <f t="shared" si="83"/>
        <v>0.59560000000000002</v>
      </c>
      <c r="R136" s="218">
        <f t="shared" si="83"/>
        <v>0</v>
      </c>
      <c r="S136" s="285"/>
      <c r="T136" s="285"/>
      <c r="U136" s="285"/>
      <c r="V136" s="285"/>
      <c r="W136" s="285"/>
      <c r="X136" s="285"/>
      <c r="Y136" s="285"/>
      <c r="Z136" s="285"/>
      <c r="AA136" s="285"/>
      <c r="AB136" s="285"/>
      <c r="AC136" s="285"/>
      <c r="AD136" s="285"/>
      <c r="AE136" s="285"/>
      <c r="AF136" s="285"/>
      <c r="AG136" s="285"/>
      <c r="AH136" s="285"/>
      <c r="AI136" s="285"/>
      <c r="AJ136" s="285"/>
      <c r="AK136" s="285"/>
      <c r="AL136" s="352"/>
    </row>
    <row r="137" spans="1:38" ht="14.25" customHeight="1" x14ac:dyDescent="0.45">
      <c r="A137" s="618"/>
      <c r="B137" s="215"/>
      <c r="C137" s="220"/>
      <c r="D137" s="243"/>
      <c r="E137" s="218"/>
      <c r="F137" s="218"/>
      <c r="G137" s="218"/>
      <c r="H137" s="218"/>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20"/>
    </row>
    <row r="138" spans="1:38" ht="14.25" customHeight="1" x14ac:dyDescent="0.45">
      <c r="A138" s="618"/>
      <c r="B138" s="215"/>
      <c r="C138" s="220"/>
      <c r="D138" s="364" t="s">
        <v>464</v>
      </c>
      <c r="E138" s="363"/>
      <c r="F138" s="363"/>
      <c r="G138" s="363"/>
      <c r="H138" s="220"/>
      <c r="I138" s="220"/>
      <c r="J138" s="220"/>
      <c r="K138" s="220"/>
      <c r="L138" s="220"/>
      <c r="M138" s="220"/>
      <c r="N138" s="220"/>
      <c r="O138" s="220"/>
      <c r="P138" s="220"/>
      <c r="Q138" s="220"/>
      <c r="R138" s="220"/>
      <c r="S138" s="220"/>
      <c r="T138" s="220"/>
      <c r="U138" s="220"/>
      <c r="V138" s="220"/>
      <c r="W138" s="220"/>
      <c r="X138" s="220"/>
      <c r="Y138" s="220"/>
      <c r="Z138" s="220"/>
      <c r="AA138" s="220"/>
      <c r="AB138" s="220"/>
      <c r="AC138" s="220"/>
      <c r="AD138" s="220"/>
      <c r="AE138" s="220"/>
      <c r="AF138" s="220"/>
      <c r="AG138" s="220"/>
      <c r="AH138" s="220"/>
      <c r="AI138" s="220"/>
      <c r="AJ138" s="220"/>
      <c r="AK138" s="220"/>
      <c r="AL138" s="220"/>
    </row>
    <row r="139" spans="1:38" ht="16.5" customHeight="1" x14ac:dyDescent="0.45">
      <c r="A139" s="1"/>
      <c r="B139" s="215"/>
      <c r="C139" s="220" t="s">
        <v>168</v>
      </c>
      <c r="D139" s="243" t="s">
        <v>220</v>
      </c>
      <c r="E139" s="360">
        <f t="shared" ref="E139:G140" si="84">E106+E7</f>
        <v>0.14430000000000001</v>
      </c>
      <c r="F139" s="360">
        <f t="shared" si="84"/>
        <v>0.14430000000000001</v>
      </c>
      <c r="G139" s="360">
        <f t="shared" si="84"/>
        <v>0.14430000000000001</v>
      </c>
      <c r="H139" s="358">
        <f>G139+Electricidad!J211</f>
        <v>0.15430000000000002</v>
      </c>
      <c r="I139" s="358">
        <f>H139+Electricidad!K211</f>
        <v>0.15430000000000002</v>
      </c>
      <c r="J139" s="358">
        <f>I139+Electricidad!L211</f>
        <v>0.15430000000000002</v>
      </c>
      <c r="K139" s="358">
        <f>J139+Electricidad!M211</f>
        <v>0.15430000000000002</v>
      </c>
      <c r="L139" s="358">
        <f>K139+Electricidad!N211</f>
        <v>0.15430000000000002</v>
      </c>
      <c r="M139" s="358">
        <f>L139+Electricidad!O211</f>
        <v>0.15430000000000002</v>
      </c>
      <c r="N139" s="358">
        <f>M139+Electricidad!P211</f>
        <v>0.15430000000000002</v>
      </c>
      <c r="O139" s="358">
        <f>N139+Electricidad!Q211</f>
        <v>0.15430000000000002</v>
      </c>
      <c r="P139" s="358">
        <f>O139+Electricidad!R211</f>
        <v>0.15430000000000002</v>
      </c>
      <c r="Q139" s="358">
        <f>P139+Electricidad!S211</f>
        <v>0.15430000000000002</v>
      </c>
      <c r="R139" s="358">
        <f>Q139+Electricidad!T211</f>
        <v>0.15430000000000002</v>
      </c>
      <c r="S139" s="221"/>
      <c r="T139" s="221"/>
      <c r="U139" s="221"/>
      <c r="V139" s="221"/>
      <c r="W139" s="221"/>
      <c r="X139" s="221"/>
      <c r="Y139" s="221"/>
      <c r="Z139" s="221"/>
      <c r="AA139" s="221"/>
      <c r="AB139" s="221"/>
      <c r="AC139" s="221"/>
      <c r="AD139" s="221"/>
      <c r="AE139" s="221"/>
      <c r="AF139" s="221"/>
      <c r="AG139" s="221"/>
      <c r="AH139" s="221"/>
      <c r="AI139" s="221"/>
      <c r="AJ139" s="221"/>
      <c r="AK139" s="221"/>
      <c r="AL139" s="1"/>
    </row>
    <row r="140" spans="1:38" ht="16.5" customHeight="1" x14ac:dyDescent="0.45">
      <c r="A140" s="1"/>
      <c r="B140" s="215"/>
      <c r="C140" s="220" t="s">
        <v>170</v>
      </c>
      <c r="D140" s="243" t="s">
        <v>255</v>
      </c>
      <c r="E140" s="360">
        <f t="shared" si="84"/>
        <v>1.6500000000000001E-2</v>
      </c>
      <c r="F140" s="360">
        <f t="shared" si="84"/>
        <v>1.6500000000000001E-2</v>
      </c>
      <c r="G140" s="360">
        <f t="shared" si="84"/>
        <v>1.6500000000000001E-2</v>
      </c>
      <c r="H140" s="358">
        <f>G140+Electricidad!J229</f>
        <v>0.89649999999999996</v>
      </c>
      <c r="I140" s="358">
        <f>H140</f>
        <v>0.89649999999999996</v>
      </c>
      <c r="J140" s="358">
        <f t="shared" ref="J140:R140" si="85">I140</f>
        <v>0.89649999999999996</v>
      </c>
      <c r="K140" s="358">
        <f t="shared" si="85"/>
        <v>0.89649999999999996</v>
      </c>
      <c r="L140" s="358">
        <f t="shared" si="85"/>
        <v>0.89649999999999996</v>
      </c>
      <c r="M140" s="358">
        <f t="shared" si="85"/>
        <v>0.89649999999999996</v>
      </c>
      <c r="N140" s="358">
        <f t="shared" si="85"/>
        <v>0.89649999999999996</v>
      </c>
      <c r="O140" s="358">
        <f t="shared" si="85"/>
        <v>0.89649999999999996</v>
      </c>
      <c r="P140" s="358">
        <f t="shared" si="85"/>
        <v>0.89649999999999996</v>
      </c>
      <c r="Q140" s="358">
        <f t="shared" si="85"/>
        <v>0.89649999999999996</v>
      </c>
      <c r="R140" s="358">
        <f t="shared" si="85"/>
        <v>0.89649999999999996</v>
      </c>
      <c r="S140" s="221"/>
      <c r="T140" s="221"/>
      <c r="U140" s="221"/>
      <c r="V140" s="221"/>
      <c r="W140" s="221"/>
      <c r="X140" s="221"/>
      <c r="Y140" s="221"/>
      <c r="Z140" s="221"/>
      <c r="AA140" s="221"/>
      <c r="AB140" s="221"/>
      <c r="AC140" s="221"/>
      <c r="AD140" s="221"/>
      <c r="AE140" s="221"/>
      <c r="AF140" s="221"/>
      <c r="AG140" s="221"/>
      <c r="AH140" s="221"/>
      <c r="AI140" s="221"/>
      <c r="AJ140" s="221"/>
      <c r="AK140" s="221"/>
      <c r="AL140" s="1"/>
    </row>
    <row r="141" spans="1:38" ht="16.5" customHeight="1" x14ac:dyDescent="0.45">
      <c r="A141" s="1"/>
      <c r="B141" s="215"/>
      <c r="C141" s="220"/>
      <c r="D141" s="243" t="s">
        <v>199</v>
      </c>
      <c r="E141" s="360"/>
      <c r="F141" s="360"/>
      <c r="G141" s="360"/>
      <c r="H141" s="358"/>
      <c r="I141" s="358"/>
      <c r="J141" s="358"/>
      <c r="K141" s="358"/>
      <c r="L141" s="358"/>
      <c r="M141" s="358"/>
      <c r="N141" s="358"/>
      <c r="O141" s="358"/>
      <c r="P141" s="358"/>
      <c r="Q141" s="358"/>
      <c r="R141" s="358"/>
      <c r="S141" s="221"/>
      <c r="T141" s="221"/>
      <c r="U141" s="221"/>
      <c r="V141" s="221"/>
      <c r="W141" s="221"/>
      <c r="X141" s="221"/>
      <c r="Y141" s="221"/>
      <c r="Z141" s="221"/>
      <c r="AA141" s="221"/>
      <c r="AB141" s="221"/>
      <c r="AC141" s="221"/>
      <c r="AD141" s="221"/>
      <c r="AE141" s="221"/>
      <c r="AF141" s="221"/>
      <c r="AG141" s="221"/>
      <c r="AH141" s="221"/>
      <c r="AI141" s="221"/>
      <c r="AJ141" s="221"/>
      <c r="AK141" s="221"/>
      <c r="AL141" s="1"/>
    </row>
    <row r="142" spans="1:38" ht="16.5" customHeight="1" x14ac:dyDescent="0.45">
      <c r="A142" s="1"/>
      <c r="B142" s="215"/>
      <c r="C142" s="220" t="s">
        <v>200</v>
      </c>
      <c r="D142" s="221" t="s">
        <v>201</v>
      </c>
      <c r="E142" s="360">
        <f t="shared" ref="E142:G147" si="86">E109+E10</f>
        <v>4.2200000000000001E-2</v>
      </c>
      <c r="F142" s="360">
        <f t="shared" si="86"/>
        <v>4.2200000000000001E-2</v>
      </c>
      <c r="G142" s="360">
        <f t="shared" si="86"/>
        <v>4.2200000000000001E-2</v>
      </c>
      <c r="H142" s="358">
        <f>G142+Electricidad!J216</f>
        <v>6.9600000000000009E-2</v>
      </c>
      <c r="I142" s="358">
        <f t="shared" ref="I142:R142" si="87">H142</f>
        <v>6.9600000000000009E-2</v>
      </c>
      <c r="J142" s="358">
        <f t="shared" si="87"/>
        <v>6.9600000000000009E-2</v>
      </c>
      <c r="K142" s="358">
        <f t="shared" si="87"/>
        <v>6.9600000000000009E-2</v>
      </c>
      <c r="L142" s="358">
        <f t="shared" si="87"/>
        <v>6.9600000000000009E-2</v>
      </c>
      <c r="M142" s="358">
        <f t="shared" si="87"/>
        <v>6.9600000000000009E-2</v>
      </c>
      <c r="N142" s="358">
        <f t="shared" si="87"/>
        <v>6.9600000000000009E-2</v>
      </c>
      <c r="O142" s="358">
        <f t="shared" si="87"/>
        <v>6.9600000000000009E-2</v>
      </c>
      <c r="P142" s="358">
        <f t="shared" si="87"/>
        <v>6.9600000000000009E-2</v>
      </c>
      <c r="Q142" s="358">
        <f t="shared" si="87"/>
        <v>6.9600000000000009E-2</v>
      </c>
      <c r="R142" s="358">
        <f t="shared" si="87"/>
        <v>6.9600000000000009E-2</v>
      </c>
      <c r="S142" s="221"/>
      <c r="T142" s="221"/>
      <c r="U142" s="221"/>
      <c r="V142" s="221"/>
      <c r="W142" s="221"/>
      <c r="X142" s="221"/>
      <c r="Y142" s="221"/>
      <c r="Z142" s="221"/>
      <c r="AA142" s="221"/>
      <c r="AB142" s="221"/>
      <c r="AC142" s="221"/>
      <c r="AD142" s="221"/>
      <c r="AE142" s="221"/>
      <c r="AF142" s="221"/>
      <c r="AG142" s="221"/>
      <c r="AH142" s="221"/>
      <c r="AI142" s="221"/>
      <c r="AJ142" s="221"/>
      <c r="AK142" s="221"/>
      <c r="AL142" s="1"/>
    </row>
    <row r="143" spans="1:38" ht="16.5" customHeight="1" x14ac:dyDescent="0.45">
      <c r="A143" s="1"/>
      <c r="B143" s="215"/>
      <c r="C143" s="365" t="s">
        <v>202</v>
      </c>
      <c r="D143" s="366" t="s">
        <v>203</v>
      </c>
      <c r="E143" s="367">
        <f t="shared" si="86"/>
        <v>0.21299999999999999</v>
      </c>
      <c r="F143" s="367">
        <f t="shared" si="86"/>
        <v>0.21299999999999999</v>
      </c>
      <c r="G143" s="367">
        <f t="shared" si="86"/>
        <v>0.21299999999999999</v>
      </c>
      <c r="H143" s="368">
        <f>G143+H110</f>
        <v>0.21299999999999999</v>
      </c>
      <c r="I143" s="368">
        <f t="shared" ref="I143:R143" si="88">H143+I110</f>
        <v>0.21299999999999999</v>
      </c>
      <c r="J143" s="368">
        <f t="shared" si="88"/>
        <v>0.41839999999999999</v>
      </c>
      <c r="K143" s="368">
        <f t="shared" si="88"/>
        <v>0.49340000000000001</v>
      </c>
      <c r="L143" s="368">
        <f t="shared" si="88"/>
        <v>0.49340000000000001</v>
      </c>
      <c r="M143" s="368">
        <f t="shared" si="88"/>
        <v>0.49340000000000001</v>
      </c>
      <c r="N143" s="368">
        <f t="shared" si="88"/>
        <v>0.49340000000000001</v>
      </c>
      <c r="O143" s="368">
        <f t="shared" si="88"/>
        <v>0.49340000000000001</v>
      </c>
      <c r="P143" s="368">
        <f t="shared" si="88"/>
        <v>0.49340000000000001</v>
      </c>
      <c r="Q143" s="368">
        <f t="shared" si="88"/>
        <v>0.49340000000000001</v>
      </c>
      <c r="R143" s="368">
        <f t="shared" si="88"/>
        <v>0.49340000000000001</v>
      </c>
      <c r="S143" s="221"/>
      <c r="T143" s="221"/>
      <c r="U143" s="221"/>
      <c r="V143" s="221"/>
      <c r="W143" s="221"/>
      <c r="X143" s="221"/>
      <c r="Y143" s="221"/>
      <c r="Z143" s="221"/>
      <c r="AA143" s="221"/>
      <c r="AB143" s="221"/>
      <c r="AC143" s="221"/>
      <c r="AD143" s="221"/>
      <c r="AE143" s="221"/>
      <c r="AF143" s="221"/>
      <c r="AG143" s="221"/>
      <c r="AH143" s="221"/>
      <c r="AI143" s="221"/>
      <c r="AJ143" s="221"/>
      <c r="AK143" s="221"/>
      <c r="AL143" s="1"/>
    </row>
    <row r="144" spans="1:38" ht="16.5" customHeight="1" x14ac:dyDescent="0.45">
      <c r="A144" s="1"/>
      <c r="B144" s="215"/>
      <c r="C144" s="365" t="s">
        <v>204</v>
      </c>
      <c r="D144" s="366" t="s">
        <v>205</v>
      </c>
      <c r="E144" s="367">
        <f t="shared" si="86"/>
        <v>0</v>
      </c>
      <c r="F144" s="367">
        <f t="shared" si="86"/>
        <v>0</v>
      </c>
      <c r="G144" s="367">
        <f t="shared" si="86"/>
        <v>0</v>
      </c>
      <c r="H144" s="368">
        <f>H111</f>
        <v>0</v>
      </c>
      <c r="I144" s="368">
        <f t="shared" ref="I144:R145" si="89">I111</f>
        <v>0</v>
      </c>
      <c r="J144" s="368">
        <f t="shared" si="89"/>
        <v>0</v>
      </c>
      <c r="K144" s="368">
        <f t="shared" si="89"/>
        <v>0</v>
      </c>
      <c r="L144" s="368">
        <f t="shared" si="89"/>
        <v>0</v>
      </c>
      <c r="M144" s="368">
        <f t="shared" si="89"/>
        <v>0</v>
      </c>
      <c r="N144" s="368">
        <f t="shared" si="89"/>
        <v>0</v>
      </c>
      <c r="O144" s="368">
        <f t="shared" si="89"/>
        <v>0</v>
      </c>
      <c r="P144" s="368">
        <f t="shared" si="89"/>
        <v>0</v>
      </c>
      <c r="Q144" s="368">
        <f t="shared" si="89"/>
        <v>0</v>
      </c>
      <c r="R144" s="368">
        <f t="shared" si="89"/>
        <v>0</v>
      </c>
      <c r="S144" s="221"/>
      <c r="T144" s="221"/>
      <c r="U144" s="221"/>
      <c r="V144" s="221"/>
      <c r="W144" s="221"/>
      <c r="X144" s="221"/>
      <c r="Y144" s="221"/>
      <c r="Z144" s="221"/>
      <c r="AA144" s="221"/>
      <c r="AB144" s="221"/>
      <c r="AC144" s="221"/>
      <c r="AD144" s="221"/>
      <c r="AE144" s="221"/>
      <c r="AF144" s="221"/>
      <c r="AG144" s="221"/>
      <c r="AH144" s="221"/>
      <c r="AI144" s="221"/>
      <c r="AJ144" s="221"/>
      <c r="AK144" s="221"/>
      <c r="AL144" s="1"/>
    </row>
    <row r="145" spans="1:38" ht="16.5" customHeight="1" x14ac:dyDescent="0.45">
      <c r="A145" s="1"/>
      <c r="B145" s="215"/>
      <c r="C145" s="365" t="s">
        <v>206</v>
      </c>
      <c r="D145" s="366" t="s">
        <v>207</v>
      </c>
      <c r="E145" s="367">
        <f t="shared" si="86"/>
        <v>0</v>
      </c>
      <c r="F145" s="367">
        <f t="shared" si="86"/>
        <v>0</v>
      </c>
      <c r="G145" s="367">
        <f t="shared" si="86"/>
        <v>0</v>
      </c>
      <c r="H145" s="368">
        <f>H112</f>
        <v>0</v>
      </c>
      <c r="I145" s="368">
        <f t="shared" si="89"/>
        <v>0</v>
      </c>
      <c r="J145" s="368">
        <f t="shared" si="89"/>
        <v>0</v>
      </c>
      <c r="K145" s="368">
        <f t="shared" si="89"/>
        <v>7.1999999999999998E-3</v>
      </c>
      <c r="L145" s="368">
        <f t="shared" si="89"/>
        <v>1.46E-2</v>
      </c>
      <c r="M145" s="368">
        <f t="shared" si="89"/>
        <v>0</v>
      </c>
      <c r="N145" s="368">
        <f t="shared" si="89"/>
        <v>0</v>
      </c>
      <c r="O145" s="368">
        <f t="shared" si="89"/>
        <v>0</v>
      </c>
      <c r="P145" s="368">
        <f t="shared" si="89"/>
        <v>0</v>
      </c>
      <c r="Q145" s="368">
        <f t="shared" si="89"/>
        <v>0</v>
      </c>
      <c r="R145" s="368">
        <f t="shared" si="89"/>
        <v>0</v>
      </c>
      <c r="S145" s="221"/>
      <c r="T145" s="221"/>
      <c r="U145" s="221"/>
      <c r="V145" s="221"/>
      <c r="W145" s="221"/>
      <c r="X145" s="221"/>
      <c r="Y145" s="221"/>
      <c r="Z145" s="221"/>
      <c r="AA145" s="221"/>
      <c r="AB145" s="221"/>
      <c r="AC145" s="221"/>
      <c r="AD145" s="221"/>
      <c r="AE145" s="221"/>
      <c r="AF145" s="221"/>
      <c r="AG145" s="221"/>
      <c r="AH145" s="221"/>
      <c r="AI145" s="221"/>
      <c r="AJ145" s="221"/>
      <c r="AK145" s="221"/>
      <c r="AL145" s="1"/>
    </row>
    <row r="146" spans="1:38" ht="16.5" customHeight="1" x14ac:dyDescent="0.45">
      <c r="A146" s="1"/>
      <c r="B146" s="215"/>
      <c r="C146" s="220" t="s">
        <v>208</v>
      </c>
      <c r="D146" s="221" t="s">
        <v>209</v>
      </c>
      <c r="E146" s="360">
        <f t="shared" si="86"/>
        <v>0.40300000000000002</v>
      </c>
      <c r="F146" s="360">
        <f t="shared" si="86"/>
        <v>0.40300000000000002</v>
      </c>
      <c r="G146" s="360">
        <f t="shared" si="86"/>
        <v>0.40300000000000002</v>
      </c>
      <c r="H146" s="358">
        <f>G146+Electricidad!J220</f>
        <v>0.92218</v>
      </c>
      <c r="I146" s="358">
        <f t="shared" ref="I146:R146" si="90">H146</f>
        <v>0.92218</v>
      </c>
      <c r="J146" s="358">
        <f t="shared" si="90"/>
        <v>0.92218</v>
      </c>
      <c r="K146" s="358">
        <f t="shared" si="90"/>
        <v>0.92218</v>
      </c>
      <c r="L146" s="358">
        <f t="shared" si="90"/>
        <v>0.92218</v>
      </c>
      <c r="M146" s="358">
        <f t="shared" si="90"/>
        <v>0.92218</v>
      </c>
      <c r="N146" s="358">
        <f t="shared" si="90"/>
        <v>0.92218</v>
      </c>
      <c r="O146" s="358">
        <f t="shared" si="90"/>
        <v>0.92218</v>
      </c>
      <c r="P146" s="358">
        <f t="shared" si="90"/>
        <v>0.92218</v>
      </c>
      <c r="Q146" s="358">
        <f t="shared" si="90"/>
        <v>0.92218</v>
      </c>
      <c r="R146" s="358">
        <f t="shared" si="90"/>
        <v>0.92218</v>
      </c>
      <c r="S146" s="221"/>
      <c r="T146" s="221"/>
      <c r="U146" s="221"/>
      <c r="V146" s="221"/>
      <c r="W146" s="221"/>
      <c r="X146" s="221"/>
      <c r="Y146" s="221"/>
      <c r="Z146" s="221"/>
      <c r="AA146" s="221"/>
      <c r="AB146" s="221"/>
      <c r="AC146" s="221"/>
      <c r="AD146" s="221"/>
      <c r="AE146" s="221"/>
      <c r="AF146" s="221"/>
      <c r="AG146" s="221"/>
      <c r="AH146" s="221"/>
      <c r="AI146" s="221"/>
      <c r="AJ146" s="221"/>
      <c r="AK146" s="221"/>
      <c r="AL146" s="1"/>
    </row>
    <row r="147" spans="1:38" ht="16.5" customHeight="1" x14ac:dyDescent="0.45">
      <c r="A147" s="1"/>
      <c r="B147" s="215"/>
      <c r="C147" s="220" t="s">
        <v>210</v>
      </c>
      <c r="D147" s="221" t="s">
        <v>211</v>
      </c>
      <c r="E147" s="360">
        <f t="shared" si="86"/>
        <v>1.075</v>
      </c>
      <c r="F147" s="360">
        <f t="shared" si="86"/>
        <v>1.075</v>
      </c>
      <c r="G147" s="360">
        <f t="shared" si="86"/>
        <v>1.075</v>
      </c>
      <c r="H147" s="358">
        <f>G147+Electricidad!J221</f>
        <v>2.8558000000000003</v>
      </c>
      <c r="I147" s="358">
        <f t="shared" ref="I147:R147" si="91">H147</f>
        <v>2.8558000000000003</v>
      </c>
      <c r="J147" s="358">
        <f t="shared" si="91"/>
        <v>2.8558000000000003</v>
      </c>
      <c r="K147" s="358">
        <f t="shared" si="91"/>
        <v>2.8558000000000003</v>
      </c>
      <c r="L147" s="358">
        <f t="shared" si="91"/>
        <v>2.8558000000000003</v>
      </c>
      <c r="M147" s="358">
        <f t="shared" si="91"/>
        <v>2.8558000000000003</v>
      </c>
      <c r="N147" s="358">
        <f t="shared" si="91"/>
        <v>2.8558000000000003</v>
      </c>
      <c r="O147" s="358">
        <f t="shared" si="91"/>
        <v>2.8558000000000003</v>
      </c>
      <c r="P147" s="358">
        <f t="shared" si="91"/>
        <v>2.8558000000000003</v>
      </c>
      <c r="Q147" s="358">
        <f t="shared" si="91"/>
        <v>2.8558000000000003</v>
      </c>
      <c r="R147" s="358">
        <f t="shared" si="91"/>
        <v>2.8558000000000003</v>
      </c>
      <c r="S147" s="221"/>
      <c r="T147" s="221"/>
      <c r="U147" s="221"/>
      <c r="V147" s="221"/>
      <c r="W147" s="221"/>
      <c r="X147" s="221"/>
      <c r="Y147" s="221"/>
      <c r="Z147" s="221"/>
      <c r="AA147" s="221"/>
      <c r="AB147" s="221"/>
      <c r="AC147" s="221"/>
      <c r="AD147" s="221"/>
      <c r="AE147" s="221"/>
      <c r="AF147" s="221"/>
      <c r="AG147" s="221"/>
      <c r="AH147" s="221"/>
      <c r="AI147" s="221"/>
      <c r="AJ147" s="221"/>
      <c r="AK147" s="221"/>
      <c r="AL147" s="1"/>
    </row>
    <row r="148" spans="1:38" ht="16.5" customHeight="1" x14ac:dyDescent="0.45">
      <c r="A148" s="1"/>
      <c r="B148" s="215"/>
      <c r="C148" s="220"/>
      <c r="D148" s="243" t="s">
        <v>212</v>
      </c>
      <c r="E148" s="360"/>
      <c r="F148" s="360"/>
      <c r="G148" s="360"/>
      <c r="H148" s="358"/>
      <c r="I148" s="358"/>
      <c r="J148" s="358"/>
      <c r="K148" s="358"/>
      <c r="L148" s="358"/>
      <c r="M148" s="358"/>
      <c r="N148" s="358"/>
      <c r="O148" s="358"/>
      <c r="P148" s="358"/>
      <c r="Q148" s="358"/>
      <c r="R148" s="358"/>
      <c r="S148" s="221"/>
      <c r="T148" s="221"/>
      <c r="U148" s="221"/>
      <c r="V148" s="221"/>
      <c r="W148" s="221"/>
      <c r="X148" s="221"/>
      <c r="Y148" s="221"/>
      <c r="Z148" s="221"/>
      <c r="AA148" s="221"/>
      <c r="AB148" s="221"/>
      <c r="AC148" s="221"/>
      <c r="AD148" s="221"/>
      <c r="AE148" s="221"/>
      <c r="AF148" s="221"/>
      <c r="AG148" s="221"/>
      <c r="AH148" s="221"/>
      <c r="AI148" s="221"/>
      <c r="AJ148" s="221"/>
      <c r="AK148" s="221"/>
      <c r="AL148" s="1"/>
    </row>
    <row r="149" spans="1:38" ht="16.5" customHeight="1" x14ac:dyDescent="0.45">
      <c r="A149" s="1"/>
      <c r="B149" s="215"/>
      <c r="C149" s="164" t="s">
        <v>213</v>
      </c>
      <c r="D149" s="221" t="s">
        <v>201</v>
      </c>
      <c r="E149" s="360">
        <f t="shared" ref="E149:G167" si="92">E116+E17</f>
        <v>5.4393999999999998E-2</v>
      </c>
      <c r="F149" s="360">
        <f t="shared" si="92"/>
        <v>5.4393999999999991E-2</v>
      </c>
      <c r="G149" s="360">
        <f t="shared" si="92"/>
        <v>6.4539999999999986E-2</v>
      </c>
      <c r="H149" s="358">
        <f>G149+Electricidad!J223+H109</f>
        <v>0.17414000000000002</v>
      </c>
      <c r="I149" s="358">
        <f>H149+Electricidad!K223+I109</f>
        <v>0.22314000000000001</v>
      </c>
      <c r="J149" s="358">
        <f>I149+Electricidad!L223+J109</f>
        <v>0.22314000000000001</v>
      </c>
      <c r="K149" s="358">
        <f>J149+Electricidad!M223+K109</f>
        <v>0.22314000000000001</v>
      </c>
      <c r="L149" s="358">
        <f>K149+Electricidad!N223+L109</f>
        <v>0.22314000000000001</v>
      </c>
      <c r="M149" s="358">
        <f>L149+Electricidad!O223+M109</f>
        <v>0.22314000000000001</v>
      </c>
      <c r="N149" s="358">
        <f>M149+Electricidad!P223+N109</f>
        <v>0.22314000000000001</v>
      </c>
      <c r="O149" s="358">
        <f>N149+Electricidad!Q223+O109</f>
        <v>0.22314000000000001</v>
      </c>
      <c r="P149" s="358">
        <f>O149+Electricidad!R223+P109</f>
        <v>0.22314000000000001</v>
      </c>
      <c r="Q149" s="358">
        <f>P149+Electricidad!S223+Q109</f>
        <v>0.22314000000000001</v>
      </c>
      <c r="R149" s="358">
        <f>Q149+Electricidad!T223+R109</f>
        <v>0.22314000000000001</v>
      </c>
      <c r="S149" s="221"/>
      <c r="T149" s="221"/>
      <c r="U149" s="221"/>
      <c r="V149" s="221"/>
      <c r="W149" s="221"/>
      <c r="X149" s="221"/>
      <c r="Y149" s="221"/>
      <c r="Z149" s="221"/>
      <c r="AA149" s="221"/>
      <c r="AB149" s="221"/>
      <c r="AC149" s="221"/>
      <c r="AD149" s="221"/>
      <c r="AE149" s="221"/>
      <c r="AF149" s="221"/>
      <c r="AG149" s="221"/>
      <c r="AH149" s="221"/>
      <c r="AI149" s="221"/>
      <c r="AJ149" s="221"/>
      <c r="AK149" s="221"/>
      <c r="AL149" s="1"/>
    </row>
    <row r="150" spans="1:38" ht="15.75" customHeight="1" x14ac:dyDescent="0.45">
      <c r="A150" s="1"/>
      <c r="B150" s="215"/>
      <c r="C150" s="365" t="s">
        <v>214</v>
      </c>
      <c r="D150" s="366" t="s">
        <v>203</v>
      </c>
      <c r="E150" s="367">
        <f t="shared" si="92"/>
        <v>0.33335999999999999</v>
      </c>
      <c r="F150" s="367">
        <f t="shared" si="92"/>
        <v>0.33335999999999999</v>
      </c>
      <c r="G150" s="367">
        <f t="shared" si="92"/>
        <v>0.33335999999999999</v>
      </c>
      <c r="H150" s="368">
        <f>G150+Electricidad!J224+H117</f>
        <v>0.33335999999999999</v>
      </c>
      <c r="I150" s="368">
        <f t="shared" ref="I150:R150" si="93">H150+I117</f>
        <v>0.33335999999999999</v>
      </c>
      <c r="J150" s="368">
        <f t="shared" si="93"/>
        <v>0.33335999999999999</v>
      </c>
      <c r="K150" s="368">
        <f t="shared" si="93"/>
        <v>0.40836</v>
      </c>
      <c r="L150" s="368">
        <f t="shared" si="93"/>
        <v>0.40836</v>
      </c>
      <c r="M150" s="368">
        <f t="shared" si="93"/>
        <v>0.40836</v>
      </c>
      <c r="N150" s="368">
        <f t="shared" si="93"/>
        <v>0.40836</v>
      </c>
      <c r="O150" s="368">
        <f t="shared" si="93"/>
        <v>0.60236000000000001</v>
      </c>
      <c r="P150" s="368">
        <f t="shared" si="93"/>
        <v>0.60236000000000001</v>
      </c>
      <c r="Q150" s="368">
        <f t="shared" si="93"/>
        <v>0.60236000000000001</v>
      </c>
      <c r="R150" s="368">
        <f t="shared" si="93"/>
        <v>0.60236000000000001</v>
      </c>
      <c r="S150" s="221"/>
      <c r="T150" s="221"/>
      <c r="U150" s="221"/>
      <c r="V150" s="221"/>
      <c r="W150" s="221"/>
      <c r="X150" s="221"/>
      <c r="Y150" s="221"/>
      <c r="Z150" s="221"/>
      <c r="AA150" s="221"/>
      <c r="AB150" s="221"/>
      <c r="AC150" s="221"/>
      <c r="AD150" s="221"/>
      <c r="AE150" s="221"/>
      <c r="AF150" s="221"/>
      <c r="AG150" s="221"/>
      <c r="AH150" s="221"/>
      <c r="AI150" s="221"/>
      <c r="AJ150" s="221"/>
      <c r="AK150" s="221"/>
      <c r="AL150" s="1"/>
    </row>
    <row r="151" spans="1:38" ht="16.5" customHeight="1" x14ac:dyDescent="0.45">
      <c r="A151" s="1"/>
      <c r="B151" s="215"/>
      <c r="C151" s="365" t="s">
        <v>215</v>
      </c>
      <c r="D151" s="366" t="s">
        <v>205</v>
      </c>
      <c r="E151" s="367">
        <f t="shared" si="92"/>
        <v>0</v>
      </c>
      <c r="F151" s="367">
        <f t="shared" si="92"/>
        <v>0</v>
      </c>
      <c r="G151" s="367">
        <f t="shared" si="92"/>
        <v>0</v>
      </c>
      <c r="H151" s="368">
        <f>H118</f>
        <v>0</v>
      </c>
      <c r="I151" s="368">
        <f t="shared" ref="I151:R151" si="94">I118</f>
        <v>0</v>
      </c>
      <c r="J151" s="368">
        <f t="shared" si="94"/>
        <v>0</v>
      </c>
      <c r="K151" s="368">
        <f t="shared" si="94"/>
        <v>0</v>
      </c>
      <c r="L151" s="368">
        <f t="shared" si="94"/>
        <v>0</v>
      </c>
      <c r="M151" s="368">
        <f t="shared" si="94"/>
        <v>0</v>
      </c>
      <c r="N151" s="368">
        <f t="shared" si="94"/>
        <v>0</v>
      </c>
      <c r="O151" s="368">
        <f t="shared" si="94"/>
        <v>0</v>
      </c>
      <c r="P151" s="368">
        <f t="shared" si="94"/>
        <v>0</v>
      </c>
      <c r="Q151" s="368">
        <f t="shared" si="94"/>
        <v>0</v>
      </c>
      <c r="R151" s="368">
        <f t="shared" si="94"/>
        <v>0</v>
      </c>
      <c r="S151" s="221"/>
      <c r="T151" s="221"/>
      <c r="U151" s="221"/>
      <c r="V151" s="221"/>
      <c r="W151" s="221"/>
      <c r="X151" s="221"/>
      <c r="Y151" s="221"/>
      <c r="Z151" s="221"/>
      <c r="AA151" s="221"/>
      <c r="AB151" s="221"/>
      <c r="AC151" s="221"/>
      <c r="AD151" s="221"/>
      <c r="AE151" s="221"/>
      <c r="AF151" s="221"/>
      <c r="AG151" s="221"/>
      <c r="AH151" s="221"/>
      <c r="AI151" s="221"/>
      <c r="AJ151" s="221"/>
      <c r="AK151" s="221"/>
      <c r="AL151" s="1"/>
    </row>
    <row r="152" spans="1:38" ht="16.5" customHeight="1" x14ac:dyDescent="0.45">
      <c r="A152" s="1"/>
      <c r="B152" s="215"/>
      <c r="C152" s="220" t="s">
        <v>216</v>
      </c>
      <c r="D152" s="221" t="s">
        <v>207</v>
      </c>
      <c r="E152" s="360">
        <f t="shared" si="92"/>
        <v>0.54239000000000004</v>
      </c>
      <c r="F152" s="360">
        <f t="shared" si="92"/>
        <v>0.55239000000000005</v>
      </c>
      <c r="G152" s="360">
        <f t="shared" si="92"/>
        <v>0.500282</v>
      </c>
      <c r="H152" s="358">
        <f>G152+Electricidad!J226</f>
        <v>1.937182</v>
      </c>
      <c r="I152" s="358">
        <f t="shared" ref="I152:R152" si="95">H152</f>
        <v>1.937182</v>
      </c>
      <c r="J152" s="358">
        <f t="shared" si="95"/>
        <v>1.937182</v>
      </c>
      <c r="K152" s="358">
        <f t="shared" si="95"/>
        <v>1.937182</v>
      </c>
      <c r="L152" s="358">
        <f t="shared" si="95"/>
        <v>1.937182</v>
      </c>
      <c r="M152" s="358">
        <f t="shared" si="95"/>
        <v>1.937182</v>
      </c>
      <c r="N152" s="358">
        <f t="shared" si="95"/>
        <v>1.937182</v>
      </c>
      <c r="O152" s="358">
        <f t="shared" si="95"/>
        <v>1.937182</v>
      </c>
      <c r="P152" s="358">
        <f t="shared" si="95"/>
        <v>1.937182</v>
      </c>
      <c r="Q152" s="358">
        <f t="shared" si="95"/>
        <v>1.937182</v>
      </c>
      <c r="R152" s="358">
        <f t="shared" si="95"/>
        <v>1.937182</v>
      </c>
      <c r="S152" s="221"/>
      <c r="T152" s="221"/>
      <c r="U152" s="221"/>
      <c r="V152" s="221"/>
      <c r="W152" s="221"/>
      <c r="X152" s="221"/>
      <c r="Y152" s="221"/>
      <c r="Z152" s="221"/>
      <c r="AA152" s="221"/>
      <c r="AB152" s="221"/>
      <c r="AC152" s="221"/>
      <c r="AD152" s="221"/>
      <c r="AE152" s="221"/>
      <c r="AF152" s="221"/>
      <c r="AG152" s="221"/>
      <c r="AH152" s="221"/>
      <c r="AI152" s="221"/>
      <c r="AJ152" s="221"/>
      <c r="AK152" s="221"/>
      <c r="AL152" s="1"/>
    </row>
    <row r="153" spans="1:38" ht="16.5" customHeight="1" x14ac:dyDescent="0.45">
      <c r="A153" s="1"/>
      <c r="B153" s="215"/>
      <c r="C153" s="220" t="s">
        <v>217</v>
      </c>
      <c r="D153" s="221" t="s">
        <v>209</v>
      </c>
      <c r="E153" s="360">
        <f t="shared" si="92"/>
        <v>0.41</v>
      </c>
      <c r="F153" s="360">
        <f t="shared" si="92"/>
        <v>0.41</v>
      </c>
      <c r="G153" s="360">
        <f t="shared" si="92"/>
        <v>0.47430399999999995</v>
      </c>
      <c r="H153" s="358">
        <f>G153+Electricidad!J227</f>
        <v>2.551024</v>
      </c>
      <c r="I153" s="358">
        <f t="shared" ref="I153:R153" si="96">H153</f>
        <v>2.551024</v>
      </c>
      <c r="J153" s="358">
        <f t="shared" si="96"/>
        <v>2.551024</v>
      </c>
      <c r="K153" s="358">
        <f t="shared" si="96"/>
        <v>2.551024</v>
      </c>
      <c r="L153" s="358">
        <f t="shared" si="96"/>
        <v>2.551024</v>
      </c>
      <c r="M153" s="358">
        <f t="shared" si="96"/>
        <v>2.551024</v>
      </c>
      <c r="N153" s="358">
        <f t="shared" si="96"/>
        <v>2.551024</v>
      </c>
      <c r="O153" s="358">
        <f t="shared" si="96"/>
        <v>2.551024</v>
      </c>
      <c r="P153" s="358">
        <f t="shared" si="96"/>
        <v>2.551024</v>
      </c>
      <c r="Q153" s="358">
        <f t="shared" si="96"/>
        <v>2.551024</v>
      </c>
      <c r="R153" s="358">
        <f t="shared" si="96"/>
        <v>2.551024</v>
      </c>
      <c r="S153" s="221"/>
      <c r="T153" s="221"/>
      <c r="U153" s="221"/>
      <c r="V153" s="221"/>
      <c r="W153" s="221"/>
      <c r="X153" s="221"/>
      <c r="Y153" s="221"/>
      <c r="Z153" s="221"/>
      <c r="AA153" s="221"/>
      <c r="AB153" s="221"/>
      <c r="AC153" s="221"/>
      <c r="AD153" s="221"/>
      <c r="AE153" s="221"/>
      <c r="AF153" s="221"/>
      <c r="AG153" s="221"/>
      <c r="AH153" s="221"/>
      <c r="AI153" s="221"/>
      <c r="AJ153" s="221"/>
      <c r="AK153" s="221"/>
      <c r="AL153" s="1"/>
    </row>
    <row r="154" spans="1:38" ht="16.5" customHeight="1" x14ac:dyDescent="0.45">
      <c r="A154" s="1"/>
      <c r="B154" s="215"/>
      <c r="C154" s="220" t="s">
        <v>218</v>
      </c>
      <c r="D154" s="221" t="s">
        <v>211</v>
      </c>
      <c r="E154" s="360">
        <f t="shared" si="92"/>
        <v>1.9869999899999999</v>
      </c>
      <c r="F154" s="360">
        <f t="shared" si="92"/>
        <v>1.9869999899999999</v>
      </c>
      <c r="G154" s="360">
        <f t="shared" si="92"/>
        <v>1.9869999899999999</v>
      </c>
      <c r="H154" s="358">
        <f>G154+Electricidad!J228</f>
        <v>9.1101999899999999</v>
      </c>
      <c r="I154" s="358">
        <f t="shared" ref="I154:R154" si="97">H154</f>
        <v>9.1101999899999999</v>
      </c>
      <c r="J154" s="358">
        <f t="shared" si="97"/>
        <v>9.1101999899999999</v>
      </c>
      <c r="K154" s="358">
        <f t="shared" si="97"/>
        <v>9.1101999899999999</v>
      </c>
      <c r="L154" s="358">
        <f t="shared" si="97"/>
        <v>9.1101999899999999</v>
      </c>
      <c r="M154" s="358">
        <f t="shared" si="97"/>
        <v>9.1101999899999999</v>
      </c>
      <c r="N154" s="358">
        <f t="shared" si="97"/>
        <v>9.1101999899999999</v>
      </c>
      <c r="O154" s="358">
        <f t="shared" si="97"/>
        <v>9.1101999899999999</v>
      </c>
      <c r="P154" s="358">
        <f t="shared" si="97"/>
        <v>9.1101999899999999</v>
      </c>
      <c r="Q154" s="358">
        <f t="shared" si="97"/>
        <v>9.1101999899999999</v>
      </c>
      <c r="R154" s="358">
        <f t="shared" si="97"/>
        <v>9.1101999899999999</v>
      </c>
      <c r="S154" s="221"/>
      <c r="T154" s="221"/>
      <c r="U154" s="221"/>
      <c r="V154" s="221"/>
      <c r="W154" s="221"/>
      <c r="X154" s="221"/>
      <c r="Y154" s="221"/>
      <c r="Z154" s="221"/>
      <c r="AA154" s="221"/>
      <c r="AB154" s="221"/>
      <c r="AC154" s="221"/>
      <c r="AD154" s="221"/>
      <c r="AE154" s="221"/>
      <c r="AF154" s="221"/>
      <c r="AG154" s="221"/>
      <c r="AH154" s="221"/>
      <c r="AI154" s="221"/>
      <c r="AJ154" s="221"/>
      <c r="AK154" s="221"/>
      <c r="AL154" s="1"/>
    </row>
    <row r="155" spans="1:38" ht="16.5" customHeight="1" x14ac:dyDescent="0.45">
      <c r="A155" s="1"/>
      <c r="B155" s="215"/>
      <c r="C155" s="220" t="s">
        <v>177</v>
      </c>
      <c r="D155" s="243" t="s">
        <v>257</v>
      </c>
      <c r="E155" s="360">
        <f t="shared" si="92"/>
        <v>2.4460819999999991E-2</v>
      </c>
      <c r="F155" s="360">
        <f t="shared" si="92"/>
        <v>2.4460819999999991E-2</v>
      </c>
      <c r="G155" s="360">
        <f t="shared" si="92"/>
        <v>2.4460819999999991E-2</v>
      </c>
      <c r="H155" s="358">
        <f>G155+Electricidad!J230</f>
        <v>18.024460820000002</v>
      </c>
      <c r="I155" s="358">
        <f t="shared" ref="I155:R155" si="98">H155</f>
        <v>18.024460820000002</v>
      </c>
      <c r="J155" s="358">
        <f t="shared" si="98"/>
        <v>18.024460820000002</v>
      </c>
      <c r="K155" s="358">
        <f t="shared" si="98"/>
        <v>18.024460820000002</v>
      </c>
      <c r="L155" s="358">
        <f t="shared" si="98"/>
        <v>18.024460820000002</v>
      </c>
      <c r="M155" s="358">
        <f t="shared" si="98"/>
        <v>18.024460820000002</v>
      </c>
      <c r="N155" s="358">
        <f t="shared" si="98"/>
        <v>18.024460820000002</v>
      </c>
      <c r="O155" s="358">
        <f t="shared" si="98"/>
        <v>18.024460820000002</v>
      </c>
      <c r="P155" s="358">
        <f t="shared" si="98"/>
        <v>18.024460820000002</v>
      </c>
      <c r="Q155" s="358">
        <f t="shared" si="98"/>
        <v>18.024460820000002</v>
      </c>
      <c r="R155" s="358">
        <f t="shared" si="98"/>
        <v>18.024460820000002</v>
      </c>
      <c r="S155" s="221"/>
      <c r="T155" s="221"/>
      <c r="U155" s="221"/>
      <c r="V155" s="221"/>
      <c r="W155" s="221"/>
      <c r="X155" s="221"/>
      <c r="Y155" s="221"/>
      <c r="Z155" s="221"/>
      <c r="AA155" s="221"/>
      <c r="AB155" s="221"/>
      <c r="AC155" s="221"/>
      <c r="AD155" s="221"/>
      <c r="AE155" s="221"/>
      <c r="AF155" s="221"/>
      <c r="AG155" s="221"/>
      <c r="AH155" s="221"/>
      <c r="AI155" s="221"/>
      <c r="AJ155" s="221"/>
      <c r="AK155" s="221"/>
      <c r="AL155" s="1"/>
    </row>
    <row r="156" spans="1:38" ht="16.5" customHeight="1" x14ac:dyDescent="0.45">
      <c r="A156" s="1"/>
      <c r="B156" s="215"/>
      <c r="C156" s="220"/>
      <c r="D156" s="243" t="s">
        <v>344</v>
      </c>
      <c r="E156" s="360">
        <f t="shared" si="92"/>
        <v>0</v>
      </c>
      <c r="F156" s="360">
        <f t="shared" si="92"/>
        <v>0</v>
      </c>
      <c r="G156" s="360">
        <f t="shared" si="92"/>
        <v>0</v>
      </c>
      <c r="H156" s="358">
        <v>99999</v>
      </c>
      <c r="I156" s="358">
        <f t="shared" ref="I156:R156" si="99">H156</f>
        <v>99999</v>
      </c>
      <c r="J156" s="358">
        <f t="shared" si="99"/>
        <v>99999</v>
      </c>
      <c r="K156" s="358">
        <f t="shared" si="99"/>
        <v>99999</v>
      </c>
      <c r="L156" s="358">
        <f t="shared" si="99"/>
        <v>99999</v>
      </c>
      <c r="M156" s="358">
        <f t="shared" si="99"/>
        <v>99999</v>
      </c>
      <c r="N156" s="358">
        <f t="shared" si="99"/>
        <v>99999</v>
      </c>
      <c r="O156" s="358">
        <f t="shared" si="99"/>
        <v>99999</v>
      </c>
      <c r="P156" s="358">
        <f t="shared" si="99"/>
        <v>99999</v>
      </c>
      <c r="Q156" s="358">
        <f t="shared" si="99"/>
        <v>99999</v>
      </c>
      <c r="R156" s="358">
        <f t="shared" si="99"/>
        <v>99999</v>
      </c>
      <c r="S156" s="221"/>
      <c r="T156" s="221"/>
      <c r="U156" s="221"/>
      <c r="V156" s="221"/>
      <c r="W156" s="221"/>
      <c r="X156" s="221"/>
      <c r="Y156" s="221"/>
      <c r="Z156" s="221"/>
      <c r="AA156" s="221"/>
      <c r="AB156" s="221"/>
      <c r="AC156" s="221"/>
      <c r="AD156" s="221"/>
      <c r="AE156" s="221"/>
      <c r="AF156" s="221"/>
      <c r="AG156" s="221"/>
      <c r="AH156" s="221"/>
      <c r="AI156" s="221"/>
      <c r="AJ156" s="221"/>
      <c r="AK156" s="221"/>
      <c r="AL156" s="1"/>
    </row>
    <row r="157" spans="1:38" ht="16.5" customHeight="1" x14ac:dyDescent="0.45">
      <c r="A157" s="1"/>
      <c r="B157" s="215"/>
      <c r="C157" s="220"/>
      <c r="D157" s="228" t="s">
        <v>180</v>
      </c>
      <c r="E157" s="360">
        <f t="shared" si="92"/>
        <v>0</v>
      </c>
      <c r="F157" s="360">
        <f t="shared" si="92"/>
        <v>0</v>
      </c>
      <c r="G157" s="360">
        <f t="shared" si="92"/>
        <v>0</v>
      </c>
      <c r="H157" s="358">
        <v>99999</v>
      </c>
      <c r="I157" s="358">
        <f t="shared" ref="I157:R157" si="100">H157</f>
        <v>99999</v>
      </c>
      <c r="J157" s="358">
        <f t="shared" si="100"/>
        <v>99999</v>
      </c>
      <c r="K157" s="358">
        <f t="shared" si="100"/>
        <v>99999</v>
      </c>
      <c r="L157" s="358">
        <f t="shared" si="100"/>
        <v>99999</v>
      </c>
      <c r="M157" s="358">
        <f t="shared" si="100"/>
        <v>99999</v>
      </c>
      <c r="N157" s="358">
        <f t="shared" si="100"/>
        <v>99999</v>
      </c>
      <c r="O157" s="358">
        <f t="shared" si="100"/>
        <v>99999</v>
      </c>
      <c r="P157" s="358">
        <f t="shared" si="100"/>
        <v>99999</v>
      </c>
      <c r="Q157" s="358">
        <f t="shared" si="100"/>
        <v>99999</v>
      </c>
      <c r="R157" s="358">
        <f t="shared" si="100"/>
        <v>99999</v>
      </c>
      <c r="S157" s="221"/>
      <c r="T157" s="221"/>
      <c r="U157" s="221"/>
      <c r="V157" s="221"/>
      <c r="W157" s="221"/>
      <c r="X157" s="221"/>
      <c r="Y157" s="221"/>
      <c r="Z157" s="221"/>
      <c r="AA157" s="221"/>
      <c r="AB157" s="221"/>
      <c r="AC157" s="221"/>
      <c r="AD157" s="221"/>
      <c r="AE157" s="221"/>
      <c r="AF157" s="221"/>
      <c r="AG157" s="221"/>
      <c r="AH157" s="221"/>
      <c r="AI157" s="221"/>
      <c r="AJ157" s="221"/>
      <c r="AK157" s="221"/>
      <c r="AL157" s="1"/>
    </row>
    <row r="158" spans="1:38" ht="14.25" customHeight="1" x14ac:dyDescent="0.45">
      <c r="A158" s="618"/>
      <c r="B158" s="215"/>
      <c r="C158" s="220" t="s">
        <v>181</v>
      </c>
      <c r="D158" s="221" t="s">
        <v>190</v>
      </c>
      <c r="E158" s="360">
        <f t="shared" si="92"/>
        <v>0.30998559999999997</v>
      </c>
      <c r="F158" s="360">
        <f t="shared" si="92"/>
        <v>0.2623856</v>
      </c>
      <c r="G158" s="360">
        <f t="shared" si="92"/>
        <v>0.2623856</v>
      </c>
      <c r="H158" s="358">
        <v>99999</v>
      </c>
      <c r="I158" s="358">
        <f t="shared" ref="I158:R158" si="101">H158</f>
        <v>99999</v>
      </c>
      <c r="J158" s="358">
        <f t="shared" si="101"/>
        <v>99999</v>
      </c>
      <c r="K158" s="358">
        <f t="shared" si="101"/>
        <v>99999</v>
      </c>
      <c r="L158" s="358">
        <f t="shared" si="101"/>
        <v>99999</v>
      </c>
      <c r="M158" s="358">
        <f t="shared" si="101"/>
        <v>99999</v>
      </c>
      <c r="N158" s="358">
        <f t="shared" si="101"/>
        <v>99999</v>
      </c>
      <c r="O158" s="358">
        <f t="shared" si="101"/>
        <v>99999</v>
      </c>
      <c r="P158" s="358">
        <f t="shared" si="101"/>
        <v>99999</v>
      </c>
      <c r="Q158" s="358">
        <f t="shared" si="101"/>
        <v>99999</v>
      </c>
      <c r="R158" s="358">
        <f t="shared" si="101"/>
        <v>99999</v>
      </c>
      <c r="S158" s="285"/>
      <c r="T158" s="285"/>
      <c r="U158" s="285"/>
      <c r="V158" s="285"/>
      <c r="W158" s="285"/>
      <c r="X158" s="285"/>
      <c r="Y158" s="285"/>
      <c r="Z158" s="285"/>
      <c r="AA158" s="285"/>
      <c r="AB158" s="285"/>
      <c r="AC158" s="285"/>
      <c r="AD158" s="285"/>
      <c r="AE158" s="285"/>
      <c r="AF158" s="285"/>
      <c r="AG158" s="285"/>
      <c r="AH158" s="285"/>
      <c r="AI158" s="285"/>
      <c r="AJ158" s="285"/>
      <c r="AK158" s="285"/>
      <c r="AL158" s="352"/>
    </row>
    <row r="159" spans="1:38" ht="14.25" customHeight="1" x14ac:dyDescent="0.45">
      <c r="A159" s="618"/>
      <c r="B159" s="215"/>
      <c r="C159" s="220" t="s">
        <v>183</v>
      </c>
      <c r="D159" s="221" t="s">
        <v>195</v>
      </c>
      <c r="E159" s="360">
        <f t="shared" si="92"/>
        <v>0.43722</v>
      </c>
      <c r="F159" s="360">
        <f t="shared" si="92"/>
        <v>0.43722</v>
      </c>
      <c r="G159" s="360">
        <f t="shared" si="92"/>
        <v>0.43722</v>
      </c>
      <c r="H159" s="358">
        <v>99999</v>
      </c>
      <c r="I159" s="358">
        <f t="shared" ref="I159:R159" si="102">H159</f>
        <v>99999</v>
      </c>
      <c r="J159" s="358">
        <f t="shared" si="102"/>
        <v>99999</v>
      </c>
      <c r="K159" s="358">
        <f t="shared" si="102"/>
        <v>99999</v>
      </c>
      <c r="L159" s="358">
        <f t="shared" si="102"/>
        <v>99999</v>
      </c>
      <c r="M159" s="358">
        <f t="shared" si="102"/>
        <v>99999</v>
      </c>
      <c r="N159" s="358">
        <f t="shared" si="102"/>
        <v>99999</v>
      </c>
      <c r="O159" s="358">
        <f t="shared" si="102"/>
        <v>99999</v>
      </c>
      <c r="P159" s="358">
        <f t="shared" si="102"/>
        <v>99999</v>
      </c>
      <c r="Q159" s="358">
        <f t="shared" si="102"/>
        <v>99999</v>
      </c>
      <c r="R159" s="358">
        <f t="shared" si="102"/>
        <v>99999</v>
      </c>
      <c r="S159" s="285"/>
      <c r="T159" s="285"/>
      <c r="U159" s="285"/>
      <c r="V159" s="285"/>
      <c r="W159" s="285"/>
      <c r="X159" s="285"/>
      <c r="Y159" s="285"/>
      <c r="Z159" s="285"/>
      <c r="AA159" s="285"/>
      <c r="AB159" s="285"/>
      <c r="AC159" s="285"/>
      <c r="AD159" s="285"/>
      <c r="AE159" s="285"/>
      <c r="AF159" s="285"/>
      <c r="AG159" s="285"/>
      <c r="AH159" s="285"/>
      <c r="AI159" s="285"/>
      <c r="AJ159" s="285"/>
      <c r="AK159" s="285"/>
      <c r="AL159" s="352"/>
    </row>
    <row r="160" spans="1:38" ht="14.25" customHeight="1" x14ac:dyDescent="0.45">
      <c r="A160" s="618"/>
      <c r="B160" s="215"/>
      <c r="C160" s="220"/>
      <c r="D160" s="354" t="s">
        <v>344</v>
      </c>
      <c r="E160" s="360">
        <f t="shared" si="92"/>
        <v>2.2499999999999998E-3</v>
      </c>
      <c r="F160" s="360">
        <f t="shared" si="92"/>
        <v>2.2499999999999998E-3</v>
      </c>
      <c r="G160" s="360">
        <f t="shared" si="92"/>
        <v>2.2499999999999998E-3</v>
      </c>
      <c r="H160" s="358">
        <v>99999</v>
      </c>
      <c r="I160" s="358">
        <f t="shared" ref="I160:R160" si="103">H160</f>
        <v>99999</v>
      </c>
      <c r="J160" s="358">
        <f t="shared" si="103"/>
        <v>99999</v>
      </c>
      <c r="K160" s="358">
        <f t="shared" si="103"/>
        <v>99999</v>
      </c>
      <c r="L160" s="358">
        <f t="shared" si="103"/>
        <v>99999</v>
      </c>
      <c r="M160" s="358">
        <f t="shared" si="103"/>
        <v>99999</v>
      </c>
      <c r="N160" s="358">
        <f t="shared" si="103"/>
        <v>99999</v>
      </c>
      <c r="O160" s="358">
        <f t="shared" si="103"/>
        <v>99999</v>
      </c>
      <c r="P160" s="358">
        <f t="shared" si="103"/>
        <v>99999</v>
      </c>
      <c r="Q160" s="358">
        <f t="shared" si="103"/>
        <v>99999</v>
      </c>
      <c r="R160" s="358">
        <f t="shared" si="103"/>
        <v>99999</v>
      </c>
      <c r="S160" s="285"/>
      <c r="T160" s="285"/>
      <c r="U160" s="285"/>
      <c r="V160" s="285"/>
      <c r="W160" s="285"/>
      <c r="X160" s="285"/>
      <c r="Y160" s="285"/>
      <c r="Z160" s="285"/>
      <c r="AA160" s="285"/>
      <c r="AB160" s="285"/>
      <c r="AC160" s="285"/>
      <c r="AD160" s="285"/>
      <c r="AE160" s="285"/>
      <c r="AF160" s="285"/>
      <c r="AG160" s="285"/>
      <c r="AH160" s="285"/>
      <c r="AI160" s="285"/>
      <c r="AJ160" s="285"/>
      <c r="AK160" s="285"/>
      <c r="AL160" s="352"/>
    </row>
    <row r="161" spans="1:38" ht="14.25" customHeight="1" x14ac:dyDescent="0.45">
      <c r="A161" s="618"/>
      <c r="B161" s="215"/>
      <c r="C161" s="220" t="s">
        <v>186</v>
      </c>
      <c r="D161" s="221" t="s">
        <v>345</v>
      </c>
      <c r="E161" s="360">
        <f t="shared" si="92"/>
        <v>8.6599999999999996E-2</v>
      </c>
      <c r="F161" s="360">
        <f t="shared" si="92"/>
        <v>8.6599999999999996E-2</v>
      </c>
      <c r="G161" s="360">
        <f t="shared" si="92"/>
        <v>8.6599999999999996E-2</v>
      </c>
      <c r="H161" s="358">
        <v>99999</v>
      </c>
      <c r="I161" s="358">
        <f t="shared" ref="I161:R161" si="104">H161</f>
        <v>99999</v>
      </c>
      <c r="J161" s="358">
        <f t="shared" si="104"/>
        <v>99999</v>
      </c>
      <c r="K161" s="358">
        <f t="shared" si="104"/>
        <v>99999</v>
      </c>
      <c r="L161" s="358">
        <f t="shared" si="104"/>
        <v>99999</v>
      </c>
      <c r="M161" s="358">
        <f t="shared" si="104"/>
        <v>99999</v>
      </c>
      <c r="N161" s="358">
        <f t="shared" si="104"/>
        <v>99999</v>
      </c>
      <c r="O161" s="358">
        <f t="shared" si="104"/>
        <v>99999</v>
      </c>
      <c r="P161" s="358">
        <f t="shared" si="104"/>
        <v>99999</v>
      </c>
      <c r="Q161" s="358">
        <f t="shared" si="104"/>
        <v>99999</v>
      </c>
      <c r="R161" s="358">
        <f t="shared" si="104"/>
        <v>99999</v>
      </c>
      <c r="S161" s="285"/>
      <c r="T161" s="285"/>
      <c r="U161" s="285"/>
      <c r="V161" s="285"/>
      <c r="W161" s="285"/>
      <c r="X161" s="285"/>
      <c r="Y161" s="285"/>
      <c r="Z161" s="285"/>
      <c r="AA161" s="285"/>
      <c r="AB161" s="285"/>
      <c r="AC161" s="285"/>
      <c r="AD161" s="285"/>
      <c r="AE161" s="285"/>
      <c r="AF161" s="285"/>
      <c r="AG161" s="285"/>
      <c r="AH161" s="285"/>
      <c r="AI161" s="285"/>
      <c r="AJ161" s="285"/>
      <c r="AK161" s="285"/>
      <c r="AL161" s="352"/>
    </row>
    <row r="162" spans="1:38" ht="14.25" customHeight="1" x14ac:dyDescent="0.45">
      <c r="A162" s="618"/>
      <c r="B162" s="215"/>
      <c r="C162" s="220"/>
      <c r="D162" s="228" t="s">
        <v>188</v>
      </c>
      <c r="E162" s="360">
        <f t="shared" si="92"/>
        <v>0</v>
      </c>
      <c r="F162" s="360">
        <f t="shared" si="92"/>
        <v>0</v>
      </c>
      <c r="G162" s="360">
        <f t="shared" si="92"/>
        <v>0</v>
      </c>
      <c r="H162" s="358">
        <v>99999</v>
      </c>
      <c r="I162" s="358">
        <f t="shared" ref="I162:R162" si="105">H162</f>
        <v>99999</v>
      </c>
      <c r="J162" s="358">
        <f t="shared" si="105"/>
        <v>99999</v>
      </c>
      <c r="K162" s="358">
        <f t="shared" si="105"/>
        <v>99999</v>
      </c>
      <c r="L162" s="358">
        <f t="shared" si="105"/>
        <v>99999</v>
      </c>
      <c r="M162" s="358">
        <f t="shared" si="105"/>
        <v>99999</v>
      </c>
      <c r="N162" s="358">
        <f t="shared" si="105"/>
        <v>99999</v>
      </c>
      <c r="O162" s="358">
        <f t="shared" si="105"/>
        <v>99999</v>
      </c>
      <c r="P162" s="358">
        <f t="shared" si="105"/>
        <v>99999</v>
      </c>
      <c r="Q162" s="358">
        <f t="shared" si="105"/>
        <v>99999</v>
      </c>
      <c r="R162" s="358">
        <f t="shared" si="105"/>
        <v>99999</v>
      </c>
      <c r="S162" s="285"/>
      <c r="T162" s="285"/>
      <c r="U162" s="285"/>
      <c r="V162" s="285"/>
      <c r="W162" s="285"/>
      <c r="X162" s="285"/>
      <c r="Y162" s="285"/>
      <c r="Z162" s="285"/>
      <c r="AA162" s="285"/>
      <c r="AB162" s="285"/>
      <c r="AC162" s="285"/>
      <c r="AD162" s="285"/>
      <c r="AE162" s="285"/>
      <c r="AF162" s="285"/>
      <c r="AG162" s="285"/>
      <c r="AH162" s="285"/>
      <c r="AI162" s="285"/>
      <c r="AJ162" s="285"/>
      <c r="AK162" s="285"/>
      <c r="AL162" s="352"/>
    </row>
    <row r="163" spans="1:38" ht="16.5" customHeight="1" x14ac:dyDescent="0.45">
      <c r="A163" s="1"/>
      <c r="B163" s="215"/>
      <c r="C163" s="220" t="s">
        <v>189</v>
      </c>
      <c r="D163" s="221" t="s">
        <v>190</v>
      </c>
      <c r="E163" s="360">
        <f t="shared" si="92"/>
        <v>0.54523499999999991</v>
      </c>
      <c r="F163" s="360">
        <f t="shared" si="92"/>
        <v>0.54523499999999991</v>
      </c>
      <c r="G163" s="360">
        <f t="shared" si="92"/>
        <v>0.54523499999999991</v>
      </c>
      <c r="H163" s="358">
        <v>99999</v>
      </c>
      <c r="I163" s="358">
        <f t="shared" ref="I163:R163" si="106">H163</f>
        <v>99999</v>
      </c>
      <c r="J163" s="358">
        <f t="shared" si="106"/>
        <v>99999</v>
      </c>
      <c r="K163" s="358">
        <f t="shared" si="106"/>
        <v>99999</v>
      </c>
      <c r="L163" s="358">
        <f t="shared" si="106"/>
        <v>99999</v>
      </c>
      <c r="M163" s="358">
        <f t="shared" si="106"/>
        <v>99999</v>
      </c>
      <c r="N163" s="358">
        <f t="shared" si="106"/>
        <v>99999</v>
      </c>
      <c r="O163" s="358">
        <f t="shared" si="106"/>
        <v>99999</v>
      </c>
      <c r="P163" s="358">
        <f t="shared" si="106"/>
        <v>99999</v>
      </c>
      <c r="Q163" s="358">
        <f t="shared" si="106"/>
        <v>99999</v>
      </c>
      <c r="R163" s="358">
        <f t="shared" si="106"/>
        <v>99999</v>
      </c>
      <c r="S163" s="221"/>
      <c r="T163" s="221"/>
      <c r="U163" s="221"/>
      <c r="V163" s="221"/>
      <c r="W163" s="221"/>
      <c r="X163" s="221"/>
      <c r="Y163" s="221"/>
      <c r="Z163" s="221"/>
      <c r="AA163" s="221"/>
      <c r="AB163" s="221"/>
      <c r="AC163" s="221"/>
      <c r="AD163" s="221"/>
      <c r="AE163" s="221"/>
      <c r="AF163" s="221"/>
      <c r="AG163" s="221"/>
      <c r="AH163" s="221"/>
      <c r="AI163" s="221"/>
      <c r="AJ163" s="221"/>
      <c r="AK163" s="221"/>
      <c r="AL163" s="1"/>
    </row>
    <row r="164" spans="1:38" ht="16.5" customHeight="1" x14ac:dyDescent="0.45">
      <c r="A164" s="1"/>
      <c r="B164" s="215"/>
      <c r="C164" s="220" t="s">
        <v>191</v>
      </c>
      <c r="D164" s="221" t="s">
        <v>411</v>
      </c>
      <c r="E164" s="360">
        <f t="shared" si="92"/>
        <v>0.27535999999999999</v>
      </c>
      <c r="F164" s="360">
        <f t="shared" si="92"/>
        <v>0.27535999999999999</v>
      </c>
      <c r="G164" s="360">
        <f t="shared" si="92"/>
        <v>0.27535999999999999</v>
      </c>
      <c r="H164" s="358">
        <v>99999</v>
      </c>
      <c r="I164" s="358">
        <f t="shared" ref="I164:R164" si="107">H164</f>
        <v>99999</v>
      </c>
      <c r="J164" s="358">
        <f t="shared" si="107"/>
        <v>99999</v>
      </c>
      <c r="K164" s="358">
        <f t="shared" si="107"/>
        <v>99999</v>
      </c>
      <c r="L164" s="358">
        <f t="shared" si="107"/>
        <v>99999</v>
      </c>
      <c r="M164" s="358">
        <f t="shared" si="107"/>
        <v>99999</v>
      </c>
      <c r="N164" s="358">
        <f t="shared" si="107"/>
        <v>99999</v>
      </c>
      <c r="O164" s="358">
        <f t="shared" si="107"/>
        <v>99999</v>
      </c>
      <c r="P164" s="358">
        <f t="shared" si="107"/>
        <v>99999</v>
      </c>
      <c r="Q164" s="358">
        <f t="shared" si="107"/>
        <v>99999</v>
      </c>
      <c r="R164" s="358">
        <f t="shared" si="107"/>
        <v>99999</v>
      </c>
      <c r="S164" s="221"/>
      <c r="T164" s="221"/>
      <c r="U164" s="221"/>
      <c r="V164" s="221"/>
      <c r="W164" s="221"/>
      <c r="X164" s="221"/>
      <c r="Y164" s="221"/>
      <c r="Z164" s="221"/>
      <c r="AA164" s="221"/>
      <c r="AB164" s="221"/>
      <c r="AC164" s="221"/>
      <c r="AD164" s="221"/>
      <c r="AE164" s="221"/>
      <c r="AF164" s="221"/>
      <c r="AG164" s="221"/>
      <c r="AH164" s="221"/>
      <c r="AI164" s="221"/>
      <c r="AJ164" s="221"/>
      <c r="AK164" s="221"/>
      <c r="AL164" s="1"/>
    </row>
    <row r="165" spans="1:38" ht="16.5" customHeight="1" x14ac:dyDescent="0.45">
      <c r="A165" s="1"/>
      <c r="B165" s="215"/>
      <c r="C165" s="220"/>
      <c r="D165" s="228" t="s">
        <v>193</v>
      </c>
      <c r="E165" s="360">
        <f t="shared" si="92"/>
        <v>0</v>
      </c>
      <c r="F165" s="360">
        <f t="shared" si="92"/>
        <v>0</v>
      </c>
      <c r="G165" s="360">
        <f t="shared" si="92"/>
        <v>0</v>
      </c>
      <c r="H165" s="358">
        <v>99999</v>
      </c>
      <c r="I165" s="358">
        <f t="shared" ref="I165:R165" si="108">H165</f>
        <v>99999</v>
      </c>
      <c r="J165" s="358">
        <f t="shared" si="108"/>
        <v>99999</v>
      </c>
      <c r="K165" s="358">
        <f t="shared" si="108"/>
        <v>99999</v>
      </c>
      <c r="L165" s="358">
        <f t="shared" si="108"/>
        <v>99999</v>
      </c>
      <c r="M165" s="358">
        <f t="shared" si="108"/>
        <v>99999</v>
      </c>
      <c r="N165" s="358">
        <f t="shared" si="108"/>
        <v>99999</v>
      </c>
      <c r="O165" s="358">
        <f t="shared" si="108"/>
        <v>99999</v>
      </c>
      <c r="P165" s="358">
        <f t="shared" si="108"/>
        <v>99999</v>
      </c>
      <c r="Q165" s="358">
        <f t="shared" si="108"/>
        <v>99999</v>
      </c>
      <c r="R165" s="358">
        <f t="shared" si="108"/>
        <v>99999</v>
      </c>
      <c r="S165" s="221"/>
      <c r="T165" s="221"/>
      <c r="U165" s="221"/>
      <c r="V165" s="221"/>
      <c r="W165" s="221"/>
      <c r="X165" s="221"/>
      <c r="Y165" s="221"/>
      <c r="Z165" s="221"/>
      <c r="AA165" s="221"/>
      <c r="AB165" s="221"/>
      <c r="AC165" s="221"/>
      <c r="AD165" s="221"/>
      <c r="AE165" s="221"/>
      <c r="AF165" s="221"/>
      <c r="AG165" s="221"/>
      <c r="AH165" s="221"/>
      <c r="AI165" s="221"/>
      <c r="AJ165" s="221"/>
      <c r="AK165" s="221"/>
      <c r="AL165" s="1"/>
    </row>
    <row r="166" spans="1:38" ht="16.5" customHeight="1" x14ac:dyDescent="0.45">
      <c r="A166" s="1"/>
      <c r="B166" s="215"/>
      <c r="C166" s="220" t="s">
        <v>194</v>
      </c>
      <c r="D166" s="221" t="s">
        <v>195</v>
      </c>
      <c r="E166" s="360">
        <f t="shared" si="92"/>
        <v>0.44600000000000001</v>
      </c>
      <c r="F166" s="360">
        <f t="shared" si="92"/>
        <v>0.44600000000000001</v>
      </c>
      <c r="G166" s="360">
        <f t="shared" si="92"/>
        <v>0.44600000000000001</v>
      </c>
      <c r="H166" s="358">
        <v>99999</v>
      </c>
      <c r="I166" s="358">
        <f t="shared" ref="I166:R166" si="109">H166</f>
        <v>99999</v>
      </c>
      <c r="J166" s="358">
        <f t="shared" si="109"/>
        <v>99999</v>
      </c>
      <c r="K166" s="358">
        <f t="shared" si="109"/>
        <v>99999</v>
      </c>
      <c r="L166" s="358">
        <f t="shared" si="109"/>
        <v>99999</v>
      </c>
      <c r="M166" s="358">
        <f t="shared" si="109"/>
        <v>99999</v>
      </c>
      <c r="N166" s="358">
        <f t="shared" si="109"/>
        <v>99999</v>
      </c>
      <c r="O166" s="358">
        <f t="shared" si="109"/>
        <v>99999</v>
      </c>
      <c r="P166" s="358">
        <f t="shared" si="109"/>
        <v>99999</v>
      </c>
      <c r="Q166" s="358">
        <f t="shared" si="109"/>
        <v>99999</v>
      </c>
      <c r="R166" s="358">
        <f t="shared" si="109"/>
        <v>99999</v>
      </c>
      <c r="S166" s="221"/>
      <c r="T166" s="221"/>
      <c r="U166" s="221"/>
      <c r="V166" s="221"/>
      <c r="W166" s="221"/>
      <c r="X166" s="221"/>
      <c r="Y166" s="221"/>
      <c r="Z166" s="221"/>
      <c r="AA166" s="221"/>
      <c r="AB166" s="221"/>
      <c r="AC166" s="221"/>
      <c r="AD166" s="221"/>
      <c r="AE166" s="221"/>
      <c r="AF166" s="221"/>
      <c r="AG166" s="221"/>
      <c r="AH166" s="221"/>
      <c r="AI166" s="221"/>
      <c r="AJ166" s="221"/>
      <c r="AK166" s="221"/>
      <c r="AL166" s="1"/>
    </row>
    <row r="167" spans="1:38" ht="16.5" customHeight="1" x14ac:dyDescent="0.45">
      <c r="A167" s="1"/>
      <c r="B167" s="215"/>
      <c r="C167" s="220" t="s">
        <v>198</v>
      </c>
      <c r="D167" s="243" t="s">
        <v>253</v>
      </c>
      <c r="E167" s="360">
        <f t="shared" si="92"/>
        <v>7.26E-3</v>
      </c>
      <c r="F167" s="360">
        <f t="shared" si="92"/>
        <v>7.26E-3</v>
      </c>
      <c r="G167" s="360">
        <f t="shared" si="92"/>
        <v>7.26E-3</v>
      </c>
      <c r="H167" s="358">
        <f>G167+Electricidad!J213</f>
        <v>0.10026</v>
      </c>
      <c r="I167" s="358">
        <f t="shared" ref="I167:R167" si="110">H167</f>
        <v>0.10026</v>
      </c>
      <c r="J167" s="358">
        <f t="shared" si="110"/>
        <v>0.10026</v>
      </c>
      <c r="K167" s="358">
        <f t="shared" si="110"/>
        <v>0.10026</v>
      </c>
      <c r="L167" s="358">
        <f t="shared" si="110"/>
        <v>0.10026</v>
      </c>
      <c r="M167" s="358">
        <f t="shared" si="110"/>
        <v>0.10026</v>
      </c>
      <c r="N167" s="358">
        <f t="shared" si="110"/>
        <v>0.10026</v>
      </c>
      <c r="O167" s="358">
        <f t="shared" si="110"/>
        <v>0.10026</v>
      </c>
      <c r="P167" s="358">
        <f t="shared" si="110"/>
        <v>0.10026</v>
      </c>
      <c r="Q167" s="358">
        <f t="shared" si="110"/>
        <v>0.10026</v>
      </c>
      <c r="R167" s="358">
        <f t="shared" si="110"/>
        <v>0.10026</v>
      </c>
      <c r="S167" s="221"/>
      <c r="T167" s="221"/>
      <c r="U167" s="221"/>
      <c r="V167" s="221"/>
      <c r="W167" s="221"/>
      <c r="X167" s="221"/>
      <c r="Y167" s="221"/>
      <c r="Z167" s="221"/>
      <c r="AA167" s="221"/>
      <c r="AB167" s="221"/>
      <c r="AC167" s="221"/>
      <c r="AD167" s="221"/>
      <c r="AE167" s="221"/>
      <c r="AF167" s="221"/>
      <c r="AG167" s="221"/>
      <c r="AH167" s="221"/>
      <c r="AI167" s="221"/>
      <c r="AJ167" s="221"/>
      <c r="AK167" s="221"/>
      <c r="AL167" s="1"/>
    </row>
    <row r="168" spans="1:38" ht="16.5" customHeight="1" x14ac:dyDescent="0.45">
      <c r="A168" s="1"/>
      <c r="B168" s="215"/>
      <c r="C168" s="220" t="s">
        <v>303</v>
      </c>
      <c r="D168" s="243" t="s">
        <v>262</v>
      </c>
      <c r="E168" s="360">
        <v>0</v>
      </c>
      <c r="F168" s="360">
        <v>0</v>
      </c>
      <c r="G168" s="360">
        <v>0</v>
      </c>
      <c r="H168" s="358">
        <f>Electricidad!J215</f>
        <v>0.9</v>
      </c>
      <c r="I168" s="358">
        <f t="shared" ref="I168:R168" si="111">H168</f>
        <v>0.9</v>
      </c>
      <c r="J168" s="358">
        <f t="shared" si="111"/>
        <v>0.9</v>
      </c>
      <c r="K168" s="358">
        <f t="shared" si="111"/>
        <v>0.9</v>
      </c>
      <c r="L168" s="358">
        <f t="shared" si="111"/>
        <v>0.9</v>
      </c>
      <c r="M168" s="358">
        <f t="shared" si="111"/>
        <v>0.9</v>
      </c>
      <c r="N168" s="358">
        <f t="shared" si="111"/>
        <v>0.9</v>
      </c>
      <c r="O168" s="358">
        <f t="shared" si="111"/>
        <v>0.9</v>
      </c>
      <c r="P168" s="358">
        <f t="shared" si="111"/>
        <v>0.9</v>
      </c>
      <c r="Q168" s="358">
        <f t="shared" si="111"/>
        <v>0.9</v>
      </c>
      <c r="R168" s="358">
        <f t="shared" si="111"/>
        <v>0.9</v>
      </c>
      <c r="S168" s="221"/>
      <c r="T168" s="221"/>
      <c r="U168" s="221"/>
      <c r="V168" s="221"/>
      <c r="W168" s="221"/>
      <c r="X168" s="221"/>
      <c r="Y168" s="221"/>
      <c r="Z168" s="221"/>
      <c r="AA168" s="221"/>
      <c r="AB168" s="221"/>
      <c r="AC168" s="221"/>
      <c r="AD168" s="221"/>
      <c r="AE168" s="221"/>
      <c r="AF168" s="221"/>
      <c r="AG168" s="221"/>
      <c r="AH168" s="221"/>
      <c r="AI168" s="221"/>
      <c r="AJ168" s="221"/>
      <c r="AK168" s="221"/>
      <c r="AL168" s="1"/>
    </row>
    <row r="169" spans="1:38" ht="16.5" customHeight="1" x14ac:dyDescent="0.45">
      <c r="A169" s="1"/>
      <c r="B169" s="1"/>
      <c r="C169" s="1"/>
      <c r="D169" s="55"/>
      <c r="E169" s="55"/>
      <c r="F169" s="55"/>
      <c r="G169" s="55"/>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6.5" customHeight="1" x14ac:dyDescent="0.45">
      <c r="A170" s="1"/>
      <c r="B170" s="1"/>
      <c r="C170" s="1"/>
      <c r="D170" s="55"/>
      <c r="E170" s="55"/>
      <c r="F170" s="55"/>
      <c r="G170" s="55"/>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6.5" customHeight="1" x14ac:dyDescent="0.45">
      <c r="A171" s="1"/>
      <c r="B171" s="1"/>
      <c r="C171" s="1"/>
      <c r="D171" s="243" t="s">
        <v>220</v>
      </c>
      <c r="E171" s="59">
        <f>E139-E106</f>
        <v>0.14430000000000001</v>
      </c>
      <c r="F171" s="59">
        <f t="shared" ref="F171:H171" si="112">F139-F106</f>
        <v>0.14430000000000001</v>
      </c>
      <c r="G171" s="59">
        <f t="shared" si="112"/>
        <v>0.14430000000000001</v>
      </c>
      <c r="H171" s="59">
        <f t="shared" si="112"/>
        <v>0.15430000000000002</v>
      </c>
      <c r="I171" s="59">
        <f>I139-I106</f>
        <v>0.15430000000000002</v>
      </c>
      <c r="J171" s="59">
        <f t="shared" ref="J171:R171" si="113">J139-J106</f>
        <v>0.15430000000000002</v>
      </c>
      <c r="K171" s="59">
        <f t="shared" si="113"/>
        <v>0.13930000000000003</v>
      </c>
      <c r="L171" s="59">
        <f t="shared" si="113"/>
        <v>0.15430000000000002</v>
      </c>
      <c r="M171" s="59">
        <f t="shared" si="113"/>
        <v>0.15430000000000002</v>
      </c>
      <c r="N171" s="59">
        <f t="shared" si="113"/>
        <v>5.4300000000000015E-2</v>
      </c>
      <c r="O171" s="59">
        <f>O139-O106</f>
        <v>0.15430000000000002</v>
      </c>
      <c r="P171" s="59">
        <f t="shared" si="113"/>
        <v>0.15430000000000002</v>
      </c>
      <c r="Q171" s="59">
        <f t="shared" si="113"/>
        <v>0.15430000000000002</v>
      </c>
      <c r="R171" s="59">
        <f t="shared" si="113"/>
        <v>0.15430000000000002</v>
      </c>
      <c r="S171" s="1"/>
      <c r="T171" s="1"/>
      <c r="U171" s="1"/>
      <c r="V171" s="1"/>
      <c r="W171" s="1"/>
      <c r="X171" s="1"/>
      <c r="Y171" s="1"/>
      <c r="Z171" s="1"/>
      <c r="AA171" s="1"/>
      <c r="AB171" s="1"/>
      <c r="AC171" s="1"/>
      <c r="AD171" s="1"/>
      <c r="AE171" s="1"/>
      <c r="AF171" s="1"/>
      <c r="AG171" s="1"/>
      <c r="AH171" s="1"/>
      <c r="AI171" s="1"/>
      <c r="AJ171" s="1"/>
      <c r="AK171" s="1"/>
      <c r="AL171" s="1"/>
    </row>
    <row r="172" spans="1:38" ht="16.5" customHeight="1" x14ac:dyDescent="0.45">
      <c r="A172" s="1"/>
      <c r="B172" s="1"/>
      <c r="C172" s="1"/>
      <c r="D172" s="243" t="s">
        <v>255</v>
      </c>
      <c r="E172" s="59">
        <f t="shared" ref="E172:R172" si="114">E140-E107</f>
        <v>1.6500000000000001E-2</v>
      </c>
      <c r="F172" s="59">
        <f t="shared" si="114"/>
        <v>1.6500000000000001E-2</v>
      </c>
      <c r="G172" s="59">
        <f t="shared" si="114"/>
        <v>1.6500000000000001E-2</v>
      </c>
      <c r="H172" s="59">
        <f t="shared" si="114"/>
        <v>0.89649999999999996</v>
      </c>
      <c r="I172" s="59">
        <f t="shared" si="114"/>
        <v>0.89649999999999996</v>
      </c>
      <c r="J172" s="59">
        <f t="shared" si="114"/>
        <v>0.84649999999999992</v>
      </c>
      <c r="K172" s="59">
        <f t="shared" si="114"/>
        <v>0.58650000000000002</v>
      </c>
      <c r="L172" s="59">
        <f t="shared" si="114"/>
        <v>0.89649999999999996</v>
      </c>
      <c r="M172" s="59">
        <f t="shared" si="114"/>
        <v>0.76649999999999996</v>
      </c>
      <c r="N172" s="59">
        <f t="shared" si="114"/>
        <v>0.83650000000000002</v>
      </c>
      <c r="O172" s="59">
        <f t="shared" si="114"/>
        <v>0.73649999999999993</v>
      </c>
      <c r="P172" s="59">
        <f t="shared" si="114"/>
        <v>0.89649999999999996</v>
      </c>
      <c r="Q172" s="59">
        <f t="shared" si="114"/>
        <v>0.89649999999999996</v>
      </c>
      <c r="R172" s="59">
        <f t="shared" si="114"/>
        <v>0.89649999999999996</v>
      </c>
      <c r="S172" s="1"/>
      <c r="T172" s="1"/>
      <c r="U172" s="1"/>
      <c r="V172" s="1"/>
      <c r="W172" s="1"/>
      <c r="X172" s="1"/>
      <c r="Y172" s="1"/>
      <c r="Z172" s="1"/>
      <c r="AA172" s="1"/>
      <c r="AB172" s="1"/>
      <c r="AC172" s="1"/>
      <c r="AD172" s="1"/>
      <c r="AE172" s="1"/>
      <c r="AF172" s="1"/>
      <c r="AG172" s="1"/>
      <c r="AH172" s="1"/>
      <c r="AI172" s="1"/>
      <c r="AJ172" s="1"/>
      <c r="AK172" s="1"/>
      <c r="AL172" s="1"/>
    </row>
    <row r="173" spans="1:38" ht="16.5" customHeight="1" x14ac:dyDescent="0.45">
      <c r="A173" s="1"/>
      <c r="B173" s="1"/>
      <c r="C173" s="1"/>
      <c r="D173" s="243" t="s">
        <v>199</v>
      </c>
      <c r="E173" s="59">
        <f t="shared" ref="E173:R173" si="115">E141-E108</f>
        <v>0</v>
      </c>
      <c r="F173" s="59">
        <f t="shared" si="115"/>
        <v>0</v>
      </c>
      <c r="G173" s="59">
        <f t="shared" si="115"/>
        <v>0</v>
      </c>
      <c r="H173" s="59">
        <f t="shared" si="115"/>
        <v>0</v>
      </c>
      <c r="I173" s="59">
        <f t="shared" si="115"/>
        <v>0</v>
      </c>
      <c r="J173" s="59">
        <f t="shared" si="115"/>
        <v>0</v>
      </c>
      <c r="K173" s="59">
        <f t="shared" si="115"/>
        <v>0</v>
      </c>
      <c r="L173" s="59">
        <f t="shared" si="115"/>
        <v>0</v>
      </c>
      <c r="M173" s="59">
        <f t="shared" si="115"/>
        <v>0</v>
      </c>
      <c r="N173" s="59">
        <f t="shared" si="115"/>
        <v>0</v>
      </c>
      <c r="O173" s="59">
        <f t="shared" si="115"/>
        <v>0</v>
      </c>
      <c r="P173" s="59">
        <f t="shared" si="115"/>
        <v>0</v>
      </c>
      <c r="Q173" s="59">
        <f t="shared" si="115"/>
        <v>0</v>
      </c>
      <c r="R173" s="59">
        <f t="shared" si="115"/>
        <v>0</v>
      </c>
      <c r="S173" s="1"/>
      <c r="T173" s="1"/>
      <c r="U173" s="1"/>
      <c r="V173" s="1"/>
      <c r="W173" s="1"/>
      <c r="X173" s="1"/>
      <c r="Y173" s="1"/>
      <c r="Z173" s="1"/>
      <c r="AA173" s="1"/>
      <c r="AB173" s="1"/>
      <c r="AC173" s="1"/>
      <c r="AD173" s="1"/>
      <c r="AE173" s="1"/>
      <c r="AF173" s="1"/>
      <c r="AG173" s="1"/>
      <c r="AH173" s="1"/>
      <c r="AI173" s="1"/>
      <c r="AJ173" s="1"/>
      <c r="AK173" s="1"/>
      <c r="AL173" s="1"/>
    </row>
    <row r="174" spans="1:38" ht="16.5" customHeight="1" x14ac:dyDescent="0.45">
      <c r="A174" s="1"/>
      <c r="B174" s="1"/>
      <c r="C174" s="1"/>
      <c r="D174" s="221" t="s">
        <v>201</v>
      </c>
      <c r="E174" s="59">
        <f t="shared" ref="E174:R174" si="116">E142-E109</f>
        <v>4.2200000000000001E-2</v>
      </c>
      <c r="F174" s="59">
        <f t="shared" si="116"/>
        <v>4.2200000000000001E-2</v>
      </c>
      <c r="G174" s="59">
        <f t="shared" si="116"/>
        <v>4.2200000000000001E-2</v>
      </c>
      <c r="H174" s="59">
        <f t="shared" si="116"/>
        <v>6.9600000000000009E-2</v>
      </c>
      <c r="I174" s="59">
        <f t="shared" si="116"/>
        <v>2.0600000000000007E-2</v>
      </c>
      <c r="J174" s="59">
        <f t="shared" si="116"/>
        <v>6.9600000000000009E-2</v>
      </c>
      <c r="K174" s="59">
        <f t="shared" si="116"/>
        <v>6.9600000000000009E-2</v>
      </c>
      <c r="L174" s="59">
        <f t="shared" si="116"/>
        <v>6.9600000000000009E-2</v>
      </c>
      <c r="M174" s="59">
        <f t="shared" si="116"/>
        <v>6.9600000000000009E-2</v>
      </c>
      <c r="N174" s="59">
        <f t="shared" si="116"/>
        <v>6.9600000000000009E-2</v>
      </c>
      <c r="O174" s="59">
        <f t="shared" si="116"/>
        <v>6.9600000000000009E-2</v>
      </c>
      <c r="P174" s="59">
        <f t="shared" si="116"/>
        <v>6.9600000000000009E-2</v>
      </c>
      <c r="Q174" s="59">
        <f t="shared" si="116"/>
        <v>6.9600000000000009E-2</v>
      </c>
      <c r="R174" s="59">
        <f t="shared" si="116"/>
        <v>6.9600000000000009E-2</v>
      </c>
      <c r="S174" s="1"/>
      <c r="T174" s="1"/>
      <c r="U174" s="1"/>
      <c r="V174" s="1"/>
      <c r="W174" s="1"/>
      <c r="X174" s="1"/>
      <c r="Y174" s="1"/>
      <c r="Z174" s="1"/>
      <c r="AA174" s="1"/>
      <c r="AB174" s="1"/>
      <c r="AC174" s="1"/>
      <c r="AD174" s="1"/>
      <c r="AE174" s="1"/>
      <c r="AF174" s="1"/>
      <c r="AG174" s="1"/>
      <c r="AH174" s="1"/>
      <c r="AI174" s="1"/>
      <c r="AJ174" s="1"/>
      <c r="AK174" s="1"/>
      <c r="AL174" s="1"/>
    </row>
    <row r="175" spans="1:38" ht="16.5" customHeight="1" x14ac:dyDescent="0.45">
      <c r="A175" s="1"/>
      <c r="B175" s="1"/>
      <c r="C175" s="1"/>
      <c r="D175" s="221" t="s">
        <v>203</v>
      </c>
      <c r="E175" s="59">
        <f t="shared" ref="E175:R175" si="117">E143-E110</f>
        <v>0.21299999999999999</v>
      </c>
      <c r="F175" s="59">
        <f t="shared" si="117"/>
        <v>0.21299999999999999</v>
      </c>
      <c r="G175" s="59">
        <f t="shared" si="117"/>
        <v>0.21299999999999999</v>
      </c>
      <c r="H175" s="59">
        <f t="shared" si="117"/>
        <v>0.21299999999999999</v>
      </c>
      <c r="I175" s="59">
        <f t="shared" si="117"/>
        <v>0.21299999999999999</v>
      </c>
      <c r="J175" s="59">
        <f t="shared" si="117"/>
        <v>0.21299999999999999</v>
      </c>
      <c r="K175" s="59">
        <f t="shared" si="117"/>
        <v>0.41839999999999999</v>
      </c>
      <c r="L175" s="59">
        <f t="shared" si="117"/>
        <v>0.49340000000000001</v>
      </c>
      <c r="M175" s="59">
        <f t="shared" si="117"/>
        <v>0.49340000000000001</v>
      </c>
      <c r="N175" s="59">
        <f t="shared" si="117"/>
        <v>0.49340000000000001</v>
      </c>
      <c r="O175" s="59">
        <f t="shared" si="117"/>
        <v>0.49340000000000001</v>
      </c>
      <c r="P175" s="59">
        <f t="shared" si="117"/>
        <v>0.49340000000000001</v>
      </c>
      <c r="Q175" s="59">
        <f t="shared" si="117"/>
        <v>0.49340000000000001</v>
      </c>
      <c r="R175" s="59">
        <f t="shared" si="117"/>
        <v>0.49340000000000001</v>
      </c>
      <c r="S175" s="1"/>
      <c r="T175" s="1"/>
      <c r="U175" s="1"/>
      <c r="V175" s="1"/>
      <c r="W175" s="1"/>
      <c r="X175" s="1"/>
      <c r="Y175" s="1"/>
      <c r="Z175" s="1"/>
      <c r="AA175" s="1"/>
      <c r="AB175" s="1"/>
      <c r="AC175" s="1"/>
      <c r="AD175" s="1"/>
      <c r="AE175" s="1"/>
      <c r="AF175" s="1"/>
      <c r="AG175" s="1"/>
      <c r="AH175" s="1"/>
      <c r="AI175" s="1"/>
      <c r="AJ175" s="1"/>
      <c r="AK175" s="1"/>
      <c r="AL175" s="1"/>
    </row>
    <row r="176" spans="1:38" ht="16.5" customHeight="1" x14ac:dyDescent="0.45">
      <c r="A176" s="1"/>
      <c r="B176" s="1"/>
      <c r="C176" s="1"/>
      <c r="D176" s="221" t="s">
        <v>205</v>
      </c>
      <c r="E176" s="59">
        <f t="shared" ref="E176:R176" si="118">E144-E111</f>
        <v>0</v>
      </c>
      <c r="F176" s="59">
        <f t="shared" si="118"/>
        <v>0</v>
      </c>
      <c r="G176" s="59">
        <f t="shared" si="118"/>
        <v>0</v>
      </c>
      <c r="H176" s="59">
        <f t="shared" si="118"/>
        <v>0</v>
      </c>
      <c r="I176" s="59">
        <f t="shared" si="118"/>
        <v>0</v>
      </c>
      <c r="J176" s="59">
        <f t="shared" si="118"/>
        <v>0</v>
      </c>
      <c r="K176" s="59">
        <f t="shared" si="118"/>
        <v>0</v>
      </c>
      <c r="L176" s="59">
        <f t="shared" si="118"/>
        <v>0</v>
      </c>
      <c r="M176" s="59">
        <f t="shared" si="118"/>
        <v>0</v>
      </c>
      <c r="N176" s="59">
        <f t="shared" si="118"/>
        <v>0</v>
      </c>
      <c r="O176" s="59">
        <f t="shared" si="118"/>
        <v>0</v>
      </c>
      <c r="P176" s="59">
        <f t="shared" si="118"/>
        <v>0</v>
      </c>
      <c r="Q176" s="59">
        <f t="shared" si="118"/>
        <v>0</v>
      </c>
      <c r="R176" s="59">
        <f t="shared" si="118"/>
        <v>0</v>
      </c>
      <c r="S176" s="1"/>
      <c r="T176" s="1"/>
      <c r="U176" s="1"/>
      <c r="V176" s="1"/>
      <c r="W176" s="1"/>
      <c r="X176" s="1"/>
      <c r="Y176" s="1"/>
      <c r="Z176" s="1"/>
      <c r="AA176" s="1"/>
      <c r="AB176" s="1"/>
      <c r="AC176" s="1"/>
      <c r="AD176" s="1"/>
      <c r="AE176" s="1"/>
      <c r="AF176" s="1"/>
      <c r="AG176" s="1"/>
      <c r="AH176" s="1"/>
      <c r="AI176" s="1"/>
      <c r="AJ176" s="1"/>
      <c r="AK176" s="1"/>
      <c r="AL176" s="1"/>
    </row>
    <row r="177" spans="1:38" ht="16.5" customHeight="1" x14ac:dyDescent="0.45">
      <c r="A177" s="1"/>
      <c r="B177" s="1"/>
      <c r="C177" s="1"/>
      <c r="D177" s="221" t="s">
        <v>207</v>
      </c>
      <c r="E177" s="59">
        <f t="shared" ref="E177:R177" si="119">E145-E112</f>
        <v>0</v>
      </c>
      <c r="F177" s="59">
        <f t="shared" si="119"/>
        <v>0</v>
      </c>
      <c r="G177" s="59">
        <f t="shared" si="119"/>
        <v>0</v>
      </c>
      <c r="H177" s="59">
        <f t="shared" si="119"/>
        <v>0</v>
      </c>
      <c r="I177" s="59">
        <f t="shared" si="119"/>
        <v>0</v>
      </c>
      <c r="J177" s="59">
        <f t="shared" si="119"/>
        <v>0</v>
      </c>
      <c r="K177" s="59">
        <f>K145-K112</f>
        <v>0</v>
      </c>
      <c r="L177" s="59">
        <f t="shared" si="119"/>
        <v>0</v>
      </c>
      <c r="M177" s="59">
        <f t="shared" si="119"/>
        <v>0</v>
      </c>
      <c r="N177" s="59">
        <f t="shared" si="119"/>
        <v>0</v>
      </c>
      <c r="O177" s="59">
        <f t="shared" si="119"/>
        <v>0</v>
      </c>
      <c r="P177" s="59">
        <f t="shared" si="119"/>
        <v>0</v>
      </c>
      <c r="Q177" s="59">
        <f t="shared" si="119"/>
        <v>0</v>
      </c>
      <c r="R177" s="59">
        <f t="shared" si="119"/>
        <v>0</v>
      </c>
      <c r="S177" s="1"/>
      <c r="T177" s="1"/>
      <c r="U177" s="1"/>
      <c r="V177" s="1"/>
      <c r="W177" s="1"/>
      <c r="X177" s="1"/>
      <c r="Y177" s="1"/>
      <c r="Z177" s="1"/>
      <c r="AA177" s="1"/>
      <c r="AB177" s="1"/>
      <c r="AC177" s="1"/>
      <c r="AD177" s="1"/>
      <c r="AE177" s="1"/>
      <c r="AF177" s="1"/>
      <c r="AG177" s="1"/>
      <c r="AH177" s="1"/>
      <c r="AI177" s="1"/>
      <c r="AJ177" s="1"/>
      <c r="AK177" s="1"/>
      <c r="AL177" s="1"/>
    </row>
    <row r="178" spans="1:38" ht="16.5" customHeight="1" x14ac:dyDescent="0.45">
      <c r="A178" s="1"/>
      <c r="B178" s="1"/>
      <c r="C178" s="1"/>
      <c r="D178" s="221" t="s">
        <v>209</v>
      </c>
      <c r="E178" s="59">
        <f t="shared" ref="E178:R178" si="120">E146-E113</f>
        <v>0.40300000000000002</v>
      </c>
      <c r="F178" s="59">
        <f t="shared" si="120"/>
        <v>0.40300000000000002</v>
      </c>
      <c r="G178" s="59">
        <f t="shared" si="120"/>
        <v>0.40300000000000002</v>
      </c>
      <c r="H178" s="59">
        <f t="shared" si="120"/>
        <v>0.92218</v>
      </c>
      <c r="I178" s="59">
        <f t="shared" si="120"/>
        <v>0.92218</v>
      </c>
      <c r="J178" s="59">
        <f t="shared" si="120"/>
        <v>0.92218</v>
      </c>
      <c r="K178" s="59">
        <f t="shared" si="120"/>
        <v>0.92218</v>
      </c>
      <c r="L178" s="59">
        <f t="shared" si="120"/>
        <v>0.92218</v>
      </c>
      <c r="M178" s="59">
        <f t="shared" si="120"/>
        <v>0.92218</v>
      </c>
      <c r="N178" s="59">
        <f t="shared" si="120"/>
        <v>0.92218</v>
      </c>
      <c r="O178" s="59">
        <f t="shared" si="120"/>
        <v>0.92218</v>
      </c>
      <c r="P178" s="59">
        <f t="shared" si="120"/>
        <v>0.92218</v>
      </c>
      <c r="Q178" s="59">
        <f t="shared" si="120"/>
        <v>0.92218</v>
      </c>
      <c r="R178" s="59">
        <f t="shared" si="120"/>
        <v>0.92218</v>
      </c>
      <c r="S178" s="1"/>
      <c r="T178" s="1"/>
      <c r="U178" s="1"/>
      <c r="V178" s="1"/>
      <c r="W178" s="1"/>
      <c r="X178" s="1"/>
      <c r="Y178" s="1"/>
      <c r="Z178" s="1"/>
      <c r="AA178" s="1"/>
      <c r="AB178" s="1"/>
      <c r="AC178" s="1"/>
      <c r="AD178" s="1"/>
      <c r="AE178" s="1"/>
      <c r="AF178" s="1"/>
      <c r="AG178" s="1"/>
      <c r="AH178" s="1"/>
      <c r="AI178" s="1"/>
      <c r="AJ178" s="1"/>
      <c r="AK178" s="1"/>
      <c r="AL178" s="1"/>
    </row>
    <row r="179" spans="1:38" ht="16.5" customHeight="1" x14ac:dyDescent="0.45">
      <c r="A179" s="1"/>
      <c r="B179" s="1"/>
      <c r="C179" s="1"/>
      <c r="D179" s="221" t="s">
        <v>211</v>
      </c>
      <c r="E179" s="59">
        <f t="shared" ref="E179:R179" si="121">E147-E114</f>
        <v>1.075</v>
      </c>
      <c r="F179" s="59">
        <f t="shared" si="121"/>
        <v>1.075</v>
      </c>
      <c r="G179" s="59">
        <f t="shared" si="121"/>
        <v>1.075</v>
      </c>
      <c r="H179" s="59">
        <f t="shared" si="121"/>
        <v>2.8558000000000003</v>
      </c>
      <c r="I179" s="59">
        <f t="shared" si="121"/>
        <v>2.8558000000000003</v>
      </c>
      <c r="J179" s="59">
        <f t="shared" si="121"/>
        <v>2.8558000000000003</v>
      </c>
      <c r="K179" s="59">
        <f t="shared" si="121"/>
        <v>2.8558000000000003</v>
      </c>
      <c r="L179" s="59">
        <f t="shared" si="121"/>
        <v>2.8558000000000003</v>
      </c>
      <c r="M179" s="59">
        <f t="shared" si="121"/>
        <v>2.8558000000000003</v>
      </c>
      <c r="N179" s="59">
        <f t="shared" si="121"/>
        <v>2.8558000000000003</v>
      </c>
      <c r="O179" s="59">
        <f t="shared" si="121"/>
        <v>2.8558000000000003</v>
      </c>
      <c r="P179" s="59">
        <f t="shared" si="121"/>
        <v>2.8558000000000003</v>
      </c>
      <c r="Q179" s="59">
        <f t="shared" si="121"/>
        <v>2.2602000000000002</v>
      </c>
      <c r="R179" s="59">
        <f t="shared" si="121"/>
        <v>2.8558000000000003</v>
      </c>
      <c r="S179" s="1"/>
      <c r="T179" s="1"/>
      <c r="U179" s="1"/>
      <c r="V179" s="1"/>
      <c r="W179" s="1"/>
      <c r="X179" s="1"/>
      <c r="Y179" s="1"/>
      <c r="Z179" s="1"/>
      <c r="AA179" s="1"/>
      <c r="AB179" s="1"/>
      <c r="AC179" s="1"/>
      <c r="AD179" s="1"/>
      <c r="AE179" s="1"/>
      <c r="AF179" s="1"/>
      <c r="AG179" s="1"/>
      <c r="AH179" s="1"/>
      <c r="AI179" s="1"/>
      <c r="AJ179" s="1"/>
      <c r="AK179" s="1"/>
      <c r="AL179" s="1"/>
    </row>
    <row r="180" spans="1:38" ht="16.5" customHeight="1" x14ac:dyDescent="0.45">
      <c r="A180" s="1"/>
      <c r="B180" s="1"/>
      <c r="C180" s="1"/>
      <c r="D180" s="243" t="s">
        <v>212</v>
      </c>
      <c r="E180" s="59">
        <f t="shared" ref="E180:R180" si="122">E148-E115</f>
        <v>0</v>
      </c>
      <c r="F180" s="59">
        <f t="shared" si="122"/>
        <v>0</v>
      </c>
      <c r="G180" s="59">
        <f t="shared" si="122"/>
        <v>0</v>
      </c>
      <c r="H180" s="59">
        <f t="shared" si="122"/>
        <v>0</v>
      </c>
      <c r="I180" s="59">
        <f t="shared" si="122"/>
        <v>0</v>
      </c>
      <c r="J180" s="59">
        <f t="shared" si="122"/>
        <v>0</v>
      </c>
      <c r="K180" s="59">
        <f t="shared" si="122"/>
        <v>0</v>
      </c>
      <c r="L180" s="59">
        <f t="shared" si="122"/>
        <v>0</v>
      </c>
      <c r="M180" s="59">
        <f t="shared" si="122"/>
        <v>0</v>
      </c>
      <c r="N180" s="59">
        <f t="shared" si="122"/>
        <v>0</v>
      </c>
      <c r="O180" s="59">
        <f t="shared" si="122"/>
        <v>0</v>
      </c>
      <c r="P180" s="59">
        <f t="shared" si="122"/>
        <v>0</v>
      </c>
      <c r="Q180" s="59">
        <f t="shared" si="122"/>
        <v>0</v>
      </c>
      <c r="R180" s="59">
        <f t="shared" si="122"/>
        <v>0</v>
      </c>
      <c r="S180" s="1"/>
      <c r="T180" s="1"/>
      <c r="U180" s="1"/>
      <c r="V180" s="1"/>
      <c r="W180" s="1"/>
      <c r="X180" s="1"/>
      <c r="Y180" s="1"/>
      <c r="Z180" s="1"/>
      <c r="AA180" s="1"/>
      <c r="AB180" s="1"/>
      <c r="AC180" s="1"/>
      <c r="AD180" s="1"/>
      <c r="AE180" s="1"/>
      <c r="AF180" s="1"/>
      <c r="AG180" s="1"/>
      <c r="AH180" s="1"/>
      <c r="AI180" s="1"/>
      <c r="AJ180" s="1"/>
      <c r="AK180" s="1"/>
      <c r="AL180" s="1"/>
    </row>
    <row r="181" spans="1:38" ht="16.5" customHeight="1" x14ac:dyDescent="0.45">
      <c r="A181" s="1"/>
      <c r="B181" s="1"/>
      <c r="C181" s="1"/>
      <c r="D181" s="221" t="s">
        <v>201</v>
      </c>
      <c r="E181" s="59">
        <f t="shared" ref="E181:R181" si="123">E149-E116</f>
        <v>5.4393999999999998E-2</v>
      </c>
      <c r="F181" s="59">
        <f t="shared" si="123"/>
        <v>5.4393999999999991E-2</v>
      </c>
      <c r="G181" s="59">
        <f t="shared" si="123"/>
        <v>6.4539999999999986E-2</v>
      </c>
      <c r="H181" s="59">
        <f t="shared" si="123"/>
        <v>0.17414000000000002</v>
      </c>
      <c r="I181" s="59">
        <f t="shared" si="123"/>
        <v>0.22314000000000001</v>
      </c>
      <c r="J181" s="59">
        <f t="shared" si="123"/>
        <v>0.21414</v>
      </c>
      <c r="K181" s="59">
        <f t="shared" si="123"/>
        <v>0.17314000000000002</v>
      </c>
      <c r="L181" s="59">
        <f t="shared" si="123"/>
        <v>0.22314000000000001</v>
      </c>
      <c r="M181" s="59">
        <f t="shared" si="123"/>
        <v>0.22314000000000001</v>
      </c>
      <c r="N181" s="59">
        <f t="shared" si="123"/>
        <v>0.22314000000000001</v>
      </c>
      <c r="O181" s="59">
        <f t="shared" si="123"/>
        <v>0.22314000000000001</v>
      </c>
      <c r="P181" s="59">
        <f t="shared" si="123"/>
        <v>0.22314000000000001</v>
      </c>
      <c r="Q181" s="59">
        <f t="shared" si="123"/>
        <v>0.22314000000000001</v>
      </c>
      <c r="R181" s="59">
        <f t="shared" si="123"/>
        <v>0.22314000000000001</v>
      </c>
      <c r="S181" s="1"/>
      <c r="T181" s="1"/>
      <c r="U181" s="1"/>
      <c r="V181" s="1"/>
      <c r="W181" s="1"/>
      <c r="X181" s="1"/>
      <c r="Y181" s="1"/>
      <c r="Z181" s="1"/>
      <c r="AA181" s="1"/>
      <c r="AB181" s="1"/>
      <c r="AC181" s="1"/>
      <c r="AD181" s="1"/>
      <c r="AE181" s="1"/>
      <c r="AF181" s="1"/>
      <c r="AG181" s="1"/>
      <c r="AH181" s="1"/>
      <c r="AI181" s="1"/>
      <c r="AJ181" s="1"/>
      <c r="AK181" s="1"/>
      <c r="AL181" s="1"/>
    </row>
    <row r="182" spans="1:38" ht="16.5" customHeight="1" x14ac:dyDescent="0.45">
      <c r="A182" s="1"/>
      <c r="B182" s="1"/>
      <c r="C182" s="1"/>
      <c r="D182" s="221" t="s">
        <v>203</v>
      </c>
      <c r="E182" s="59">
        <f t="shared" ref="E182:R182" si="124">E150-E117</f>
        <v>0.33335999999999999</v>
      </c>
      <c r="F182" s="59">
        <f t="shared" si="124"/>
        <v>0.33335999999999999</v>
      </c>
      <c r="G182" s="59">
        <f t="shared" si="124"/>
        <v>0.33335999999999999</v>
      </c>
      <c r="H182" s="59">
        <f t="shared" si="124"/>
        <v>0.33335999999999999</v>
      </c>
      <c r="I182" s="59">
        <f t="shared" si="124"/>
        <v>0.33335999999999999</v>
      </c>
      <c r="J182" s="59">
        <f t="shared" si="124"/>
        <v>0.33335999999999999</v>
      </c>
      <c r="K182" s="59">
        <f t="shared" si="124"/>
        <v>0.33335999999999999</v>
      </c>
      <c r="L182" s="59">
        <f t="shared" si="124"/>
        <v>0.40836</v>
      </c>
      <c r="M182" s="59">
        <f t="shared" si="124"/>
        <v>0.40836</v>
      </c>
      <c r="N182" s="59">
        <f t="shared" si="124"/>
        <v>0.40836</v>
      </c>
      <c r="O182" s="59">
        <f t="shared" si="124"/>
        <v>0.40836</v>
      </c>
      <c r="P182" s="59">
        <f t="shared" si="124"/>
        <v>0.60236000000000001</v>
      </c>
      <c r="Q182" s="59">
        <f t="shared" si="124"/>
        <v>0.60236000000000001</v>
      </c>
      <c r="R182" s="59">
        <f t="shared" si="124"/>
        <v>0.60236000000000001</v>
      </c>
      <c r="S182" s="1"/>
      <c r="T182" s="1"/>
      <c r="U182" s="1"/>
      <c r="V182" s="1"/>
      <c r="W182" s="1"/>
      <c r="X182" s="1"/>
      <c r="Y182" s="1"/>
      <c r="Z182" s="1"/>
      <c r="AA182" s="1"/>
      <c r="AB182" s="1"/>
      <c r="AC182" s="1"/>
      <c r="AD182" s="1"/>
      <c r="AE182" s="1"/>
      <c r="AF182" s="1"/>
      <c r="AG182" s="1"/>
      <c r="AH182" s="1"/>
      <c r="AI182" s="1"/>
      <c r="AJ182" s="1"/>
      <c r="AK182" s="1"/>
      <c r="AL182" s="1"/>
    </row>
    <row r="183" spans="1:38" ht="16.5" customHeight="1" x14ac:dyDescent="0.45">
      <c r="A183" s="1"/>
      <c r="B183" s="1"/>
      <c r="C183" s="1"/>
      <c r="D183" s="221" t="s">
        <v>205</v>
      </c>
      <c r="E183" s="59">
        <f t="shared" ref="E183:R183" si="125">E151-E118</f>
        <v>0</v>
      </c>
      <c r="F183" s="59">
        <f t="shared" si="125"/>
        <v>0</v>
      </c>
      <c r="G183" s="59">
        <f t="shared" si="125"/>
        <v>0</v>
      </c>
      <c r="H183" s="59">
        <f t="shared" si="125"/>
        <v>0</v>
      </c>
      <c r="I183" s="59">
        <f t="shared" si="125"/>
        <v>0</v>
      </c>
      <c r="J183" s="59">
        <f t="shared" si="125"/>
        <v>0</v>
      </c>
      <c r="K183" s="59">
        <f t="shared" si="125"/>
        <v>0</v>
      </c>
      <c r="L183" s="59">
        <f t="shared" si="125"/>
        <v>0</v>
      </c>
      <c r="M183" s="59">
        <f t="shared" si="125"/>
        <v>0</v>
      </c>
      <c r="N183" s="59">
        <f t="shared" si="125"/>
        <v>0</v>
      </c>
      <c r="O183" s="59">
        <f t="shared" si="125"/>
        <v>0</v>
      </c>
      <c r="P183" s="59">
        <f t="shared" si="125"/>
        <v>0</v>
      </c>
      <c r="Q183" s="59">
        <f t="shared" si="125"/>
        <v>0</v>
      </c>
      <c r="R183" s="59">
        <f t="shared" si="125"/>
        <v>0</v>
      </c>
      <c r="S183" s="1"/>
      <c r="T183" s="1"/>
      <c r="U183" s="1"/>
      <c r="V183" s="1"/>
      <c r="W183" s="1"/>
      <c r="X183" s="1"/>
      <c r="Y183" s="1"/>
      <c r="Z183" s="1"/>
      <c r="AA183" s="1"/>
      <c r="AB183" s="1"/>
      <c r="AC183" s="1"/>
      <c r="AD183" s="1"/>
      <c r="AE183" s="1"/>
      <c r="AF183" s="1"/>
      <c r="AG183" s="1"/>
      <c r="AH183" s="1"/>
      <c r="AI183" s="1"/>
      <c r="AJ183" s="1"/>
      <c r="AK183" s="1"/>
      <c r="AL183" s="1"/>
    </row>
    <row r="184" spans="1:38" ht="16.5" customHeight="1" x14ac:dyDescent="0.45">
      <c r="A184" s="1"/>
      <c r="B184" s="1"/>
      <c r="C184" s="1"/>
      <c r="D184" s="221" t="s">
        <v>207</v>
      </c>
      <c r="E184" s="59">
        <f t="shared" ref="E184:R184" si="126">E152-E119</f>
        <v>0.54239000000000004</v>
      </c>
      <c r="F184" s="59">
        <f t="shared" si="126"/>
        <v>0.55239000000000005</v>
      </c>
      <c r="G184" s="59">
        <f t="shared" si="126"/>
        <v>0.500282</v>
      </c>
      <c r="H184" s="59">
        <f t="shared" si="126"/>
        <v>1.937182</v>
      </c>
      <c r="I184" s="59">
        <f t="shared" si="126"/>
        <v>1.9071819999999999</v>
      </c>
      <c r="J184" s="59">
        <f t="shared" si="126"/>
        <v>1.937182</v>
      </c>
      <c r="K184" s="59">
        <f t="shared" si="126"/>
        <v>1.933182</v>
      </c>
      <c r="L184" s="59">
        <f t="shared" si="126"/>
        <v>1.9226019999999999</v>
      </c>
      <c r="M184" s="59">
        <f t="shared" si="126"/>
        <v>1.937182</v>
      </c>
      <c r="N184" s="59">
        <f t="shared" si="126"/>
        <v>1.937182</v>
      </c>
      <c r="O184" s="59">
        <f t="shared" si="126"/>
        <v>1.937182</v>
      </c>
      <c r="P184" s="59">
        <f t="shared" si="126"/>
        <v>1.937182</v>
      </c>
      <c r="Q184" s="59">
        <f t="shared" si="126"/>
        <v>1.937182</v>
      </c>
      <c r="R184" s="59">
        <f t="shared" si="126"/>
        <v>1.937182</v>
      </c>
      <c r="S184" s="1"/>
      <c r="T184" s="1"/>
      <c r="U184" s="1"/>
      <c r="V184" s="1"/>
      <c r="W184" s="1"/>
      <c r="X184" s="1"/>
      <c r="Y184" s="1"/>
      <c r="Z184" s="1"/>
      <c r="AA184" s="1"/>
      <c r="AB184" s="1"/>
      <c r="AC184" s="1"/>
      <c r="AD184" s="1"/>
      <c r="AE184" s="1"/>
      <c r="AF184" s="1"/>
      <c r="AG184" s="1"/>
      <c r="AH184" s="1"/>
      <c r="AI184" s="1"/>
      <c r="AJ184" s="1"/>
      <c r="AK184" s="1"/>
      <c r="AL184" s="1"/>
    </row>
    <row r="185" spans="1:38" ht="16.5" customHeight="1" x14ac:dyDescent="0.45">
      <c r="A185" s="1"/>
      <c r="B185" s="1"/>
      <c r="C185" s="1"/>
      <c r="D185" s="221" t="s">
        <v>209</v>
      </c>
      <c r="E185" s="59">
        <f t="shared" ref="E185:R185" si="127">E153-E120</f>
        <v>0.41</v>
      </c>
      <c r="F185" s="59">
        <f t="shared" si="127"/>
        <v>0.41</v>
      </c>
      <c r="G185" s="59">
        <f t="shared" si="127"/>
        <v>0.47430399999999995</v>
      </c>
      <c r="H185" s="59">
        <f t="shared" si="127"/>
        <v>2.551024</v>
      </c>
      <c r="I185" s="59">
        <f t="shared" si="127"/>
        <v>2.551024</v>
      </c>
      <c r="J185" s="59">
        <f t="shared" si="127"/>
        <v>2.551024</v>
      </c>
      <c r="K185" s="59">
        <f t="shared" si="127"/>
        <v>2.551024</v>
      </c>
      <c r="L185" s="59">
        <f t="shared" si="127"/>
        <v>2.5010240000000001</v>
      </c>
      <c r="M185" s="59">
        <f t="shared" si="127"/>
        <v>2.551024</v>
      </c>
      <c r="N185" s="59">
        <f t="shared" si="127"/>
        <v>2.551024</v>
      </c>
      <c r="O185" s="59">
        <f t="shared" si="127"/>
        <v>2.551024</v>
      </c>
      <c r="P185" s="59">
        <f t="shared" si="127"/>
        <v>2.551024</v>
      </c>
      <c r="Q185" s="59">
        <f t="shared" si="127"/>
        <v>2.551024</v>
      </c>
      <c r="R185" s="59">
        <f t="shared" si="127"/>
        <v>2.551024</v>
      </c>
      <c r="S185" s="1"/>
      <c r="T185" s="1"/>
      <c r="U185" s="1"/>
      <c r="V185" s="1"/>
      <c r="W185" s="1"/>
      <c r="X185" s="1"/>
      <c r="Y185" s="1"/>
      <c r="Z185" s="1"/>
      <c r="AA185" s="1"/>
      <c r="AB185" s="1"/>
      <c r="AC185" s="1"/>
      <c r="AD185" s="1"/>
      <c r="AE185" s="1"/>
      <c r="AF185" s="1"/>
      <c r="AG185" s="1"/>
      <c r="AH185" s="1"/>
      <c r="AI185" s="1"/>
      <c r="AJ185" s="1"/>
      <c r="AK185" s="1"/>
      <c r="AL185" s="1"/>
    </row>
    <row r="186" spans="1:38" ht="16.5" customHeight="1" x14ac:dyDescent="0.45">
      <c r="A186" s="1"/>
      <c r="B186" s="1"/>
      <c r="C186" s="1"/>
      <c r="D186" s="221" t="s">
        <v>211</v>
      </c>
      <c r="E186" s="59">
        <f t="shared" ref="E186:R186" si="128">E154-E121</f>
        <v>1.9869999899999999</v>
      </c>
      <c r="F186" s="59">
        <f t="shared" si="128"/>
        <v>1.9869999899999999</v>
      </c>
      <c r="G186" s="59">
        <f t="shared" si="128"/>
        <v>1.9869999899999999</v>
      </c>
      <c r="H186" s="59">
        <f t="shared" si="128"/>
        <v>9.1101999899999999</v>
      </c>
      <c r="I186" s="59">
        <f t="shared" si="128"/>
        <v>9.1101999899999999</v>
      </c>
      <c r="J186" s="59">
        <f t="shared" si="128"/>
        <v>9.1101999899999999</v>
      </c>
      <c r="K186" s="59">
        <f t="shared" si="128"/>
        <v>9.1101999899999999</v>
      </c>
      <c r="L186" s="59">
        <f t="shared" si="128"/>
        <v>9.1101999899999999</v>
      </c>
      <c r="M186" s="59">
        <f t="shared" si="128"/>
        <v>9.1101999899999999</v>
      </c>
      <c r="N186" s="59">
        <f t="shared" si="128"/>
        <v>9.1101999899999999</v>
      </c>
      <c r="O186" s="59">
        <f t="shared" si="128"/>
        <v>9.1101999899999999</v>
      </c>
      <c r="P186" s="59">
        <f t="shared" si="128"/>
        <v>9.1101999899999999</v>
      </c>
      <c r="Q186" s="59">
        <f t="shared" si="128"/>
        <v>9.1101999899999999</v>
      </c>
      <c r="R186" s="59">
        <f t="shared" si="128"/>
        <v>9.1101999899999999</v>
      </c>
      <c r="S186" s="1"/>
      <c r="T186" s="1"/>
      <c r="U186" s="1"/>
      <c r="V186" s="1"/>
      <c r="W186" s="1"/>
      <c r="X186" s="1"/>
      <c r="Y186" s="1"/>
      <c r="Z186" s="1"/>
      <c r="AA186" s="1"/>
      <c r="AB186" s="1"/>
      <c r="AC186" s="1"/>
      <c r="AD186" s="1"/>
      <c r="AE186" s="1"/>
      <c r="AF186" s="1"/>
      <c r="AG186" s="1"/>
      <c r="AH186" s="1"/>
      <c r="AI186" s="1"/>
      <c r="AJ186" s="1"/>
      <c r="AK186" s="1"/>
      <c r="AL186" s="1"/>
    </row>
    <row r="187" spans="1:38" ht="16.5" customHeight="1" x14ac:dyDescent="0.45">
      <c r="A187" s="1"/>
      <c r="B187" s="1"/>
      <c r="C187" s="1"/>
      <c r="D187" s="243" t="s">
        <v>257</v>
      </c>
      <c r="E187" s="59">
        <f t="shared" ref="E187:R187" si="129">E155-E122</f>
        <v>2.4460819999999991E-2</v>
      </c>
      <c r="F187" s="59">
        <f t="shared" si="129"/>
        <v>2.4460819999999991E-2</v>
      </c>
      <c r="G187" s="59">
        <f t="shared" si="129"/>
        <v>2.4460819999999991E-2</v>
      </c>
      <c r="H187" s="59">
        <f t="shared" si="129"/>
        <v>18.024460820000002</v>
      </c>
      <c r="I187" s="59">
        <f t="shared" si="129"/>
        <v>18.024460820000002</v>
      </c>
      <c r="J187" s="59">
        <f t="shared" si="129"/>
        <v>18.024460820000002</v>
      </c>
      <c r="K187" s="59">
        <f t="shared" si="129"/>
        <v>17.704460820000001</v>
      </c>
      <c r="L187" s="59">
        <f t="shared" si="129"/>
        <v>18.024460820000002</v>
      </c>
      <c r="M187" s="59">
        <f t="shared" si="129"/>
        <v>17.754460820000002</v>
      </c>
      <c r="N187" s="59">
        <f t="shared" si="129"/>
        <v>17.964460820000003</v>
      </c>
      <c r="O187" s="59">
        <f t="shared" si="129"/>
        <v>17.864460820000001</v>
      </c>
      <c r="P187" s="59">
        <f t="shared" si="129"/>
        <v>18.024460820000002</v>
      </c>
      <c r="Q187" s="59">
        <f t="shared" si="129"/>
        <v>18.024460820000002</v>
      </c>
      <c r="R187" s="59">
        <f t="shared" si="129"/>
        <v>18.024460820000002</v>
      </c>
      <c r="S187" s="1"/>
      <c r="T187" s="1"/>
      <c r="U187" s="1"/>
      <c r="V187" s="1"/>
      <c r="W187" s="1"/>
      <c r="X187" s="1"/>
      <c r="Y187" s="1"/>
      <c r="Z187" s="1"/>
      <c r="AA187" s="1"/>
      <c r="AB187" s="1"/>
      <c r="AC187" s="1"/>
      <c r="AD187" s="1"/>
      <c r="AE187" s="1"/>
      <c r="AF187" s="1"/>
      <c r="AG187" s="1"/>
      <c r="AH187" s="1"/>
      <c r="AI187" s="1"/>
      <c r="AJ187" s="1"/>
      <c r="AK187" s="1"/>
      <c r="AL187" s="1"/>
    </row>
    <row r="188" spans="1:38" ht="16.5" customHeight="1" x14ac:dyDescent="0.45">
      <c r="A188" s="1"/>
      <c r="B188" s="1"/>
      <c r="C188" s="1"/>
      <c r="D188" s="243" t="s">
        <v>344</v>
      </c>
      <c r="E188" s="59">
        <f t="shared" ref="E188:G188" si="130">E156-E123</f>
        <v>0</v>
      </c>
      <c r="F188" s="59">
        <f t="shared" si="130"/>
        <v>0</v>
      </c>
      <c r="G188" s="59">
        <f t="shared" si="130"/>
        <v>0</v>
      </c>
      <c r="H188" s="59">
        <f t="shared" ref="H188:R188" si="131">H156-H123</f>
        <v>99999</v>
      </c>
      <c r="I188" s="59">
        <f t="shared" si="131"/>
        <v>99999</v>
      </c>
      <c r="J188" s="59">
        <f t="shared" si="131"/>
        <v>99999</v>
      </c>
      <c r="K188" s="59">
        <f t="shared" si="131"/>
        <v>99998.985000000001</v>
      </c>
      <c r="L188" s="59">
        <f t="shared" si="131"/>
        <v>99999</v>
      </c>
      <c r="M188" s="59">
        <f t="shared" si="131"/>
        <v>99999</v>
      </c>
      <c r="N188" s="59">
        <f t="shared" si="131"/>
        <v>99999</v>
      </c>
      <c r="O188" s="59">
        <f t="shared" si="131"/>
        <v>99999</v>
      </c>
      <c r="P188" s="59">
        <f t="shared" si="131"/>
        <v>99999</v>
      </c>
      <c r="Q188" s="59">
        <f t="shared" si="131"/>
        <v>99999</v>
      </c>
      <c r="R188" s="59">
        <f t="shared" si="131"/>
        <v>99999</v>
      </c>
      <c r="S188" s="1"/>
      <c r="T188" s="1"/>
      <c r="U188" s="1"/>
      <c r="V188" s="1"/>
      <c r="W188" s="1"/>
      <c r="X188" s="1"/>
      <c r="Y188" s="1"/>
      <c r="Z188" s="1"/>
      <c r="AA188" s="1"/>
      <c r="AB188" s="1"/>
      <c r="AC188" s="1"/>
      <c r="AD188" s="1"/>
      <c r="AE188" s="1"/>
      <c r="AF188" s="1"/>
      <c r="AG188" s="1"/>
      <c r="AH188" s="1"/>
      <c r="AI188" s="1"/>
      <c r="AJ188" s="1"/>
      <c r="AK188" s="1"/>
      <c r="AL188" s="1"/>
    </row>
    <row r="189" spans="1:38" ht="16.5" customHeight="1" x14ac:dyDescent="0.45">
      <c r="A189" s="1"/>
      <c r="B189" s="1"/>
      <c r="C189" s="1"/>
      <c r="D189" s="228" t="s">
        <v>180</v>
      </c>
      <c r="E189" s="59">
        <f t="shared" ref="E189:G189" si="132">E157-E124</f>
        <v>0</v>
      </c>
      <c r="F189" s="59">
        <f t="shared" si="132"/>
        <v>0</v>
      </c>
      <c r="G189" s="59">
        <f t="shared" si="132"/>
        <v>0</v>
      </c>
      <c r="H189" s="59">
        <f t="shared" ref="H189:R189" si="133">H157-H124</f>
        <v>99999</v>
      </c>
      <c r="I189" s="59">
        <f t="shared" si="133"/>
        <v>99999</v>
      </c>
      <c r="J189" s="59">
        <f t="shared" si="133"/>
        <v>99999</v>
      </c>
      <c r="K189" s="59">
        <f t="shared" si="133"/>
        <v>99999</v>
      </c>
      <c r="L189" s="59">
        <f t="shared" si="133"/>
        <v>99999</v>
      </c>
      <c r="M189" s="59">
        <f t="shared" si="133"/>
        <v>99999</v>
      </c>
      <c r="N189" s="59">
        <f t="shared" si="133"/>
        <v>99999</v>
      </c>
      <c r="O189" s="59">
        <f t="shared" si="133"/>
        <v>99999</v>
      </c>
      <c r="P189" s="59">
        <f t="shared" si="133"/>
        <v>99999</v>
      </c>
      <c r="Q189" s="59">
        <f t="shared" si="133"/>
        <v>99999</v>
      </c>
      <c r="R189" s="59">
        <f t="shared" si="133"/>
        <v>99999</v>
      </c>
      <c r="S189" s="1"/>
      <c r="T189" s="1"/>
      <c r="U189" s="1"/>
      <c r="V189" s="1"/>
      <c r="W189" s="1"/>
      <c r="X189" s="1"/>
      <c r="Y189" s="1"/>
      <c r="Z189" s="1"/>
      <c r="AA189" s="1"/>
      <c r="AB189" s="1"/>
      <c r="AC189" s="1"/>
      <c r="AD189" s="1"/>
      <c r="AE189" s="1"/>
      <c r="AF189" s="1"/>
      <c r="AG189" s="1"/>
      <c r="AH189" s="1"/>
      <c r="AI189" s="1"/>
      <c r="AJ189" s="1"/>
      <c r="AK189" s="1"/>
      <c r="AL189" s="1"/>
    </row>
    <row r="190" spans="1:38" ht="16.5" customHeight="1" x14ac:dyDescent="0.45">
      <c r="A190" s="1"/>
      <c r="B190" s="1"/>
      <c r="C190" s="1"/>
      <c r="D190" s="221" t="s">
        <v>190</v>
      </c>
      <c r="E190" s="59">
        <f t="shared" ref="E190:G190" si="134">E158-E125</f>
        <v>0.30998559999999997</v>
      </c>
      <c r="F190" s="59">
        <f t="shared" si="134"/>
        <v>0.2623856</v>
      </c>
      <c r="G190" s="59">
        <f t="shared" si="134"/>
        <v>0.2623856</v>
      </c>
      <c r="H190" s="59">
        <f t="shared" ref="H190:R190" si="135">H158-H125</f>
        <v>99999</v>
      </c>
      <c r="I190" s="59">
        <f t="shared" si="135"/>
        <v>99999</v>
      </c>
      <c r="J190" s="59">
        <f t="shared" si="135"/>
        <v>99999</v>
      </c>
      <c r="K190" s="59">
        <f t="shared" si="135"/>
        <v>99999</v>
      </c>
      <c r="L190" s="59">
        <f t="shared" si="135"/>
        <v>99999</v>
      </c>
      <c r="M190" s="59">
        <f t="shared" si="135"/>
        <v>99999</v>
      </c>
      <c r="N190" s="59">
        <f t="shared" si="135"/>
        <v>99999</v>
      </c>
      <c r="O190" s="59">
        <f t="shared" si="135"/>
        <v>99999</v>
      </c>
      <c r="P190" s="59">
        <f t="shared" si="135"/>
        <v>99999</v>
      </c>
      <c r="Q190" s="59">
        <f t="shared" si="135"/>
        <v>99999</v>
      </c>
      <c r="R190" s="59">
        <f t="shared" si="135"/>
        <v>99999</v>
      </c>
      <c r="S190" s="1"/>
      <c r="T190" s="1"/>
      <c r="U190" s="1"/>
      <c r="V190" s="1"/>
      <c r="W190" s="1"/>
      <c r="X190" s="1"/>
      <c r="Y190" s="1"/>
      <c r="Z190" s="1"/>
      <c r="AA190" s="1"/>
      <c r="AB190" s="1"/>
      <c r="AC190" s="1"/>
      <c r="AD190" s="1"/>
      <c r="AE190" s="1"/>
      <c r="AF190" s="1"/>
      <c r="AG190" s="1"/>
      <c r="AH190" s="1"/>
      <c r="AI190" s="1"/>
      <c r="AJ190" s="1"/>
      <c r="AK190" s="1"/>
      <c r="AL190" s="1"/>
    </row>
    <row r="191" spans="1:38" ht="16.5" customHeight="1" x14ac:dyDescent="0.45">
      <c r="A191" s="1"/>
      <c r="B191" s="1"/>
      <c r="C191" s="1"/>
      <c r="D191" s="221" t="s">
        <v>195</v>
      </c>
      <c r="E191" s="59">
        <f t="shared" ref="E191:G191" si="136">E159-E126</f>
        <v>0.43722</v>
      </c>
      <c r="F191" s="59">
        <f t="shared" si="136"/>
        <v>0.43722</v>
      </c>
      <c r="G191" s="59">
        <f t="shared" si="136"/>
        <v>0.43722</v>
      </c>
      <c r="H191" s="59">
        <f t="shared" ref="H191:R191" si="137">H159-H126</f>
        <v>99999</v>
      </c>
      <c r="I191" s="59">
        <f t="shared" si="137"/>
        <v>99999</v>
      </c>
      <c r="J191" s="59">
        <f t="shared" si="137"/>
        <v>99999</v>
      </c>
      <c r="K191" s="59">
        <f t="shared" si="137"/>
        <v>99999</v>
      </c>
      <c r="L191" s="59">
        <f t="shared" si="137"/>
        <v>99999</v>
      </c>
      <c r="M191" s="59">
        <f t="shared" si="137"/>
        <v>99999</v>
      </c>
      <c r="N191" s="59">
        <f t="shared" si="137"/>
        <v>99999</v>
      </c>
      <c r="O191" s="59">
        <f t="shared" si="137"/>
        <v>99999</v>
      </c>
      <c r="P191" s="59">
        <f t="shared" si="137"/>
        <v>99999</v>
      </c>
      <c r="Q191" s="59">
        <f t="shared" si="137"/>
        <v>99999</v>
      </c>
      <c r="R191" s="59">
        <f t="shared" si="137"/>
        <v>99999</v>
      </c>
      <c r="S191" s="1"/>
      <c r="T191" s="1"/>
      <c r="U191" s="1"/>
      <c r="V191" s="1"/>
      <c r="W191" s="1"/>
      <c r="X191" s="1"/>
      <c r="Y191" s="1"/>
      <c r="Z191" s="1"/>
      <c r="AA191" s="1"/>
      <c r="AB191" s="1"/>
      <c r="AC191" s="1"/>
      <c r="AD191" s="1"/>
      <c r="AE191" s="1"/>
      <c r="AF191" s="1"/>
      <c r="AG191" s="1"/>
      <c r="AH191" s="1"/>
      <c r="AI191" s="1"/>
      <c r="AJ191" s="1"/>
      <c r="AK191" s="1"/>
      <c r="AL191" s="1"/>
    </row>
    <row r="192" spans="1:38" ht="16.5" customHeight="1" x14ac:dyDescent="0.45">
      <c r="A192" s="1"/>
      <c r="B192" s="1"/>
      <c r="C192" s="1"/>
      <c r="D192" s="354" t="s">
        <v>344</v>
      </c>
      <c r="E192" s="59">
        <f t="shared" ref="E192:G192" si="138">E160-E127</f>
        <v>2.2499999999999998E-3</v>
      </c>
      <c r="F192" s="59">
        <f t="shared" si="138"/>
        <v>2.2499999999999998E-3</v>
      </c>
      <c r="G192" s="59">
        <f t="shared" si="138"/>
        <v>2.2499999999999998E-3</v>
      </c>
      <c r="H192" s="59">
        <f t="shared" ref="H192:R192" si="139">H160-H127</f>
        <v>99999</v>
      </c>
      <c r="I192" s="59">
        <f t="shared" si="139"/>
        <v>99999</v>
      </c>
      <c r="J192" s="59">
        <f t="shared" si="139"/>
        <v>99999</v>
      </c>
      <c r="K192" s="59">
        <f t="shared" si="139"/>
        <v>99999</v>
      </c>
      <c r="L192" s="59">
        <f t="shared" si="139"/>
        <v>99999</v>
      </c>
      <c r="M192" s="59">
        <f t="shared" si="139"/>
        <v>99999</v>
      </c>
      <c r="N192" s="59">
        <f t="shared" si="139"/>
        <v>99999</v>
      </c>
      <c r="O192" s="59">
        <f t="shared" si="139"/>
        <v>99999</v>
      </c>
      <c r="P192" s="59">
        <f t="shared" si="139"/>
        <v>99999</v>
      </c>
      <c r="Q192" s="59">
        <f t="shared" si="139"/>
        <v>99999</v>
      </c>
      <c r="R192" s="59">
        <f t="shared" si="139"/>
        <v>99999</v>
      </c>
      <c r="S192" s="1"/>
      <c r="T192" s="1"/>
      <c r="U192" s="1"/>
      <c r="V192" s="1"/>
      <c r="W192" s="1"/>
      <c r="X192" s="1"/>
      <c r="Y192" s="1"/>
      <c r="Z192" s="1"/>
      <c r="AA192" s="1"/>
      <c r="AB192" s="1"/>
      <c r="AC192" s="1"/>
      <c r="AD192" s="1"/>
      <c r="AE192" s="1"/>
      <c r="AF192" s="1"/>
      <c r="AG192" s="1"/>
      <c r="AH192" s="1"/>
      <c r="AI192" s="1"/>
      <c r="AJ192" s="1"/>
      <c r="AK192" s="1"/>
      <c r="AL192" s="1"/>
    </row>
    <row r="193" spans="1:39" ht="16.5" customHeight="1" x14ac:dyDescent="0.45">
      <c r="A193" s="1"/>
      <c r="B193" s="1"/>
      <c r="C193" s="1"/>
      <c r="D193" s="221" t="s">
        <v>345</v>
      </c>
      <c r="E193" s="59">
        <f t="shared" ref="E193:G193" si="140">E161-E128</f>
        <v>8.6599999999999996E-2</v>
      </c>
      <c r="F193" s="59">
        <f t="shared" si="140"/>
        <v>8.6599999999999996E-2</v>
      </c>
      <c r="G193" s="59">
        <f t="shared" si="140"/>
        <v>8.6599999999999996E-2</v>
      </c>
      <c r="H193" s="59">
        <f t="shared" ref="H193:R193" si="141">H161-H128</f>
        <v>99999</v>
      </c>
      <c r="I193" s="59">
        <f t="shared" si="141"/>
        <v>99999</v>
      </c>
      <c r="J193" s="59">
        <f t="shared" si="141"/>
        <v>99999</v>
      </c>
      <c r="K193" s="59">
        <f t="shared" si="141"/>
        <v>99999</v>
      </c>
      <c r="L193" s="59">
        <f t="shared" si="141"/>
        <v>99999</v>
      </c>
      <c r="M193" s="59">
        <f t="shared" si="141"/>
        <v>99999</v>
      </c>
      <c r="N193" s="59">
        <f t="shared" si="141"/>
        <v>99999</v>
      </c>
      <c r="O193" s="59">
        <f t="shared" si="141"/>
        <v>99999</v>
      </c>
      <c r="P193" s="59">
        <f t="shared" si="141"/>
        <v>99999</v>
      </c>
      <c r="Q193" s="59">
        <f t="shared" si="141"/>
        <v>99999</v>
      </c>
      <c r="R193" s="59">
        <f t="shared" si="141"/>
        <v>99999</v>
      </c>
      <c r="S193" s="1"/>
      <c r="T193" s="1"/>
      <c r="U193" s="1"/>
      <c r="V193" s="1"/>
      <c r="W193" s="1"/>
      <c r="X193" s="1"/>
      <c r="Y193" s="1"/>
      <c r="Z193" s="1"/>
      <c r="AA193" s="1"/>
      <c r="AB193" s="1"/>
      <c r="AC193" s="1"/>
      <c r="AD193" s="1"/>
      <c r="AE193" s="1"/>
      <c r="AF193" s="1"/>
      <c r="AG193" s="1"/>
      <c r="AH193" s="1"/>
      <c r="AI193" s="1"/>
      <c r="AJ193" s="1"/>
      <c r="AK193" s="1"/>
      <c r="AL193" s="1"/>
    </row>
    <row r="194" spans="1:39" ht="16.5" customHeight="1" x14ac:dyDescent="0.45">
      <c r="A194" s="1"/>
      <c r="B194" s="1"/>
      <c r="C194" s="1"/>
      <c r="D194" s="228" t="s">
        <v>188</v>
      </c>
      <c r="E194" s="59">
        <f t="shared" ref="E194:G194" si="142">E162-E129</f>
        <v>0</v>
      </c>
      <c r="F194" s="59">
        <f t="shared" si="142"/>
        <v>0</v>
      </c>
      <c r="G194" s="59">
        <f t="shared" si="142"/>
        <v>0</v>
      </c>
      <c r="H194" s="59">
        <f t="shared" ref="H194:R194" si="143">H162-H129</f>
        <v>99999</v>
      </c>
      <c r="I194" s="59">
        <f t="shared" si="143"/>
        <v>99999</v>
      </c>
      <c r="J194" s="59">
        <f t="shared" si="143"/>
        <v>99999</v>
      </c>
      <c r="K194" s="59">
        <f t="shared" si="143"/>
        <v>99999</v>
      </c>
      <c r="L194" s="59">
        <f t="shared" si="143"/>
        <v>99999</v>
      </c>
      <c r="M194" s="59">
        <f t="shared" si="143"/>
        <v>99999</v>
      </c>
      <c r="N194" s="59">
        <f t="shared" si="143"/>
        <v>99999</v>
      </c>
      <c r="O194" s="59">
        <f t="shared" si="143"/>
        <v>99999</v>
      </c>
      <c r="P194" s="59">
        <f t="shared" si="143"/>
        <v>99999</v>
      </c>
      <c r="Q194" s="59">
        <f t="shared" si="143"/>
        <v>99999</v>
      </c>
      <c r="R194" s="59">
        <f t="shared" si="143"/>
        <v>99999</v>
      </c>
      <c r="S194" s="1"/>
      <c r="T194" s="1"/>
      <c r="U194" s="1"/>
      <c r="V194" s="1"/>
      <c r="W194" s="1"/>
      <c r="X194" s="1"/>
      <c r="Y194" s="1"/>
      <c r="Z194" s="1"/>
      <c r="AA194" s="1"/>
      <c r="AB194" s="1"/>
      <c r="AC194" s="1"/>
      <c r="AD194" s="1"/>
      <c r="AE194" s="1"/>
      <c r="AF194" s="1"/>
      <c r="AG194" s="1"/>
      <c r="AH194" s="1"/>
      <c r="AI194" s="1"/>
      <c r="AJ194" s="1"/>
      <c r="AK194" s="1"/>
      <c r="AL194" s="1"/>
      <c r="AM194" s="3"/>
    </row>
    <row r="195" spans="1:39" ht="16.5" customHeight="1" x14ac:dyDescent="0.45">
      <c r="A195" s="1"/>
      <c r="B195" s="1"/>
      <c r="C195" s="1"/>
      <c r="D195" s="221" t="s">
        <v>190</v>
      </c>
      <c r="E195" s="59">
        <f t="shared" ref="E195:G195" si="144">E163-E130</f>
        <v>0.54523499999999991</v>
      </c>
      <c r="F195" s="59">
        <f t="shared" si="144"/>
        <v>0.54523499999999991</v>
      </c>
      <c r="G195" s="59">
        <f t="shared" si="144"/>
        <v>0.54523499999999991</v>
      </c>
      <c r="H195" s="59">
        <f t="shared" ref="H195:R195" si="145">H163-H130</f>
        <v>99999</v>
      </c>
      <c r="I195" s="59">
        <f t="shared" si="145"/>
        <v>99999</v>
      </c>
      <c r="J195" s="59">
        <f t="shared" si="145"/>
        <v>99999</v>
      </c>
      <c r="K195" s="59">
        <f t="shared" si="145"/>
        <v>99999</v>
      </c>
      <c r="L195" s="59">
        <f t="shared" si="145"/>
        <v>99999</v>
      </c>
      <c r="M195" s="59">
        <f t="shared" si="145"/>
        <v>99999</v>
      </c>
      <c r="N195" s="59">
        <f t="shared" si="145"/>
        <v>99999</v>
      </c>
      <c r="O195" s="59">
        <f t="shared" si="145"/>
        <v>99999</v>
      </c>
      <c r="P195" s="59">
        <f t="shared" si="145"/>
        <v>99999</v>
      </c>
      <c r="Q195" s="59">
        <f t="shared" si="145"/>
        <v>99999</v>
      </c>
      <c r="R195" s="59">
        <f t="shared" si="145"/>
        <v>99999</v>
      </c>
      <c r="S195" s="1"/>
      <c r="T195" s="1"/>
      <c r="U195" s="1"/>
      <c r="V195" s="1"/>
      <c r="W195" s="1"/>
      <c r="X195" s="1"/>
      <c r="Y195" s="1"/>
      <c r="Z195" s="1"/>
      <c r="AA195" s="1"/>
      <c r="AB195" s="1"/>
      <c r="AC195" s="1"/>
      <c r="AD195" s="1"/>
      <c r="AE195" s="1"/>
      <c r="AF195" s="1"/>
      <c r="AG195" s="1"/>
      <c r="AH195" s="1"/>
      <c r="AI195" s="1"/>
      <c r="AJ195" s="1"/>
      <c r="AK195" s="1"/>
      <c r="AL195" s="1"/>
      <c r="AM195" s="3"/>
    </row>
    <row r="196" spans="1:39" ht="16.5" customHeight="1" x14ac:dyDescent="0.45">
      <c r="A196" s="1"/>
      <c r="B196" s="1"/>
      <c r="C196" s="1"/>
      <c r="D196" s="221" t="s">
        <v>411</v>
      </c>
      <c r="E196" s="59">
        <f t="shared" ref="E196:G196" si="146">E164-E131</f>
        <v>0.27535999999999999</v>
      </c>
      <c r="F196" s="59">
        <f t="shared" si="146"/>
        <v>0.27535999999999999</v>
      </c>
      <c r="G196" s="59">
        <f t="shared" si="146"/>
        <v>0.27535999999999999</v>
      </c>
      <c r="H196" s="59">
        <f t="shared" ref="H196:R196" si="147">H164-H131</f>
        <v>99999</v>
      </c>
      <c r="I196" s="59">
        <f t="shared" si="147"/>
        <v>99999</v>
      </c>
      <c r="J196" s="59">
        <f t="shared" si="147"/>
        <v>99999</v>
      </c>
      <c r="K196" s="59">
        <f t="shared" si="147"/>
        <v>99998.812999999995</v>
      </c>
      <c r="L196" s="59">
        <f t="shared" si="147"/>
        <v>99999</v>
      </c>
      <c r="M196" s="59">
        <f t="shared" si="147"/>
        <v>99998.6</v>
      </c>
      <c r="N196" s="59">
        <f t="shared" si="147"/>
        <v>99999</v>
      </c>
      <c r="O196" s="59">
        <f t="shared" si="147"/>
        <v>99999</v>
      </c>
      <c r="P196" s="59">
        <f t="shared" si="147"/>
        <v>99999</v>
      </c>
      <c r="Q196" s="59">
        <f t="shared" si="147"/>
        <v>99999</v>
      </c>
      <c r="R196" s="59">
        <f t="shared" si="147"/>
        <v>99999</v>
      </c>
      <c r="S196" s="1"/>
      <c r="T196" s="1"/>
      <c r="U196" s="1"/>
      <c r="V196" s="1"/>
      <c r="W196" s="1"/>
      <c r="X196" s="1"/>
      <c r="Y196" s="1"/>
      <c r="Z196" s="1"/>
      <c r="AA196" s="1"/>
      <c r="AB196" s="1"/>
      <c r="AC196" s="1"/>
      <c r="AD196" s="1"/>
      <c r="AE196" s="1"/>
      <c r="AF196" s="1"/>
      <c r="AG196" s="1"/>
      <c r="AH196" s="1"/>
      <c r="AI196" s="1"/>
      <c r="AJ196" s="1"/>
      <c r="AK196" s="1"/>
      <c r="AL196" s="1"/>
      <c r="AM196" s="3"/>
    </row>
    <row r="197" spans="1:39" ht="16.5" customHeight="1" x14ac:dyDescent="0.45">
      <c r="A197" s="1"/>
      <c r="B197" s="1"/>
      <c r="C197" s="1"/>
      <c r="D197" s="228" t="s">
        <v>193</v>
      </c>
      <c r="E197" s="59">
        <f t="shared" ref="E197:G197" si="148">E165-E132</f>
        <v>0</v>
      </c>
      <c r="F197" s="59">
        <f t="shared" si="148"/>
        <v>0</v>
      </c>
      <c r="G197" s="59">
        <f t="shared" si="148"/>
        <v>0</v>
      </c>
      <c r="H197" s="59">
        <f t="shared" ref="H197:R197" si="149">H165-H132</f>
        <v>99999</v>
      </c>
      <c r="I197" s="59">
        <f t="shared" si="149"/>
        <v>99999</v>
      </c>
      <c r="J197" s="59">
        <f t="shared" si="149"/>
        <v>99999</v>
      </c>
      <c r="K197" s="59">
        <f t="shared" si="149"/>
        <v>99999</v>
      </c>
      <c r="L197" s="59">
        <f t="shared" si="149"/>
        <v>99999</v>
      </c>
      <c r="M197" s="59">
        <f t="shared" si="149"/>
        <v>99999</v>
      </c>
      <c r="N197" s="59">
        <f t="shared" si="149"/>
        <v>99999</v>
      </c>
      <c r="O197" s="59">
        <f t="shared" si="149"/>
        <v>99999</v>
      </c>
      <c r="P197" s="59">
        <f t="shared" si="149"/>
        <v>99999</v>
      </c>
      <c r="Q197" s="59">
        <f t="shared" si="149"/>
        <v>99999</v>
      </c>
      <c r="R197" s="59">
        <f t="shared" si="149"/>
        <v>99999</v>
      </c>
      <c r="S197" s="1"/>
      <c r="T197" s="1"/>
      <c r="U197" s="1"/>
      <c r="V197" s="1"/>
      <c r="W197" s="1"/>
      <c r="X197" s="1"/>
      <c r="Y197" s="1"/>
      <c r="Z197" s="1"/>
      <c r="AA197" s="1"/>
      <c r="AB197" s="1"/>
      <c r="AC197" s="1"/>
      <c r="AD197" s="1"/>
      <c r="AE197" s="1"/>
      <c r="AF197" s="1"/>
      <c r="AG197" s="1"/>
      <c r="AH197" s="1"/>
      <c r="AI197" s="1"/>
      <c r="AJ197" s="1"/>
      <c r="AK197" s="1"/>
      <c r="AL197" s="1"/>
      <c r="AM197" s="3"/>
    </row>
    <row r="198" spans="1:39" ht="16.5" customHeight="1" x14ac:dyDescent="0.45">
      <c r="A198" s="1"/>
      <c r="B198" s="1"/>
      <c r="C198" s="1"/>
      <c r="D198" s="221" t="s">
        <v>195</v>
      </c>
      <c r="E198" s="59">
        <f t="shared" ref="E198:G198" si="150">E166-E133</f>
        <v>0.44600000000000001</v>
      </c>
      <c r="F198" s="59">
        <f t="shared" si="150"/>
        <v>0.44600000000000001</v>
      </c>
      <c r="G198" s="59">
        <f t="shared" si="150"/>
        <v>0.44600000000000001</v>
      </c>
      <c r="H198" s="59">
        <f t="shared" ref="H198:R198" si="151">H166-H133</f>
        <v>99999</v>
      </c>
      <c r="I198" s="59">
        <f t="shared" si="151"/>
        <v>99999</v>
      </c>
      <c r="J198" s="59">
        <f t="shared" si="151"/>
        <v>99999</v>
      </c>
      <c r="K198" s="59">
        <f t="shared" si="151"/>
        <v>99999</v>
      </c>
      <c r="L198" s="59">
        <f t="shared" si="151"/>
        <v>99999</v>
      </c>
      <c r="M198" s="59">
        <f t="shared" si="151"/>
        <v>99999</v>
      </c>
      <c r="N198" s="59">
        <f t="shared" si="151"/>
        <v>99999</v>
      </c>
      <c r="O198" s="59">
        <f t="shared" si="151"/>
        <v>99999</v>
      </c>
      <c r="P198" s="59">
        <f t="shared" si="151"/>
        <v>99999</v>
      </c>
      <c r="Q198" s="59">
        <f t="shared" si="151"/>
        <v>99999</v>
      </c>
      <c r="R198" s="59">
        <f t="shared" si="151"/>
        <v>99999</v>
      </c>
      <c r="S198" s="1"/>
      <c r="T198" s="1"/>
      <c r="U198" s="1"/>
      <c r="V198" s="1"/>
      <c r="W198" s="1"/>
      <c r="X198" s="1"/>
      <c r="Y198" s="1"/>
      <c r="Z198" s="1"/>
      <c r="AA198" s="1"/>
      <c r="AB198" s="1"/>
      <c r="AC198" s="1"/>
      <c r="AD198" s="1"/>
      <c r="AE198" s="1"/>
      <c r="AF198" s="1"/>
      <c r="AG198" s="1"/>
      <c r="AH198" s="1"/>
      <c r="AI198" s="1"/>
      <c r="AJ198" s="1"/>
      <c r="AK198" s="1"/>
      <c r="AL198" s="1"/>
      <c r="AM198" s="3"/>
    </row>
    <row r="199" spans="1:39" ht="16.5" customHeight="1" x14ac:dyDescent="0.45">
      <c r="A199" s="1"/>
      <c r="B199" s="1"/>
      <c r="C199" s="1"/>
      <c r="D199" s="243" t="s">
        <v>253</v>
      </c>
      <c r="E199" s="59">
        <f t="shared" ref="E199:G199" si="152">E167-E134</f>
        <v>7.26E-3</v>
      </c>
      <c r="F199" s="59">
        <f t="shared" si="152"/>
        <v>7.26E-3</v>
      </c>
      <c r="G199" s="59">
        <f t="shared" si="152"/>
        <v>7.26E-3</v>
      </c>
      <c r="H199" s="59">
        <f t="shared" ref="H199" si="153">H167-H134</f>
        <v>0.10026</v>
      </c>
      <c r="I199" s="59">
        <f t="shared" ref="I199:R199" si="154">I167-I134</f>
        <v>0.10026</v>
      </c>
      <c r="J199" s="59">
        <f t="shared" si="154"/>
        <v>0.10026</v>
      </c>
      <c r="K199" s="59">
        <f t="shared" si="154"/>
        <v>0.10026</v>
      </c>
      <c r="L199" s="59">
        <f t="shared" si="154"/>
        <v>0.10026</v>
      </c>
      <c r="M199" s="59">
        <f t="shared" si="154"/>
        <v>0.10026</v>
      </c>
      <c r="N199" s="59">
        <f t="shared" si="154"/>
        <v>0.10026</v>
      </c>
      <c r="O199" s="59">
        <f t="shared" si="154"/>
        <v>0.10026</v>
      </c>
      <c r="P199" s="59">
        <f t="shared" si="154"/>
        <v>0.10026</v>
      </c>
      <c r="Q199" s="59">
        <f t="shared" si="154"/>
        <v>0.10026</v>
      </c>
      <c r="R199" s="59">
        <f t="shared" si="154"/>
        <v>0.10026</v>
      </c>
      <c r="S199" s="1"/>
      <c r="T199" s="1"/>
      <c r="U199" s="1"/>
      <c r="V199" s="1"/>
      <c r="W199" s="1"/>
      <c r="X199" s="1"/>
      <c r="Y199" s="1"/>
      <c r="Z199" s="1"/>
      <c r="AA199" s="1"/>
      <c r="AB199" s="1"/>
      <c r="AC199" s="1"/>
      <c r="AD199" s="1"/>
      <c r="AE199" s="1"/>
      <c r="AF199" s="1"/>
      <c r="AG199" s="1"/>
      <c r="AH199" s="1"/>
      <c r="AI199" s="1"/>
      <c r="AJ199" s="1"/>
      <c r="AK199" s="1"/>
      <c r="AL199" s="1"/>
      <c r="AM199" s="3"/>
    </row>
    <row r="200" spans="1:39" ht="16.5" customHeight="1" x14ac:dyDescent="0.45">
      <c r="A200" s="1"/>
      <c r="B200" s="1"/>
      <c r="C200" s="1"/>
      <c r="D200" s="243" t="s">
        <v>262</v>
      </c>
      <c r="E200" s="59">
        <f t="shared" ref="E200:G200" si="155">E168-E135</f>
        <v>0</v>
      </c>
      <c r="F200" s="59">
        <f t="shared" si="155"/>
        <v>0</v>
      </c>
      <c r="G200" s="59">
        <f t="shared" si="155"/>
        <v>0</v>
      </c>
      <c r="H200" s="59">
        <f t="shared" ref="H200" si="156">H168-H135</f>
        <v>0.9</v>
      </c>
      <c r="I200" s="59">
        <f t="shared" ref="I200:R200" si="157">I168-I135</f>
        <v>0.9</v>
      </c>
      <c r="J200" s="59">
        <f t="shared" si="157"/>
        <v>0.9</v>
      </c>
      <c r="K200" s="59">
        <f t="shared" si="157"/>
        <v>0.88500000000000001</v>
      </c>
      <c r="L200" s="59">
        <f t="shared" si="157"/>
        <v>0.9</v>
      </c>
      <c r="M200" s="59">
        <f t="shared" si="157"/>
        <v>0.9</v>
      </c>
      <c r="N200" s="59">
        <f t="shared" si="157"/>
        <v>0.9</v>
      </c>
      <c r="O200" s="59">
        <f t="shared" si="157"/>
        <v>0.85</v>
      </c>
      <c r="P200" s="59">
        <f t="shared" si="157"/>
        <v>0.9</v>
      </c>
      <c r="Q200" s="59">
        <f t="shared" si="157"/>
        <v>0.9</v>
      </c>
      <c r="R200" s="59">
        <f t="shared" si="157"/>
        <v>0.9</v>
      </c>
      <c r="S200" s="1"/>
      <c r="T200" s="1"/>
      <c r="U200" s="1"/>
      <c r="V200" s="1"/>
      <c r="W200" s="1"/>
      <c r="X200" s="1"/>
      <c r="Y200" s="1"/>
      <c r="Z200" s="1"/>
      <c r="AA200" s="1"/>
      <c r="AB200" s="1"/>
      <c r="AC200" s="1"/>
      <c r="AD200" s="1"/>
      <c r="AE200" s="1"/>
      <c r="AF200" s="1"/>
      <c r="AG200" s="1"/>
      <c r="AH200" s="1"/>
      <c r="AI200" s="1"/>
      <c r="AJ200" s="1"/>
      <c r="AK200" s="1"/>
      <c r="AL200" s="1"/>
      <c r="AM200" s="3"/>
    </row>
    <row r="201" spans="1:39" ht="16.5" customHeight="1" x14ac:dyDescent="0.45">
      <c r="A201" s="1"/>
      <c r="B201" s="1"/>
      <c r="C201" s="1"/>
      <c r="D201" s="55"/>
      <c r="E201" s="55"/>
      <c r="F201" s="55"/>
      <c r="G201" s="55"/>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3"/>
    </row>
    <row r="202" spans="1:39" ht="16.5" customHeight="1" x14ac:dyDescent="0.45">
      <c r="A202" s="1"/>
      <c r="B202" s="1"/>
      <c r="C202" s="1"/>
      <c r="D202" s="55"/>
      <c r="E202" s="55"/>
      <c r="F202" s="55"/>
      <c r="G202" s="55"/>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3"/>
    </row>
    <row r="203" spans="1:39" ht="14.25" customHeight="1" x14ac:dyDescent="0.45">
      <c r="A203" s="618"/>
      <c r="B203" s="26"/>
      <c r="C203" s="211"/>
      <c r="D203" s="291" t="s">
        <v>465</v>
      </c>
      <c r="E203" s="271"/>
      <c r="F203" s="271"/>
      <c r="G203" s="271"/>
      <c r="H203" s="292"/>
      <c r="I203" s="618"/>
      <c r="J203" s="618"/>
      <c r="K203" s="618"/>
      <c r="L203" s="618"/>
      <c r="M203" s="618"/>
      <c r="N203" s="618"/>
      <c r="O203" s="618"/>
      <c r="P203" s="618"/>
      <c r="Q203" s="618"/>
      <c r="R203" s="618"/>
      <c r="S203" s="618"/>
      <c r="T203" s="618"/>
      <c r="U203" s="618"/>
      <c r="V203" s="618"/>
      <c r="W203" s="618"/>
      <c r="X203" s="618"/>
      <c r="Y203" s="618"/>
      <c r="Z203" s="618"/>
      <c r="AA203" s="618"/>
      <c r="AB203" s="618"/>
      <c r="AC203" s="618"/>
      <c r="AD203" s="618"/>
      <c r="AE203" s="618"/>
      <c r="AF203" s="618"/>
      <c r="AG203" s="618"/>
      <c r="AH203" s="618"/>
      <c r="AI203" s="618"/>
      <c r="AJ203" s="618"/>
      <c r="AK203" s="618"/>
      <c r="AL203" s="618"/>
      <c r="AM203" s="3"/>
    </row>
    <row r="204" spans="1:39" ht="14.25" customHeight="1" x14ac:dyDescent="0.45">
      <c r="A204" s="618"/>
      <c r="B204" s="215"/>
      <c r="C204" s="220"/>
      <c r="D204" s="221"/>
      <c r="E204" s="293"/>
      <c r="F204" s="293"/>
      <c r="G204" s="293"/>
      <c r="H204" s="294"/>
      <c r="I204" s="618"/>
      <c r="J204" s="618"/>
      <c r="K204" s="618"/>
      <c r="L204" s="618"/>
      <c r="M204" s="618"/>
      <c r="N204" s="618"/>
      <c r="O204" s="618"/>
      <c r="P204" s="618"/>
      <c r="Q204" s="618"/>
      <c r="R204" s="618"/>
      <c r="S204" s="618"/>
      <c r="T204" s="618"/>
      <c r="U204" s="618"/>
      <c r="V204" s="618"/>
      <c r="W204" s="618"/>
      <c r="X204" s="618"/>
      <c r="Y204" s="618"/>
      <c r="Z204" s="618"/>
      <c r="AA204" s="618"/>
      <c r="AB204" s="618"/>
      <c r="AC204" s="618"/>
      <c r="AD204" s="618"/>
      <c r="AE204" s="618"/>
      <c r="AF204" s="618"/>
      <c r="AG204" s="618"/>
      <c r="AH204" s="618"/>
      <c r="AI204" s="618"/>
      <c r="AJ204" s="618"/>
      <c r="AK204" s="618"/>
      <c r="AL204" s="618"/>
      <c r="AM204" s="3"/>
    </row>
    <row r="205" spans="1:39" ht="14.25" customHeight="1" x14ac:dyDescent="0.45">
      <c r="A205" s="618"/>
      <c r="B205" s="215"/>
      <c r="C205" s="220"/>
      <c r="D205" s="243" t="s">
        <v>338</v>
      </c>
      <c r="E205" s="350">
        <v>2018</v>
      </c>
      <c r="F205" s="350">
        <v>2019</v>
      </c>
      <c r="G205" s="350">
        <v>2020</v>
      </c>
      <c r="H205" s="350">
        <v>2021</v>
      </c>
      <c r="I205" s="349">
        <v>2022</v>
      </c>
      <c r="J205" s="349">
        <v>2023</v>
      </c>
      <c r="K205" s="349">
        <v>2024</v>
      </c>
      <c r="L205" s="349">
        <v>2025</v>
      </c>
      <c r="M205" s="349">
        <v>2026</v>
      </c>
      <c r="N205" s="349">
        <v>2027</v>
      </c>
      <c r="O205" s="349">
        <v>2028</v>
      </c>
      <c r="P205" s="349">
        <v>2029</v>
      </c>
      <c r="Q205" s="349">
        <v>2030</v>
      </c>
      <c r="R205" s="349">
        <v>2031</v>
      </c>
      <c r="S205" s="349">
        <v>2032</v>
      </c>
      <c r="T205" s="349">
        <v>2033</v>
      </c>
      <c r="U205" s="349">
        <v>2034</v>
      </c>
      <c r="V205" s="349">
        <v>2035</v>
      </c>
      <c r="W205" s="349">
        <v>2036</v>
      </c>
      <c r="X205" s="349">
        <v>2037</v>
      </c>
      <c r="Y205" s="349">
        <v>2038</v>
      </c>
      <c r="Z205" s="349">
        <v>2039</v>
      </c>
      <c r="AA205" s="349">
        <v>2040</v>
      </c>
      <c r="AB205" s="349">
        <v>2041</v>
      </c>
      <c r="AC205" s="349">
        <v>2042</v>
      </c>
      <c r="AD205" s="349">
        <v>2043</v>
      </c>
      <c r="AE205" s="349">
        <v>2044</v>
      </c>
      <c r="AF205" s="349">
        <v>2045</v>
      </c>
      <c r="AG205" s="349">
        <v>2046</v>
      </c>
      <c r="AH205" s="349">
        <v>2047</v>
      </c>
      <c r="AI205" s="349">
        <v>2048</v>
      </c>
      <c r="AJ205" s="349">
        <v>2049</v>
      </c>
      <c r="AK205" s="349">
        <v>2050</v>
      </c>
      <c r="AL205" s="618"/>
      <c r="AM205" s="3"/>
    </row>
    <row r="206" spans="1:39" ht="14.25" customHeight="1" x14ac:dyDescent="0.45">
      <c r="A206" s="618"/>
      <c r="B206" s="215"/>
      <c r="C206" s="220"/>
      <c r="D206" s="224" t="s">
        <v>339</v>
      </c>
      <c r="E206" s="369">
        <f>Electricidad!E251</f>
        <v>1.3759203419650334</v>
      </c>
      <c r="F206" s="369">
        <f>Electricidad!F251</f>
        <v>1.4878806610556581</v>
      </c>
      <c r="G206" s="369">
        <f>Electricidad!G251</f>
        <v>1.5347486942352482</v>
      </c>
      <c r="H206" s="369">
        <f>Electricidad!H251</f>
        <v>1.3412302309670938</v>
      </c>
      <c r="I206" s="618"/>
      <c r="J206" s="618"/>
      <c r="K206" s="618"/>
      <c r="L206" s="618"/>
      <c r="M206" s="618"/>
      <c r="N206" s="618"/>
      <c r="O206" s="618"/>
      <c r="P206" s="618"/>
      <c r="Q206" s="618"/>
      <c r="R206" s="618"/>
      <c r="S206" s="618"/>
      <c r="T206" s="618"/>
      <c r="U206" s="618"/>
      <c r="V206" s="618"/>
      <c r="W206" s="618"/>
      <c r="X206" s="618"/>
      <c r="Y206" s="618"/>
      <c r="Z206" s="618"/>
      <c r="AA206" s="618"/>
      <c r="AB206" s="618"/>
      <c r="AC206" s="618"/>
      <c r="AD206" s="618"/>
      <c r="AE206" s="618"/>
      <c r="AF206" s="618"/>
      <c r="AG206" s="618"/>
      <c r="AH206" s="618"/>
      <c r="AI206" s="618"/>
      <c r="AJ206" s="618"/>
      <c r="AK206" s="618"/>
      <c r="AL206" s="618"/>
      <c r="AM206" s="3"/>
    </row>
    <row r="207" spans="1:39" ht="14.25" customHeight="1" x14ac:dyDescent="0.45">
      <c r="A207" s="618"/>
      <c r="B207" s="215"/>
      <c r="C207" s="220"/>
      <c r="D207" s="228" t="s">
        <v>167</v>
      </c>
      <c r="E207" s="370">
        <f>Electricidad!E252</f>
        <v>0</v>
      </c>
      <c r="F207" s="370">
        <f>Electricidad!F252</f>
        <v>0</v>
      </c>
      <c r="G207" s="370">
        <f>Electricidad!G252</f>
        <v>0</v>
      </c>
      <c r="H207" s="370">
        <f>Electricidad!H252</f>
        <v>0</v>
      </c>
      <c r="I207" s="618"/>
      <c r="J207" s="618"/>
      <c r="K207" s="618"/>
      <c r="L207" s="618"/>
      <c r="M207" s="618"/>
      <c r="N207" s="618"/>
      <c r="O207" s="618"/>
      <c r="P207" s="618"/>
      <c r="Q207" s="618"/>
      <c r="R207" s="618"/>
      <c r="S207" s="618"/>
      <c r="T207" s="618"/>
      <c r="U207" s="618"/>
      <c r="V207" s="618"/>
      <c r="W207" s="618"/>
      <c r="X207" s="618"/>
      <c r="Y207" s="618"/>
      <c r="Z207" s="618"/>
      <c r="AA207" s="618"/>
      <c r="AB207" s="618"/>
      <c r="AC207" s="618"/>
      <c r="AD207" s="618"/>
      <c r="AE207" s="618"/>
      <c r="AF207" s="618"/>
      <c r="AG207" s="618"/>
      <c r="AH207" s="618"/>
      <c r="AI207" s="618"/>
      <c r="AJ207" s="618"/>
      <c r="AK207" s="618"/>
      <c r="AL207" s="618"/>
      <c r="AM207" s="3"/>
    </row>
    <row r="208" spans="1:39" ht="14.25" customHeight="1" x14ac:dyDescent="0.45">
      <c r="A208" s="618"/>
      <c r="B208" s="215"/>
      <c r="C208" s="220" t="s">
        <v>168</v>
      </c>
      <c r="D208" s="243" t="s">
        <v>169</v>
      </c>
      <c r="E208" s="357">
        <f>Electricidad!E253</f>
        <v>1.3759203419650334</v>
      </c>
      <c r="F208" s="357">
        <f>Electricidad!F253</f>
        <v>1.4878806610556581</v>
      </c>
      <c r="G208" s="357">
        <f>Electricidad!G253</f>
        <v>1.5347486942352482</v>
      </c>
      <c r="H208" s="357">
        <f>Electricidad!H253</f>
        <v>1.3412302309670938</v>
      </c>
      <c r="I208" s="618"/>
      <c r="J208" s="618"/>
      <c r="K208" s="618"/>
      <c r="L208" s="618"/>
      <c r="M208" s="618"/>
      <c r="N208" s="618"/>
      <c r="O208" s="618"/>
      <c r="P208" s="618"/>
      <c r="Q208" s="618"/>
      <c r="R208" s="618"/>
      <c r="S208" s="618"/>
      <c r="T208" s="618"/>
      <c r="U208" s="618"/>
      <c r="V208" s="618"/>
      <c r="W208" s="618"/>
      <c r="X208" s="618"/>
      <c r="Y208" s="618"/>
      <c r="Z208" s="618"/>
      <c r="AA208" s="618"/>
      <c r="AB208" s="618"/>
      <c r="AC208" s="618"/>
      <c r="AD208" s="618"/>
      <c r="AE208" s="618"/>
      <c r="AF208" s="618"/>
      <c r="AG208" s="618"/>
      <c r="AH208" s="618"/>
      <c r="AI208" s="618"/>
      <c r="AJ208" s="618"/>
      <c r="AK208" s="618"/>
      <c r="AL208" s="618"/>
      <c r="AM208" s="3"/>
    </row>
    <row r="209" spans="1:39" ht="14.25" customHeight="1" x14ac:dyDescent="0.45">
      <c r="A209" s="618"/>
      <c r="B209" s="215"/>
      <c r="C209" s="220" t="s">
        <v>170</v>
      </c>
      <c r="D209" s="224" t="s">
        <v>340</v>
      </c>
      <c r="E209" s="369">
        <f>Electricidad!E254</f>
        <v>0.2651535644880843</v>
      </c>
      <c r="F209" s="369">
        <f>Electricidad!F254</f>
        <v>0.28774738246617343</v>
      </c>
      <c r="G209" s="369">
        <f>Electricidad!G254</f>
        <v>0.25774336782994567</v>
      </c>
      <c r="H209" s="369">
        <f>Electricidad!H254</f>
        <v>0.21608043943318372</v>
      </c>
      <c r="I209" s="618"/>
      <c r="J209" s="618"/>
      <c r="K209" s="618"/>
      <c r="L209" s="618"/>
      <c r="M209" s="618"/>
      <c r="N209" s="618"/>
      <c r="O209" s="618"/>
      <c r="P209" s="618"/>
      <c r="Q209" s="618"/>
      <c r="R209" s="618"/>
      <c r="S209" s="618"/>
      <c r="T209" s="618"/>
      <c r="U209" s="618"/>
      <c r="V209" s="618"/>
      <c r="W209" s="618"/>
      <c r="X209" s="618"/>
      <c r="Y209" s="618"/>
      <c r="Z209" s="618"/>
      <c r="AA209" s="618"/>
      <c r="AB209" s="618"/>
      <c r="AC209" s="618"/>
      <c r="AD209" s="618"/>
      <c r="AE209" s="618"/>
      <c r="AF209" s="618"/>
      <c r="AG209" s="618"/>
      <c r="AH209" s="618"/>
      <c r="AI209" s="618"/>
      <c r="AJ209" s="618"/>
      <c r="AK209" s="618"/>
      <c r="AL209" s="618"/>
      <c r="AM209" s="3"/>
    </row>
    <row r="210" spans="1:39" ht="14.25" customHeight="1" x14ac:dyDescent="0.45">
      <c r="A210" s="618"/>
      <c r="B210" s="215"/>
      <c r="C210" s="220"/>
      <c r="D210" s="224" t="s">
        <v>341</v>
      </c>
      <c r="E210" s="369">
        <f>Electricidad!E255</f>
        <v>74.335148310429105</v>
      </c>
      <c r="F210" s="369">
        <f>Electricidad!F255</f>
        <v>88.573281059818669</v>
      </c>
      <c r="G210" s="369">
        <f>Electricidad!G255</f>
        <v>87.471357422709744</v>
      </c>
      <c r="H210" s="369">
        <f>Electricidad!H255</f>
        <v>91.94218588299249</v>
      </c>
      <c r="I210" s="618"/>
      <c r="J210" s="618"/>
      <c r="K210" s="618"/>
      <c r="L210" s="618"/>
      <c r="M210" s="618"/>
      <c r="N210" s="618"/>
      <c r="O210" s="618"/>
      <c r="P210" s="618"/>
      <c r="Q210" s="618"/>
      <c r="R210" s="618"/>
      <c r="S210" s="618"/>
      <c r="T210" s="618"/>
      <c r="U210" s="618"/>
      <c r="V210" s="618"/>
      <c r="W210" s="618"/>
      <c r="X210" s="618"/>
      <c r="Y210" s="618"/>
      <c r="Z210" s="618"/>
      <c r="AA210" s="618"/>
      <c r="AB210" s="618"/>
      <c r="AC210" s="618"/>
      <c r="AD210" s="618"/>
      <c r="AE210" s="618"/>
      <c r="AF210" s="618"/>
      <c r="AG210" s="618"/>
      <c r="AH210" s="618"/>
      <c r="AI210" s="618"/>
      <c r="AJ210" s="618"/>
      <c r="AK210" s="618"/>
      <c r="AL210" s="618"/>
      <c r="AM210" s="3"/>
    </row>
    <row r="211" spans="1:39" ht="14.25" customHeight="1" x14ac:dyDescent="0.45">
      <c r="A211" s="618"/>
      <c r="B211" s="215"/>
      <c r="C211" s="220"/>
      <c r="D211" s="228" t="s">
        <v>173</v>
      </c>
      <c r="E211" s="370">
        <f>Electricidad!E256</f>
        <v>27.737653219489321</v>
      </c>
      <c r="F211" s="370">
        <f>Electricidad!F256</f>
        <v>32.205948855043715</v>
      </c>
      <c r="G211" s="370">
        <f>Electricidad!G256</f>
        <v>29.053183047679433</v>
      </c>
      <c r="H211" s="370">
        <f>Electricidad!H256</f>
        <v>31.319432746924779</v>
      </c>
      <c r="I211" s="618"/>
      <c r="J211" s="618"/>
      <c r="K211" s="618"/>
      <c r="L211" s="618"/>
      <c r="M211" s="618"/>
      <c r="N211" s="618"/>
      <c r="O211" s="618"/>
      <c r="P211" s="618"/>
      <c r="Q211" s="618"/>
      <c r="R211" s="618"/>
      <c r="S211" s="618"/>
      <c r="T211" s="618"/>
      <c r="U211" s="618"/>
      <c r="V211" s="618"/>
      <c r="W211" s="618"/>
      <c r="X211" s="618"/>
      <c r="Y211" s="618"/>
      <c r="Z211" s="618"/>
      <c r="AA211" s="618"/>
      <c r="AB211" s="618"/>
      <c r="AC211" s="618"/>
      <c r="AD211" s="618"/>
      <c r="AE211" s="618"/>
      <c r="AF211" s="618"/>
      <c r="AG211" s="618"/>
      <c r="AH211" s="618"/>
      <c r="AI211" s="618"/>
      <c r="AJ211" s="618"/>
      <c r="AK211" s="618"/>
      <c r="AL211" s="618"/>
      <c r="AM211" s="3"/>
    </row>
    <row r="212" spans="1:39" ht="14.25" customHeight="1" x14ac:dyDescent="0.45">
      <c r="A212" s="618"/>
      <c r="B212" s="215"/>
      <c r="C212" s="220"/>
      <c r="D212" s="221" t="s">
        <v>174</v>
      </c>
      <c r="E212" s="359">
        <f>Electricidad!E257</f>
        <v>24.167506182196774</v>
      </c>
      <c r="F212" s="359">
        <f>Electricidad!F257</f>
        <v>27.418570490678494</v>
      </c>
      <c r="G212" s="359">
        <f>Electricidad!G257</f>
        <v>25.378201263177889</v>
      </c>
      <c r="H212" s="359">
        <f>Electricidad!H257</f>
        <v>26.940818240734398</v>
      </c>
      <c r="I212" s="618"/>
      <c r="J212" s="618"/>
      <c r="K212" s="618"/>
      <c r="L212" s="618"/>
      <c r="M212" s="618"/>
      <c r="N212" s="618"/>
      <c r="O212" s="618"/>
      <c r="P212" s="618"/>
      <c r="Q212" s="618"/>
      <c r="R212" s="618"/>
      <c r="S212" s="618"/>
      <c r="T212" s="618"/>
      <c r="U212" s="618"/>
      <c r="V212" s="618"/>
      <c r="W212" s="618"/>
      <c r="X212" s="618"/>
      <c r="Y212" s="618"/>
      <c r="Z212" s="618"/>
      <c r="AA212" s="618"/>
      <c r="AB212" s="618"/>
      <c r="AC212" s="618"/>
      <c r="AD212" s="618"/>
      <c r="AE212" s="618"/>
      <c r="AF212" s="618"/>
      <c r="AG212" s="618"/>
      <c r="AH212" s="618"/>
      <c r="AI212" s="618"/>
      <c r="AJ212" s="618"/>
      <c r="AK212" s="618"/>
      <c r="AL212" s="618"/>
      <c r="AM212" s="3"/>
    </row>
    <row r="213" spans="1:39" ht="14.25" customHeight="1" x14ac:dyDescent="0.45">
      <c r="A213" s="618"/>
      <c r="B213" s="215"/>
      <c r="C213" s="220"/>
      <c r="D213" s="221" t="s">
        <v>175</v>
      </c>
      <c r="E213" s="359">
        <f>Electricidad!E258</f>
        <v>3.5701470372925472</v>
      </c>
      <c r="F213" s="359">
        <f>Electricidad!F258</f>
        <v>4.7873783643652201</v>
      </c>
      <c r="G213" s="359">
        <f>Electricidad!G258</f>
        <v>3.6749817845015427</v>
      </c>
      <c r="H213" s="359">
        <f>Electricidad!H258</f>
        <v>4.378614506190381</v>
      </c>
      <c r="I213" s="618"/>
      <c r="J213" s="618"/>
      <c r="K213" s="618"/>
      <c r="L213" s="618"/>
      <c r="M213" s="618"/>
      <c r="N213" s="618"/>
      <c r="O213" s="618"/>
      <c r="P213" s="618"/>
      <c r="Q213" s="618"/>
      <c r="R213" s="618"/>
      <c r="S213" s="618"/>
      <c r="T213" s="618"/>
      <c r="U213" s="618"/>
      <c r="V213" s="618"/>
      <c r="W213" s="618"/>
      <c r="X213" s="618"/>
      <c r="Y213" s="618"/>
      <c r="Z213" s="618"/>
      <c r="AA213" s="618"/>
      <c r="AB213" s="618"/>
      <c r="AC213" s="618"/>
      <c r="AD213" s="618"/>
      <c r="AE213" s="618"/>
      <c r="AF213" s="618"/>
      <c r="AG213" s="618"/>
      <c r="AH213" s="618"/>
      <c r="AI213" s="618"/>
      <c r="AJ213" s="618"/>
      <c r="AK213" s="618"/>
      <c r="AL213" s="618"/>
      <c r="AM213" s="3"/>
    </row>
    <row r="214" spans="1:39" ht="14.25" customHeight="1" x14ac:dyDescent="0.45">
      <c r="A214" s="618"/>
      <c r="B214" s="215"/>
      <c r="C214" s="220"/>
      <c r="D214" s="228" t="s">
        <v>176</v>
      </c>
      <c r="E214" s="370">
        <f>Electricidad!E259</f>
        <v>46.597495090939773</v>
      </c>
      <c r="F214" s="370">
        <f>Electricidad!F259</f>
        <v>56.367332204774961</v>
      </c>
      <c r="G214" s="370">
        <f>Electricidad!G259</f>
        <v>58.418174375030326</v>
      </c>
      <c r="H214" s="370">
        <f>Electricidad!H259</f>
        <v>60.622753136067708</v>
      </c>
      <c r="I214" s="618"/>
      <c r="J214" s="618"/>
      <c r="K214" s="618"/>
      <c r="L214" s="618"/>
      <c r="M214" s="618"/>
      <c r="N214" s="618"/>
      <c r="O214" s="618"/>
      <c r="P214" s="618"/>
      <c r="Q214" s="618"/>
      <c r="R214" s="618"/>
      <c r="S214" s="618"/>
      <c r="T214" s="618"/>
      <c r="U214" s="618"/>
      <c r="V214" s="618"/>
      <c r="W214" s="618"/>
      <c r="X214" s="618"/>
      <c r="Y214" s="618"/>
      <c r="Z214" s="618"/>
      <c r="AA214" s="618"/>
      <c r="AB214" s="618"/>
      <c r="AC214" s="618"/>
      <c r="AD214" s="618"/>
      <c r="AE214" s="618"/>
      <c r="AF214" s="618"/>
      <c r="AG214" s="618"/>
      <c r="AH214" s="618"/>
      <c r="AI214" s="618"/>
      <c r="AJ214" s="618"/>
      <c r="AK214" s="618"/>
      <c r="AL214" s="618"/>
      <c r="AM214" s="3"/>
    </row>
    <row r="215" spans="1:39" ht="14.25" customHeight="1" x14ac:dyDescent="0.45">
      <c r="A215" s="618"/>
      <c r="B215" s="215"/>
      <c r="C215" s="220"/>
      <c r="D215" s="221" t="s">
        <v>174</v>
      </c>
      <c r="E215" s="359">
        <f>Electricidad!E260</f>
        <v>44.225900196707251</v>
      </c>
      <c r="F215" s="359">
        <f>Electricidad!F260</f>
        <v>50.553626124459505</v>
      </c>
      <c r="G215" s="359">
        <f>Electricidad!G260</f>
        <v>52.460123055364875</v>
      </c>
      <c r="H215" s="359">
        <f>Electricidad!H260</f>
        <v>53.734557172728323</v>
      </c>
      <c r="I215" s="618"/>
      <c r="J215" s="618"/>
      <c r="K215" s="618"/>
      <c r="L215" s="618"/>
      <c r="M215" s="618"/>
      <c r="N215" s="618"/>
      <c r="O215" s="618"/>
      <c r="P215" s="618"/>
      <c r="Q215" s="618"/>
      <c r="R215" s="618"/>
      <c r="S215" s="618"/>
      <c r="T215" s="618"/>
      <c r="U215" s="618"/>
      <c r="V215" s="618"/>
      <c r="W215" s="618"/>
      <c r="X215" s="618"/>
      <c r="Y215" s="618"/>
      <c r="Z215" s="618"/>
      <c r="AA215" s="618"/>
      <c r="AB215" s="618"/>
      <c r="AC215" s="618"/>
      <c r="AD215" s="618"/>
      <c r="AE215" s="618"/>
      <c r="AF215" s="618"/>
      <c r="AG215" s="618"/>
      <c r="AH215" s="618"/>
      <c r="AI215" s="618"/>
      <c r="AJ215" s="618"/>
      <c r="AK215" s="618"/>
      <c r="AL215" s="618"/>
      <c r="AM215" s="3"/>
    </row>
    <row r="216" spans="1:39" ht="14.25" customHeight="1" x14ac:dyDescent="0.45">
      <c r="A216" s="618"/>
      <c r="B216" s="215"/>
      <c r="C216" s="220"/>
      <c r="D216" s="221" t="s">
        <v>175</v>
      </c>
      <c r="E216" s="359">
        <f>Electricidad!E261</f>
        <v>2.3715948942325227</v>
      </c>
      <c r="F216" s="359">
        <f>Electricidad!F261</f>
        <v>5.8137060803154572</v>
      </c>
      <c r="G216" s="359">
        <f>Electricidad!G261</f>
        <v>5.9580513196654481</v>
      </c>
      <c r="H216" s="359">
        <f>Electricidad!H261</f>
        <v>6.8881959633393821</v>
      </c>
      <c r="I216" s="618"/>
      <c r="J216" s="618"/>
      <c r="K216" s="618"/>
      <c r="L216" s="618"/>
      <c r="M216" s="618"/>
      <c r="N216" s="618"/>
      <c r="O216" s="618"/>
      <c r="P216" s="618"/>
      <c r="Q216" s="618"/>
      <c r="R216" s="618"/>
      <c r="S216" s="618"/>
      <c r="T216" s="618"/>
      <c r="U216" s="618"/>
      <c r="V216" s="618"/>
      <c r="W216" s="618"/>
      <c r="X216" s="618"/>
      <c r="Y216" s="618"/>
      <c r="Z216" s="618"/>
      <c r="AA216" s="618"/>
      <c r="AB216" s="618"/>
      <c r="AC216" s="618"/>
      <c r="AD216" s="618"/>
      <c r="AE216" s="618"/>
      <c r="AF216" s="618"/>
      <c r="AG216" s="618"/>
      <c r="AH216" s="618"/>
      <c r="AI216" s="618"/>
      <c r="AJ216" s="618"/>
      <c r="AK216" s="618"/>
      <c r="AL216" s="618"/>
      <c r="AM216" s="3"/>
    </row>
    <row r="217" spans="1:39" ht="14.25" customHeight="1" x14ac:dyDescent="0.45">
      <c r="A217" s="618"/>
      <c r="B217" s="215"/>
      <c r="C217" s="220" t="s">
        <v>177</v>
      </c>
      <c r="D217" s="224" t="s">
        <v>342</v>
      </c>
      <c r="E217" s="369">
        <f>Electricidad!E262</f>
        <v>0.12509347947422919</v>
      </c>
      <c r="F217" s="369">
        <f>Electricidad!F262</f>
        <v>0.11919318305956898</v>
      </c>
      <c r="G217" s="369">
        <f>Electricidad!G262</f>
        <v>0.12166033701747472</v>
      </c>
      <c r="H217" s="369">
        <f>Electricidad!H262</f>
        <v>0.12030848299160839</v>
      </c>
      <c r="I217" s="618"/>
      <c r="J217" s="618"/>
      <c r="K217" s="618"/>
      <c r="L217" s="618"/>
      <c r="M217" s="618"/>
      <c r="N217" s="618"/>
      <c r="O217" s="618"/>
      <c r="P217" s="618"/>
      <c r="Q217" s="618"/>
      <c r="R217" s="618"/>
      <c r="S217" s="618"/>
      <c r="T217" s="618"/>
      <c r="U217" s="618"/>
      <c r="V217" s="618"/>
      <c r="W217" s="618"/>
      <c r="X217" s="618"/>
      <c r="Y217" s="618"/>
      <c r="Z217" s="618"/>
      <c r="AA217" s="618"/>
      <c r="AB217" s="618"/>
      <c r="AC217" s="618"/>
      <c r="AD217" s="618"/>
      <c r="AE217" s="618"/>
      <c r="AF217" s="618"/>
      <c r="AG217" s="618"/>
      <c r="AH217" s="618"/>
      <c r="AI217" s="618"/>
      <c r="AJ217" s="618"/>
      <c r="AK217" s="618"/>
      <c r="AL217" s="618"/>
      <c r="AM217" s="3"/>
    </row>
    <row r="218" spans="1:39" ht="14.25" customHeight="1" x14ac:dyDescent="0.45">
      <c r="A218" s="618"/>
      <c r="B218" s="215"/>
      <c r="C218" s="220"/>
      <c r="D218" s="224" t="s">
        <v>343</v>
      </c>
      <c r="E218" s="369">
        <f>Electricidad!E263</f>
        <v>15.031056312211534</v>
      </c>
      <c r="F218" s="369">
        <f>Electricidad!F263</f>
        <v>10.711110455199522</v>
      </c>
      <c r="G218" s="369">
        <f>Electricidad!G263</f>
        <v>8.6764265024499458</v>
      </c>
      <c r="H218" s="369">
        <f>Electricidad!H263</f>
        <v>7.5895845909128115</v>
      </c>
      <c r="I218" s="618"/>
      <c r="J218" s="618"/>
      <c r="K218" s="618"/>
      <c r="L218" s="618"/>
      <c r="M218" s="618"/>
      <c r="N218" s="618"/>
      <c r="O218" s="618"/>
      <c r="P218" s="618"/>
      <c r="Q218" s="618"/>
      <c r="R218" s="618"/>
      <c r="S218" s="618"/>
      <c r="T218" s="618"/>
      <c r="U218" s="618"/>
      <c r="V218" s="618"/>
      <c r="W218" s="618"/>
      <c r="X218" s="618"/>
      <c r="Y218" s="618"/>
      <c r="Z218" s="618"/>
      <c r="AA218" s="618"/>
      <c r="AB218" s="618"/>
      <c r="AC218" s="618"/>
      <c r="AD218" s="618"/>
      <c r="AE218" s="618"/>
      <c r="AF218" s="618"/>
      <c r="AG218" s="618"/>
      <c r="AH218" s="618"/>
      <c r="AI218" s="618"/>
      <c r="AJ218" s="618"/>
      <c r="AK218" s="618"/>
      <c r="AL218" s="618"/>
      <c r="AM218" s="3"/>
    </row>
    <row r="219" spans="1:39" ht="14.25" customHeight="1" x14ac:dyDescent="0.45">
      <c r="A219" s="618"/>
      <c r="B219" s="215"/>
      <c r="C219" s="220"/>
      <c r="D219" s="228" t="s">
        <v>180</v>
      </c>
      <c r="E219" s="370">
        <f>Electricidad!E264</f>
        <v>5.2151942896970978</v>
      </c>
      <c r="F219" s="370">
        <f>Electricidad!F264</f>
        <v>3.0732732370488023</v>
      </c>
      <c r="G219" s="370">
        <f>Electricidad!G264</f>
        <v>2.8174068776664263</v>
      </c>
      <c r="H219" s="370">
        <f>Electricidad!H264</f>
        <v>2.4175035894863339</v>
      </c>
      <c r="I219" s="618"/>
      <c r="J219" s="618"/>
      <c r="K219" s="618"/>
      <c r="L219" s="618"/>
      <c r="M219" s="618"/>
      <c r="N219" s="618"/>
      <c r="O219" s="618"/>
      <c r="P219" s="618"/>
      <c r="Q219" s="618"/>
      <c r="R219" s="618"/>
      <c r="S219" s="618"/>
      <c r="T219" s="618"/>
      <c r="U219" s="618"/>
      <c r="V219" s="618"/>
      <c r="W219" s="618"/>
      <c r="X219" s="618"/>
      <c r="Y219" s="618"/>
      <c r="Z219" s="618"/>
      <c r="AA219" s="618"/>
      <c r="AB219" s="618"/>
      <c r="AC219" s="618"/>
      <c r="AD219" s="618"/>
      <c r="AE219" s="618"/>
      <c r="AF219" s="618"/>
      <c r="AG219" s="618"/>
      <c r="AH219" s="618"/>
      <c r="AI219" s="618"/>
      <c r="AJ219" s="618"/>
      <c r="AK219" s="618"/>
      <c r="AL219" s="618"/>
      <c r="AM219" s="3"/>
    </row>
    <row r="220" spans="1:39" ht="14.25" customHeight="1" x14ac:dyDescent="0.45">
      <c r="A220" s="4"/>
      <c r="B220" s="298"/>
      <c r="C220" s="220" t="s">
        <v>181</v>
      </c>
      <c r="D220" s="243" t="s">
        <v>190</v>
      </c>
      <c r="E220" s="357">
        <f>Electricidad!E265</f>
        <v>0.79536078417679257</v>
      </c>
      <c r="F220" s="357">
        <f>Electricidad!F265</f>
        <v>8.5024525079884797E-2</v>
      </c>
      <c r="G220" s="357">
        <f>Electricidad!G265</f>
        <v>0.28855296870148778</v>
      </c>
      <c r="H220" s="357">
        <f>Electricidad!H265</f>
        <v>0.13770625764264094</v>
      </c>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3"/>
    </row>
    <row r="221" spans="1:39" ht="14.25" customHeight="1" x14ac:dyDescent="0.45">
      <c r="A221" s="618"/>
      <c r="B221" s="215"/>
      <c r="C221" s="220" t="s">
        <v>183</v>
      </c>
      <c r="D221" s="243" t="s">
        <v>195</v>
      </c>
      <c r="E221" s="357">
        <f>Electricidad!E266</f>
        <v>3.567888267110829</v>
      </c>
      <c r="F221" s="357">
        <f>Electricidad!F266</f>
        <v>2.4146508363674135</v>
      </c>
      <c r="G221" s="357">
        <f>Electricidad!G266</f>
        <v>1.9707872520283418</v>
      </c>
      <c r="H221" s="357">
        <f>Electricidad!H266</f>
        <v>1.5897608518991015</v>
      </c>
      <c r="I221" s="618"/>
      <c r="J221" s="618"/>
      <c r="K221" s="618"/>
      <c r="L221" s="618"/>
      <c r="M221" s="618"/>
      <c r="N221" s="618"/>
      <c r="O221" s="618"/>
      <c r="P221" s="618"/>
      <c r="Q221" s="618"/>
      <c r="R221" s="618"/>
      <c r="S221" s="618"/>
      <c r="T221" s="618"/>
      <c r="U221" s="618"/>
      <c r="V221" s="618"/>
      <c r="W221" s="618"/>
      <c r="X221" s="618"/>
      <c r="Y221" s="618"/>
      <c r="Z221" s="618"/>
      <c r="AA221" s="618"/>
      <c r="AB221" s="618"/>
      <c r="AC221" s="618"/>
      <c r="AD221" s="618"/>
      <c r="AE221" s="618"/>
      <c r="AF221" s="618"/>
      <c r="AG221" s="618"/>
      <c r="AH221" s="618"/>
      <c r="AI221" s="618"/>
      <c r="AJ221" s="618"/>
      <c r="AK221" s="618"/>
      <c r="AL221" s="618"/>
      <c r="AM221" s="3"/>
    </row>
    <row r="222" spans="1:39" ht="14.25" customHeight="1" x14ac:dyDescent="0.45">
      <c r="A222" s="618"/>
      <c r="B222" s="215"/>
      <c r="C222" s="220"/>
      <c r="D222" s="221" t="s">
        <v>344</v>
      </c>
      <c r="E222" s="358">
        <f>Electricidad!E267</f>
        <v>1.5830063551527422E-3</v>
      </c>
      <c r="F222" s="358">
        <f>Electricidad!F267</f>
        <v>0</v>
      </c>
      <c r="G222" s="358">
        <f>Electricidad!G267</f>
        <v>0</v>
      </c>
      <c r="H222" s="358">
        <f>Electricidad!H267</f>
        <v>0</v>
      </c>
      <c r="I222" s="618"/>
      <c r="J222" s="618"/>
      <c r="K222" s="618"/>
      <c r="L222" s="618"/>
      <c r="M222" s="618"/>
      <c r="N222" s="618"/>
      <c r="O222" s="618"/>
      <c r="P222" s="618"/>
      <c r="Q222" s="618"/>
      <c r="R222" s="618"/>
      <c r="S222" s="618"/>
      <c r="T222" s="618"/>
      <c r="U222" s="618"/>
      <c r="V222" s="618"/>
      <c r="W222" s="618"/>
      <c r="X222" s="618"/>
      <c r="Y222" s="618"/>
      <c r="Z222" s="618"/>
      <c r="AA222" s="618"/>
      <c r="AB222" s="618"/>
      <c r="AC222" s="618"/>
      <c r="AD222" s="618"/>
      <c r="AE222" s="618"/>
      <c r="AF222" s="618"/>
      <c r="AG222" s="618"/>
      <c r="AH222" s="618"/>
      <c r="AI222" s="618"/>
      <c r="AJ222" s="618"/>
      <c r="AK222" s="618"/>
      <c r="AL222" s="618"/>
      <c r="AM222" s="3"/>
    </row>
    <row r="223" spans="1:39" ht="14.25" customHeight="1" x14ac:dyDescent="0.45">
      <c r="A223" s="618"/>
      <c r="B223" s="215"/>
      <c r="C223" s="220" t="s">
        <v>186</v>
      </c>
      <c r="D223" s="221" t="s">
        <v>345</v>
      </c>
      <c r="E223" s="359">
        <f>Electricidad!E268</f>
        <v>0.85036223205432315</v>
      </c>
      <c r="F223" s="359">
        <f>Electricidad!F268</f>
        <v>0.57359787560150388</v>
      </c>
      <c r="G223" s="359">
        <f>Electricidad!G268</f>
        <v>0.55806665693659674</v>
      </c>
      <c r="H223" s="359">
        <f>Electricidad!H268</f>
        <v>0.69003647994459161</v>
      </c>
      <c r="I223" s="618"/>
      <c r="J223" s="618"/>
      <c r="K223" s="618"/>
      <c r="L223" s="618"/>
      <c r="M223" s="618"/>
      <c r="N223" s="618"/>
      <c r="O223" s="618"/>
      <c r="P223" s="618"/>
      <c r="Q223" s="618"/>
      <c r="R223" s="618"/>
      <c r="S223" s="618"/>
      <c r="T223" s="618"/>
      <c r="U223" s="618"/>
      <c r="V223" s="618"/>
      <c r="W223" s="618"/>
      <c r="X223" s="618"/>
      <c r="Y223" s="618"/>
      <c r="Z223" s="618"/>
      <c r="AA223" s="618"/>
      <c r="AB223" s="618"/>
      <c r="AC223" s="618"/>
      <c r="AD223" s="618"/>
      <c r="AE223" s="618"/>
      <c r="AF223" s="618"/>
      <c r="AG223" s="618"/>
      <c r="AH223" s="618"/>
      <c r="AI223" s="618"/>
      <c r="AJ223" s="618"/>
      <c r="AK223" s="618"/>
      <c r="AL223" s="618"/>
      <c r="AM223" s="3"/>
    </row>
    <row r="224" spans="1:39" ht="14.25" customHeight="1" x14ac:dyDescent="0.45">
      <c r="A224" s="618"/>
      <c r="B224" s="215"/>
      <c r="C224" s="220"/>
      <c r="D224" s="228" t="s">
        <v>188</v>
      </c>
      <c r="E224" s="370">
        <f>Electricidad!E269</f>
        <v>3.6690123680391764</v>
      </c>
      <c r="F224" s="370">
        <f>Electricidad!F269</f>
        <v>3.197134921735806</v>
      </c>
      <c r="G224" s="370">
        <f>Electricidad!G269</f>
        <v>2.5477829624933923</v>
      </c>
      <c r="H224" s="370">
        <f>Electricidad!H269</f>
        <v>2.1389826903226283</v>
      </c>
      <c r="I224" s="618"/>
      <c r="J224" s="618"/>
      <c r="K224" s="618"/>
      <c r="L224" s="618"/>
      <c r="M224" s="618"/>
      <c r="N224" s="618"/>
      <c r="O224" s="618"/>
      <c r="P224" s="618"/>
      <c r="Q224" s="618"/>
      <c r="R224" s="618"/>
      <c r="S224" s="618"/>
      <c r="T224" s="618"/>
      <c r="U224" s="618"/>
      <c r="V224" s="618"/>
      <c r="W224" s="618"/>
      <c r="X224" s="618"/>
      <c r="Y224" s="618"/>
      <c r="Z224" s="618"/>
      <c r="AA224" s="618"/>
      <c r="AB224" s="618"/>
      <c r="AC224" s="618"/>
      <c r="AD224" s="618"/>
      <c r="AE224" s="618"/>
      <c r="AF224" s="618"/>
      <c r="AG224" s="618"/>
      <c r="AH224" s="618"/>
      <c r="AI224" s="618"/>
      <c r="AJ224" s="618"/>
      <c r="AK224" s="618"/>
      <c r="AL224" s="618"/>
      <c r="AM224" s="3"/>
    </row>
    <row r="225" spans="1:60" ht="14.25" customHeight="1" x14ac:dyDescent="0.45">
      <c r="A225" s="618"/>
      <c r="B225" s="215"/>
      <c r="C225" s="220" t="s">
        <v>189</v>
      </c>
      <c r="D225" s="243" t="s">
        <v>190</v>
      </c>
      <c r="E225" s="357">
        <f>Electricidad!E270</f>
        <v>0.43115275566005506</v>
      </c>
      <c r="F225" s="357">
        <f>Electricidad!F270</f>
        <v>0.2463369722966349</v>
      </c>
      <c r="G225" s="357">
        <f>Electricidad!G270</f>
        <v>8.2980216623659148E-2</v>
      </c>
      <c r="H225" s="357">
        <f>Electricidad!H270</f>
        <v>5.5827521251574572E-2</v>
      </c>
      <c r="I225" s="618"/>
      <c r="J225" s="618"/>
      <c r="K225" s="618"/>
      <c r="L225" s="618"/>
      <c r="M225" s="618"/>
      <c r="N225" s="618"/>
      <c r="O225" s="618"/>
      <c r="P225" s="618"/>
      <c r="Q225" s="618"/>
      <c r="R225" s="618"/>
      <c r="S225" s="618"/>
      <c r="T225" s="618"/>
      <c r="U225" s="618"/>
      <c r="V225" s="618"/>
      <c r="W225" s="618"/>
      <c r="X225" s="618"/>
      <c r="Y225" s="618"/>
      <c r="Z225" s="618"/>
      <c r="AA225" s="618"/>
      <c r="AB225" s="618"/>
      <c r="AC225" s="618"/>
      <c r="AD225" s="618"/>
      <c r="AE225" s="618"/>
      <c r="AF225" s="618"/>
      <c r="AG225" s="618"/>
      <c r="AH225" s="618"/>
      <c r="AI225" s="618"/>
      <c r="AJ225" s="618"/>
      <c r="AK225" s="618"/>
      <c r="AL225" s="618"/>
      <c r="AM225" s="3"/>
    </row>
    <row r="226" spans="1:60" ht="14.25" customHeight="1" x14ac:dyDescent="0.45">
      <c r="A226" s="618"/>
      <c r="B226" s="215"/>
      <c r="C226" s="220" t="s">
        <v>191</v>
      </c>
      <c r="D226" s="243" t="s">
        <v>411</v>
      </c>
      <c r="E226" s="357">
        <f>Electricidad!E271</f>
        <v>3.2378596123791215</v>
      </c>
      <c r="F226" s="357">
        <f>Electricidad!F271</f>
        <v>2.950797949439171</v>
      </c>
      <c r="G226" s="357">
        <f>Electricidad!G271</f>
        <v>2.4648027458697332</v>
      </c>
      <c r="H226" s="357">
        <f>Electricidad!H271</f>
        <v>2.0831551690710537</v>
      </c>
      <c r="I226" s="618"/>
      <c r="J226" s="618"/>
      <c r="K226" s="618"/>
      <c r="L226" s="618"/>
      <c r="M226" s="618"/>
      <c r="N226" s="618"/>
      <c r="O226" s="618"/>
      <c r="P226" s="618"/>
      <c r="Q226" s="618"/>
      <c r="R226" s="618"/>
      <c r="S226" s="618"/>
      <c r="T226" s="618"/>
      <c r="U226" s="618"/>
      <c r="V226" s="618"/>
      <c r="W226" s="618"/>
      <c r="X226" s="618"/>
      <c r="Y226" s="618"/>
      <c r="Z226" s="618"/>
      <c r="AA226" s="618"/>
      <c r="AB226" s="618"/>
      <c r="AC226" s="618"/>
      <c r="AD226" s="618"/>
      <c r="AE226" s="618"/>
      <c r="AF226" s="618"/>
      <c r="AG226" s="618"/>
      <c r="AH226" s="618"/>
      <c r="AI226" s="618"/>
      <c r="AJ226" s="618"/>
      <c r="AK226" s="618"/>
      <c r="AL226" s="618"/>
      <c r="AM226" s="3"/>
      <c r="AN226" s="3"/>
      <c r="AO226" s="3"/>
      <c r="AP226" s="3"/>
      <c r="AQ226" s="3"/>
      <c r="AR226" s="3"/>
      <c r="AS226" s="3"/>
      <c r="AT226" s="3"/>
      <c r="AU226" s="3"/>
      <c r="AV226" s="3"/>
      <c r="AW226" s="3"/>
      <c r="AX226" s="3"/>
      <c r="AY226" s="3"/>
      <c r="AZ226" s="3"/>
      <c r="BA226" s="3"/>
      <c r="BB226" s="3"/>
      <c r="BC226" s="3"/>
      <c r="BD226" s="3"/>
      <c r="BE226" s="3"/>
      <c r="BF226" s="3"/>
      <c r="BG226" s="3"/>
      <c r="BH226" s="3"/>
    </row>
    <row r="227" spans="1:60" ht="14.25" customHeight="1" x14ac:dyDescent="0.45">
      <c r="A227" s="618"/>
      <c r="B227" s="215"/>
      <c r="C227" s="220"/>
      <c r="D227" s="228" t="s">
        <v>193</v>
      </c>
      <c r="E227" s="370">
        <f>Electricidad!E272</f>
        <v>6.1468496544752593</v>
      </c>
      <c r="F227" s="370">
        <f>Electricidad!F272</f>
        <v>4.4407022964149139</v>
      </c>
      <c r="G227" s="370">
        <f>Electricidad!G272</f>
        <v>3.3112366622901273</v>
      </c>
      <c r="H227" s="370">
        <f>Electricidad!H272</f>
        <v>3.0330983111038492</v>
      </c>
      <c r="I227" s="618"/>
      <c r="J227" s="618"/>
      <c r="K227" s="618"/>
      <c r="L227" s="618"/>
      <c r="M227" s="618"/>
      <c r="N227" s="618"/>
      <c r="O227" s="618"/>
      <c r="P227" s="618"/>
      <c r="Q227" s="618"/>
      <c r="R227" s="618"/>
      <c r="S227" s="618"/>
      <c r="T227" s="618"/>
      <c r="U227" s="618"/>
      <c r="V227" s="618"/>
      <c r="W227" s="618"/>
      <c r="X227" s="618"/>
      <c r="Y227" s="618"/>
      <c r="Z227" s="618"/>
      <c r="AA227" s="618"/>
      <c r="AB227" s="618"/>
      <c r="AC227" s="618"/>
      <c r="AD227" s="618"/>
      <c r="AE227" s="618"/>
      <c r="AF227" s="618"/>
      <c r="AG227" s="618"/>
      <c r="AH227" s="618"/>
      <c r="AI227" s="618"/>
      <c r="AJ227" s="618"/>
      <c r="AK227" s="618"/>
      <c r="AL227" s="618"/>
      <c r="AM227" s="3"/>
      <c r="AN227" s="3"/>
      <c r="AO227" s="3"/>
      <c r="AP227" s="3"/>
      <c r="AQ227" s="3"/>
      <c r="AR227" s="3"/>
      <c r="AS227" s="3"/>
      <c r="AT227" s="3"/>
      <c r="AU227" s="3"/>
      <c r="AV227" s="3"/>
      <c r="AW227" s="3"/>
      <c r="AX227" s="3"/>
      <c r="AY227" s="3"/>
      <c r="AZ227" s="3"/>
      <c r="BA227" s="3"/>
      <c r="BB227" s="3"/>
      <c r="BC227" s="3"/>
      <c r="BD227" s="3"/>
      <c r="BE227" s="3"/>
      <c r="BF227" s="3"/>
      <c r="BG227" s="3"/>
      <c r="BH227" s="3"/>
    </row>
    <row r="228" spans="1:60" ht="14.25" customHeight="1" x14ac:dyDescent="0.45">
      <c r="A228" s="618"/>
      <c r="B228" s="215"/>
      <c r="C228" s="220" t="s">
        <v>194</v>
      </c>
      <c r="D228" s="243" t="s">
        <v>195</v>
      </c>
      <c r="E228" s="357">
        <f>Electricidad!E273</f>
        <v>6.1468496544752593</v>
      </c>
      <c r="F228" s="357">
        <f>Electricidad!F273</f>
        <v>4.4407022964149139</v>
      </c>
      <c r="G228" s="357">
        <f>Electricidad!G273</f>
        <v>3.3112366622901273</v>
      </c>
      <c r="H228" s="357">
        <f>Electricidad!H273</f>
        <v>3.0330983111038492</v>
      </c>
      <c r="I228" s="618"/>
      <c r="J228" s="618"/>
      <c r="K228" s="618"/>
      <c r="L228" s="618"/>
      <c r="M228" s="618"/>
      <c r="N228" s="618"/>
      <c r="O228" s="618"/>
      <c r="P228" s="618"/>
      <c r="Q228" s="618"/>
      <c r="R228" s="618"/>
      <c r="S228" s="618"/>
      <c r="T228" s="618"/>
      <c r="U228" s="618"/>
      <c r="V228" s="618"/>
      <c r="W228" s="618"/>
      <c r="X228" s="618"/>
      <c r="Y228" s="618"/>
      <c r="Z228" s="618"/>
      <c r="AA228" s="618"/>
      <c r="AB228" s="618"/>
      <c r="AC228" s="618"/>
      <c r="AD228" s="618"/>
      <c r="AE228" s="618"/>
      <c r="AF228" s="618"/>
      <c r="AG228" s="618"/>
      <c r="AH228" s="618"/>
      <c r="AI228" s="618"/>
      <c r="AJ228" s="618"/>
      <c r="AK228" s="618"/>
      <c r="AL228" s="618"/>
      <c r="AM228" s="3"/>
      <c r="AN228" s="3"/>
      <c r="AO228" s="3"/>
      <c r="AP228" s="3"/>
      <c r="AQ228" s="3"/>
      <c r="AR228" s="3"/>
      <c r="AS228" s="3"/>
      <c r="AT228" s="3"/>
      <c r="AU228" s="3"/>
      <c r="AV228" s="3"/>
      <c r="AW228" s="3"/>
      <c r="AX228" s="3"/>
      <c r="AY228" s="3"/>
      <c r="AZ228" s="3"/>
      <c r="BA228" s="3"/>
      <c r="BB228" s="3"/>
      <c r="BC228" s="3"/>
      <c r="BD228" s="3"/>
      <c r="BE228" s="3"/>
      <c r="BF228" s="3"/>
      <c r="BG228" s="3"/>
      <c r="BH228" s="3"/>
    </row>
    <row r="229" spans="1:60" ht="14.25" customHeight="1" x14ac:dyDescent="0.45">
      <c r="A229" s="618"/>
      <c r="B229" s="215"/>
      <c r="C229" s="220"/>
      <c r="D229" s="224" t="s">
        <v>347</v>
      </c>
      <c r="E229" s="369">
        <f>Electricidad!E274</f>
        <v>0.16380518034114624</v>
      </c>
      <c r="F229" s="369">
        <f>Electricidad!F274</f>
        <v>0.1480830490411065</v>
      </c>
      <c r="G229" s="369">
        <f>Electricidad!G274</f>
        <v>0.15826465809811166</v>
      </c>
      <c r="H229" s="369">
        <f>Electricidad!H274</f>
        <v>0.15157285850587507</v>
      </c>
      <c r="I229" s="618"/>
      <c r="J229" s="618"/>
      <c r="K229" s="618"/>
      <c r="L229" s="618"/>
      <c r="M229" s="618"/>
      <c r="N229" s="618"/>
      <c r="O229" s="618"/>
      <c r="P229" s="618"/>
      <c r="Q229" s="618"/>
      <c r="R229" s="618"/>
      <c r="S229" s="618"/>
      <c r="T229" s="618"/>
      <c r="U229" s="618"/>
      <c r="V229" s="618"/>
      <c r="W229" s="618"/>
      <c r="X229" s="618"/>
      <c r="Y229" s="618"/>
      <c r="Z229" s="618"/>
      <c r="AA229" s="618"/>
      <c r="AB229" s="618"/>
      <c r="AC229" s="618"/>
      <c r="AD229" s="618"/>
      <c r="AE229" s="618"/>
      <c r="AF229" s="618"/>
      <c r="AG229" s="618"/>
      <c r="AH229" s="618"/>
      <c r="AI229" s="618"/>
      <c r="AJ229" s="618"/>
      <c r="AK229" s="618"/>
      <c r="AL229" s="618"/>
      <c r="AM229" s="3"/>
      <c r="AN229" s="3"/>
      <c r="AO229" s="3"/>
      <c r="AP229" s="3"/>
      <c r="AQ229" s="3"/>
      <c r="AR229" s="3"/>
      <c r="AS229" s="3"/>
      <c r="AT229" s="3"/>
      <c r="AU229" s="3"/>
      <c r="AV229" s="3"/>
      <c r="AW229" s="3"/>
      <c r="AX229" s="3"/>
      <c r="AY229" s="3"/>
      <c r="AZ229" s="3"/>
      <c r="BA229" s="3"/>
      <c r="BB229" s="3"/>
      <c r="BC229" s="3"/>
      <c r="BD229" s="3"/>
      <c r="BE229" s="3"/>
      <c r="BF229" s="3"/>
      <c r="BG229" s="3"/>
      <c r="BH229" s="3"/>
    </row>
    <row r="230" spans="1:60" ht="14.25" customHeight="1" x14ac:dyDescent="0.45">
      <c r="A230" s="618"/>
      <c r="B230" s="215"/>
      <c r="C230" s="220"/>
      <c r="D230" s="228" t="s">
        <v>197</v>
      </c>
      <c r="E230" s="370">
        <f>Electricidad!E275</f>
        <v>0</v>
      </c>
      <c r="F230" s="370">
        <f>Electricidad!F275</f>
        <v>0</v>
      </c>
      <c r="G230" s="370">
        <f>Electricidad!G275</f>
        <v>0</v>
      </c>
      <c r="H230" s="370">
        <f>Electricidad!H275</f>
        <v>0</v>
      </c>
      <c r="I230" s="618"/>
      <c r="J230" s="618"/>
      <c r="K230" s="618"/>
      <c r="L230" s="618"/>
      <c r="M230" s="618"/>
      <c r="N230" s="618"/>
      <c r="O230" s="618"/>
      <c r="P230" s="618"/>
      <c r="Q230" s="618"/>
      <c r="R230" s="618"/>
      <c r="S230" s="618"/>
      <c r="T230" s="618"/>
      <c r="U230" s="618"/>
      <c r="V230" s="618"/>
      <c r="W230" s="618"/>
      <c r="X230" s="618"/>
      <c r="Y230" s="618"/>
      <c r="Z230" s="618"/>
      <c r="AA230" s="618"/>
      <c r="AB230" s="618"/>
      <c r="AC230" s="618"/>
      <c r="AD230" s="618"/>
      <c r="AE230" s="618"/>
      <c r="AF230" s="618"/>
      <c r="AG230" s="618"/>
      <c r="AH230" s="618"/>
      <c r="AI230" s="618"/>
      <c r="AJ230" s="618"/>
      <c r="AK230" s="618"/>
      <c r="AL230" s="618"/>
      <c r="AM230" s="3"/>
      <c r="AN230" s="3"/>
      <c r="AO230" s="3"/>
      <c r="AP230" s="3"/>
      <c r="AQ230" s="3"/>
      <c r="AR230" s="3"/>
      <c r="AS230" s="3"/>
      <c r="AT230" s="3"/>
      <c r="AU230" s="3"/>
      <c r="AV230" s="3"/>
      <c r="AW230" s="3"/>
      <c r="AX230" s="3"/>
      <c r="AY230" s="3"/>
      <c r="AZ230" s="3"/>
      <c r="BA230" s="3"/>
      <c r="BB230" s="3"/>
      <c r="BC230" s="3"/>
      <c r="BD230" s="3"/>
      <c r="BE230" s="3"/>
      <c r="BF230" s="3"/>
      <c r="BG230" s="3"/>
      <c r="BH230" s="3"/>
    </row>
    <row r="231" spans="1:60" ht="14.25" customHeight="1" x14ac:dyDescent="0.45">
      <c r="A231" s="618"/>
      <c r="B231" s="215"/>
      <c r="C231" s="220" t="s">
        <v>198</v>
      </c>
      <c r="D231" s="243" t="s">
        <v>196</v>
      </c>
      <c r="E231" s="357">
        <f>Electricidad!E276</f>
        <v>0.16380518034114624</v>
      </c>
      <c r="F231" s="357">
        <f>Electricidad!F276</f>
        <v>0.1480830490411065</v>
      </c>
      <c r="G231" s="357">
        <f>Electricidad!G276</f>
        <v>0.15826465809811166</v>
      </c>
      <c r="H231" s="357">
        <f>Electricidad!H276</f>
        <v>0.15157285850587507</v>
      </c>
      <c r="I231" s="618"/>
      <c r="J231" s="618"/>
      <c r="K231" s="618"/>
      <c r="L231" s="618"/>
      <c r="M231" s="618"/>
      <c r="N231" s="618"/>
      <c r="O231" s="618"/>
      <c r="P231" s="618"/>
      <c r="Q231" s="618"/>
      <c r="R231" s="618"/>
      <c r="S231" s="618"/>
      <c r="T231" s="618"/>
      <c r="U231" s="618"/>
      <c r="V231" s="618"/>
      <c r="W231" s="618"/>
      <c r="X231" s="618"/>
      <c r="Y231" s="618"/>
      <c r="Z231" s="618"/>
      <c r="AA231" s="618"/>
      <c r="AB231" s="618"/>
      <c r="AC231" s="618"/>
      <c r="AD231" s="618"/>
      <c r="AE231" s="618"/>
      <c r="AF231" s="618"/>
      <c r="AG231" s="618"/>
      <c r="AH231" s="618"/>
      <c r="AI231" s="618"/>
      <c r="AJ231" s="618"/>
      <c r="AK231" s="618"/>
      <c r="AL231" s="618"/>
      <c r="AM231" s="3"/>
      <c r="AN231" s="3"/>
      <c r="AO231" s="3"/>
      <c r="AP231" s="3"/>
      <c r="AQ231" s="3"/>
      <c r="AR231" s="3"/>
      <c r="AS231" s="3"/>
      <c r="AT231" s="3"/>
      <c r="AU231" s="3"/>
      <c r="AV231" s="3"/>
      <c r="AW231" s="3"/>
      <c r="AX231" s="3"/>
      <c r="AY231" s="3"/>
      <c r="AZ231" s="3"/>
      <c r="BA231" s="3"/>
      <c r="BB231" s="3"/>
      <c r="BC231" s="3"/>
      <c r="BD231" s="3"/>
      <c r="BE231" s="3"/>
      <c r="BF231" s="3"/>
      <c r="BG231" s="3"/>
      <c r="BH231" s="3"/>
    </row>
    <row r="232" spans="1:60" ht="14.25" customHeight="1" x14ac:dyDescent="0.45">
      <c r="A232" s="618"/>
      <c r="B232" s="215"/>
      <c r="C232" s="220"/>
      <c r="D232" s="234" t="s">
        <v>348</v>
      </c>
      <c r="E232" s="371">
        <f>Electricidad!E277</f>
        <v>0</v>
      </c>
      <c r="F232" s="371">
        <f>Electricidad!F277</f>
        <v>0</v>
      </c>
      <c r="G232" s="371">
        <f>Electricidad!G277</f>
        <v>0</v>
      </c>
      <c r="H232" s="371">
        <f>Electricidad!H277</f>
        <v>0</v>
      </c>
      <c r="I232" s="618"/>
      <c r="J232" s="618"/>
      <c r="K232" s="618"/>
      <c r="L232" s="618"/>
      <c r="M232" s="618"/>
      <c r="N232" s="618"/>
      <c r="O232" s="618"/>
      <c r="P232" s="618"/>
      <c r="Q232" s="618"/>
      <c r="R232" s="618"/>
      <c r="S232" s="618"/>
      <c r="T232" s="618"/>
      <c r="U232" s="618"/>
      <c r="V232" s="618"/>
      <c r="W232" s="618"/>
      <c r="X232" s="618"/>
      <c r="Y232" s="618"/>
      <c r="Z232" s="618"/>
      <c r="AA232" s="618"/>
      <c r="AB232" s="618"/>
      <c r="AC232" s="618"/>
      <c r="AD232" s="618"/>
      <c r="AE232" s="618"/>
      <c r="AF232" s="618"/>
      <c r="AG232" s="618"/>
      <c r="AH232" s="618"/>
      <c r="AI232" s="618"/>
      <c r="AJ232" s="618"/>
      <c r="AK232" s="618"/>
      <c r="AL232" s="618"/>
      <c r="AM232" s="3"/>
      <c r="AN232" s="3"/>
      <c r="AO232" s="3"/>
      <c r="AP232" s="3"/>
      <c r="AQ232" s="3"/>
      <c r="AR232" s="3"/>
      <c r="AS232" s="3"/>
      <c r="AT232" s="3"/>
      <c r="AU232" s="3"/>
      <c r="AV232" s="3"/>
      <c r="AW232" s="3"/>
      <c r="AX232" s="3"/>
      <c r="AY232" s="3"/>
      <c r="AZ232" s="3"/>
      <c r="BA232" s="3"/>
      <c r="BB232" s="3"/>
      <c r="BC232" s="3"/>
      <c r="BD232" s="3"/>
      <c r="BE232" s="3"/>
      <c r="BF232" s="3"/>
      <c r="BG232" s="3"/>
      <c r="BH232" s="3"/>
    </row>
    <row r="233" spans="1:60" ht="14.25" customHeight="1" x14ac:dyDescent="0.45">
      <c r="A233" s="618"/>
      <c r="B233" s="215"/>
      <c r="C233" s="220" t="s">
        <v>200</v>
      </c>
      <c r="D233" s="304" t="s">
        <v>201</v>
      </c>
      <c r="E233" s="372">
        <f>Electricidad!E278</f>
        <v>0.37542434809133779</v>
      </c>
      <c r="F233" s="372">
        <f>Electricidad!F278</f>
        <v>0.54153208313088808</v>
      </c>
      <c r="G233" s="372">
        <f>Electricidad!G278</f>
        <v>0.51336176549260171</v>
      </c>
      <c r="H233" s="372">
        <f>Electricidad!H278</f>
        <v>0.54099696438214062</v>
      </c>
      <c r="I233" s="618"/>
      <c r="J233" s="618"/>
      <c r="K233" s="618"/>
      <c r="L233" s="618"/>
      <c r="M233" s="618"/>
      <c r="N233" s="618"/>
      <c r="O233" s="618"/>
      <c r="P233" s="618"/>
      <c r="Q233" s="618"/>
      <c r="R233" s="618"/>
      <c r="S233" s="618"/>
      <c r="T233" s="618"/>
      <c r="U233" s="618"/>
      <c r="V233" s="618"/>
      <c r="W233" s="618"/>
      <c r="X233" s="618"/>
      <c r="Y233" s="618"/>
      <c r="Z233" s="618"/>
      <c r="AA233" s="618"/>
      <c r="AB233" s="618"/>
      <c r="AC233" s="618"/>
      <c r="AD233" s="618"/>
      <c r="AE233" s="618"/>
      <c r="AF233" s="618"/>
      <c r="AG233" s="618"/>
      <c r="AH233" s="618"/>
      <c r="AI233" s="618"/>
      <c r="AJ233" s="618"/>
      <c r="AK233" s="618"/>
      <c r="AL233" s="618"/>
      <c r="AM233" s="3"/>
      <c r="AN233" s="3"/>
      <c r="AO233" s="3"/>
      <c r="AP233" s="3"/>
      <c r="AQ233" s="3"/>
      <c r="AR233" s="3"/>
      <c r="AS233" s="3"/>
      <c r="AT233" s="3"/>
      <c r="AU233" s="3"/>
      <c r="AV233" s="3"/>
      <c r="AW233" s="3"/>
      <c r="AX233" s="3"/>
      <c r="AY233" s="3"/>
      <c r="AZ233" s="3"/>
      <c r="BA233" s="3"/>
      <c r="BB233" s="3"/>
      <c r="BC233" s="3"/>
      <c r="BD233" s="3"/>
      <c r="BE233" s="3"/>
      <c r="BF233" s="3"/>
      <c r="BG233" s="3"/>
      <c r="BH233" s="3"/>
    </row>
    <row r="234" spans="1:60" ht="14.25" customHeight="1" x14ac:dyDescent="0.45">
      <c r="A234" s="365"/>
      <c r="B234" s="373"/>
      <c r="C234" s="365" t="s">
        <v>202</v>
      </c>
      <c r="D234" s="366" t="s">
        <v>203</v>
      </c>
      <c r="E234" s="374">
        <f>Electricidad!E279</f>
        <v>3.1947226892012086</v>
      </c>
      <c r="F234" s="374">
        <f>Electricidad!F279</f>
        <v>4.2458389090226296</v>
      </c>
      <c r="G234" s="374">
        <f>Electricidad!G279</f>
        <v>3.1616234654116511</v>
      </c>
      <c r="H234" s="374">
        <f>Electricidad!H279</f>
        <v>3.8376175418082394</v>
      </c>
      <c r="I234" s="375">
        <f>8760*0.95*0.0036*I143*Electricidad!I378</f>
        <v>3.1906547999999999</v>
      </c>
      <c r="J234" s="375">
        <f>8760*0.95*0.0036*J143*Electricidad!J378</f>
        <v>6.26746464</v>
      </c>
      <c r="K234" s="375">
        <f>8760*0.95*0.0036*K143*Electricidad!K378</f>
        <v>7.3909346400000002</v>
      </c>
      <c r="L234" s="375">
        <f>8760*0.95*0.0036*L143*Electricidad!L378</f>
        <v>7.3909346400000002</v>
      </c>
      <c r="M234" s="375">
        <f>8760*0.95*0.0036*M143*Electricidad!M378</f>
        <v>7.3909346400000002</v>
      </c>
      <c r="N234" s="375">
        <f>8760*0.95*0.0036*N143*Electricidad!N378</f>
        <v>7.3909346400000002</v>
      </c>
      <c r="O234" s="375">
        <f>8760*0.95*0.0036*O143*Electricidad!O378</f>
        <v>7.3909346400000002</v>
      </c>
      <c r="P234" s="375">
        <f>8760*0.95*0.0036*P143*Electricidad!P378</f>
        <v>7.3909346400000002</v>
      </c>
      <c r="Q234" s="375">
        <f>8760*0.95*0.0036*Q143*Electricidad!Q378</f>
        <v>7.3909346400000002</v>
      </c>
      <c r="R234" s="375">
        <f>8760*0.95*0.0036*R143*Electricidad!R378</f>
        <v>7.3909346400000002</v>
      </c>
      <c r="S234" s="375">
        <f t="shared" ref="S234:BE234" si="158">R234</f>
        <v>7.3909346400000002</v>
      </c>
      <c r="T234" s="375">
        <f t="shared" si="158"/>
        <v>7.3909346400000002</v>
      </c>
      <c r="U234" s="375">
        <f t="shared" si="158"/>
        <v>7.3909346400000002</v>
      </c>
      <c r="V234" s="375">
        <f t="shared" si="158"/>
        <v>7.3909346400000002</v>
      </c>
      <c r="W234" s="375">
        <f t="shared" si="158"/>
        <v>7.3909346400000002</v>
      </c>
      <c r="X234" s="375">
        <f t="shared" si="158"/>
        <v>7.3909346400000002</v>
      </c>
      <c r="Y234" s="375">
        <f t="shared" si="158"/>
        <v>7.3909346400000002</v>
      </c>
      <c r="Z234" s="375">
        <f t="shared" si="158"/>
        <v>7.3909346400000002</v>
      </c>
      <c r="AA234" s="375">
        <f t="shared" si="158"/>
        <v>7.3909346400000002</v>
      </c>
      <c r="AB234" s="375">
        <f t="shared" si="158"/>
        <v>7.3909346400000002</v>
      </c>
      <c r="AC234" s="375">
        <f t="shared" si="158"/>
        <v>7.3909346400000002</v>
      </c>
      <c r="AD234" s="375">
        <f t="shared" si="158"/>
        <v>7.3909346400000002</v>
      </c>
      <c r="AE234" s="375">
        <f t="shared" si="158"/>
        <v>7.3909346400000002</v>
      </c>
      <c r="AF234" s="375">
        <f t="shared" si="158"/>
        <v>7.3909346400000002</v>
      </c>
      <c r="AG234" s="375">
        <f t="shared" si="158"/>
        <v>7.3909346400000002</v>
      </c>
      <c r="AH234" s="375">
        <f t="shared" si="158"/>
        <v>7.3909346400000002</v>
      </c>
      <c r="AI234" s="375">
        <f t="shared" si="158"/>
        <v>7.3909346400000002</v>
      </c>
      <c r="AJ234" s="375">
        <f t="shared" si="158"/>
        <v>7.3909346400000002</v>
      </c>
      <c r="AK234" s="375">
        <f t="shared" si="158"/>
        <v>7.3909346400000002</v>
      </c>
      <c r="AL234" s="375">
        <f t="shared" si="158"/>
        <v>7.3909346400000002</v>
      </c>
      <c r="AM234" s="375">
        <f t="shared" si="158"/>
        <v>7.3909346400000002</v>
      </c>
      <c r="AN234" s="375">
        <f t="shared" si="158"/>
        <v>7.3909346400000002</v>
      </c>
      <c r="AO234" s="375">
        <f t="shared" si="158"/>
        <v>7.3909346400000002</v>
      </c>
      <c r="AP234" s="375">
        <f t="shared" si="158"/>
        <v>7.3909346400000002</v>
      </c>
      <c r="AQ234" s="375">
        <f t="shared" si="158"/>
        <v>7.3909346400000002</v>
      </c>
      <c r="AR234" s="375">
        <f t="shared" si="158"/>
        <v>7.3909346400000002</v>
      </c>
      <c r="AS234" s="375">
        <f t="shared" si="158"/>
        <v>7.3909346400000002</v>
      </c>
      <c r="AT234" s="375">
        <f t="shared" si="158"/>
        <v>7.3909346400000002</v>
      </c>
      <c r="AU234" s="375">
        <f t="shared" si="158"/>
        <v>7.3909346400000002</v>
      </c>
      <c r="AV234" s="375">
        <f t="shared" si="158"/>
        <v>7.3909346400000002</v>
      </c>
      <c r="AW234" s="375">
        <f t="shared" si="158"/>
        <v>7.3909346400000002</v>
      </c>
      <c r="AX234" s="375">
        <f t="shared" si="158"/>
        <v>7.3909346400000002</v>
      </c>
      <c r="AY234" s="375">
        <f t="shared" si="158"/>
        <v>7.3909346400000002</v>
      </c>
      <c r="AZ234" s="375">
        <f t="shared" si="158"/>
        <v>7.3909346400000002</v>
      </c>
      <c r="BA234" s="375">
        <f t="shared" si="158"/>
        <v>7.3909346400000002</v>
      </c>
      <c r="BB234" s="375">
        <f t="shared" si="158"/>
        <v>7.3909346400000002</v>
      </c>
      <c r="BC234" s="375">
        <f t="shared" si="158"/>
        <v>7.3909346400000002</v>
      </c>
      <c r="BD234" s="375">
        <f t="shared" si="158"/>
        <v>7.3909346400000002</v>
      </c>
      <c r="BE234" s="375">
        <f t="shared" si="158"/>
        <v>7.3909346400000002</v>
      </c>
      <c r="BF234" s="376"/>
      <c r="BG234" s="376"/>
      <c r="BH234" s="376"/>
    </row>
    <row r="235" spans="1:60" ht="14.25" customHeight="1" x14ac:dyDescent="0.45">
      <c r="A235" s="365"/>
      <c r="B235" s="373"/>
      <c r="C235" s="365" t="s">
        <v>204</v>
      </c>
      <c r="D235" s="366" t="s">
        <v>205</v>
      </c>
      <c r="E235" s="374">
        <f>Electricidad!E280</f>
        <v>0</v>
      </c>
      <c r="F235" s="374">
        <f>Electricidad!F280</f>
        <v>0</v>
      </c>
      <c r="G235" s="374">
        <f>Electricidad!G280</f>
        <v>0</v>
      </c>
      <c r="H235" s="374">
        <f>Electricidad!H280</f>
        <v>0</v>
      </c>
      <c r="I235" s="375">
        <f>8760*0.95*0.0036*I144*Electricidad!I379</f>
        <v>0</v>
      </c>
      <c r="J235" s="375">
        <f>8760*0.95*0.0036*J144*Electricidad!J379</f>
        <v>0</v>
      </c>
      <c r="K235" s="375">
        <f>8760*0.95*0.0036*K144*Electricidad!K379</f>
        <v>0</v>
      </c>
      <c r="L235" s="375">
        <f>8760*0.95*0.0036*L144*Electricidad!L379</f>
        <v>0</v>
      </c>
      <c r="M235" s="375">
        <f>8760*0.95*0.0036*M144*Electricidad!M379</f>
        <v>0</v>
      </c>
      <c r="N235" s="375">
        <f>8760*0.95*0.0036*N144*Electricidad!N379</f>
        <v>0</v>
      </c>
      <c r="O235" s="375">
        <f>8760*0.95*0.0036*O144*Electricidad!O379</f>
        <v>0</v>
      </c>
      <c r="P235" s="375">
        <f>8760*0.95*0.0036*P144*Electricidad!P379</f>
        <v>0</v>
      </c>
      <c r="Q235" s="375">
        <f>8760*0.95*0.0036*Q144*Electricidad!Q379</f>
        <v>0</v>
      </c>
      <c r="R235" s="375">
        <f>8760*0.95*0.0036*R144*Electricidad!R379</f>
        <v>0</v>
      </c>
      <c r="S235" s="375">
        <f>8760*0.95*0.0036*S144*Electricidad!S379</f>
        <v>0</v>
      </c>
      <c r="T235" s="375">
        <f t="shared" ref="T235:BE235" si="159">S235</f>
        <v>0</v>
      </c>
      <c r="U235" s="375">
        <f t="shared" si="159"/>
        <v>0</v>
      </c>
      <c r="V235" s="375">
        <f t="shared" si="159"/>
        <v>0</v>
      </c>
      <c r="W235" s="375">
        <f t="shared" si="159"/>
        <v>0</v>
      </c>
      <c r="X235" s="375">
        <f t="shared" si="159"/>
        <v>0</v>
      </c>
      <c r="Y235" s="375">
        <f t="shared" si="159"/>
        <v>0</v>
      </c>
      <c r="Z235" s="375">
        <f t="shared" si="159"/>
        <v>0</v>
      </c>
      <c r="AA235" s="375">
        <f t="shared" si="159"/>
        <v>0</v>
      </c>
      <c r="AB235" s="375">
        <f t="shared" si="159"/>
        <v>0</v>
      </c>
      <c r="AC235" s="375">
        <f t="shared" si="159"/>
        <v>0</v>
      </c>
      <c r="AD235" s="375">
        <f t="shared" si="159"/>
        <v>0</v>
      </c>
      <c r="AE235" s="375">
        <f t="shared" si="159"/>
        <v>0</v>
      </c>
      <c r="AF235" s="375">
        <f t="shared" si="159"/>
        <v>0</v>
      </c>
      <c r="AG235" s="375">
        <f t="shared" si="159"/>
        <v>0</v>
      </c>
      <c r="AH235" s="375">
        <f t="shared" si="159"/>
        <v>0</v>
      </c>
      <c r="AI235" s="375">
        <f t="shared" si="159"/>
        <v>0</v>
      </c>
      <c r="AJ235" s="375">
        <f t="shared" si="159"/>
        <v>0</v>
      </c>
      <c r="AK235" s="375">
        <f t="shared" si="159"/>
        <v>0</v>
      </c>
      <c r="AL235" s="375">
        <f t="shared" si="159"/>
        <v>0</v>
      </c>
      <c r="AM235" s="375">
        <f t="shared" si="159"/>
        <v>0</v>
      </c>
      <c r="AN235" s="375">
        <f t="shared" si="159"/>
        <v>0</v>
      </c>
      <c r="AO235" s="375">
        <f t="shared" si="159"/>
        <v>0</v>
      </c>
      <c r="AP235" s="375">
        <f t="shared" si="159"/>
        <v>0</v>
      </c>
      <c r="AQ235" s="375">
        <f t="shared" si="159"/>
        <v>0</v>
      </c>
      <c r="AR235" s="375">
        <f t="shared" si="159"/>
        <v>0</v>
      </c>
      <c r="AS235" s="375">
        <f t="shared" si="159"/>
        <v>0</v>
      </c>
      <c r="AT235" s="375">
        <f t="shared" si="159"/>
        <v>0</v>
      </c>
      <c r="AU235" s="375">
        <f t="shared" si="159"/>
        <v>0</v>
      </c>
      <c r="AV235" s="375">
        <f t="shared" si="159"/>
        <v>0</v>
      </c>
      <c r="AW235" s="375">
        <f t="shared" si="159"/>
        <v>0</v>
      </c>
      <c r="AX235" s="375">
        <f t="shared" si="159"/>
        <v>0</v>
      </c>
      <c r="AY235" s="375">
        <f t="shared" si="159"/>
        <v>0</v>
      </c>
      <c r="AZ235" s="375">
        <f t="shared" si="159"/>
        <v>0</v>
      </c>
      <c r="BA235" s="375">
        <f t="shared" si="159"/>
        <v>0</v>
      </c>
      <c r="BB235" s="375">
        <f t="shared" si="159"/>
        <v>0</v>
      </c>
      <c r="BC235" s="375">
        <f t="shared" si="159"/>
        <v>0</v>
      </c>
      <c r="BD235" s="375">
        <f t="shared" si="159"/>
        <v>0</v>
      </c>
      <c r="BE235" s="375">
        <f t="shared" si="159"/>
        <v>0</v>
      </c>
      <c r="BF235" s="376"/>
      <c r="BG235" s="376"/>
      <c r="BH235" s="376"/>
    </row>
    <row r="236" spans="1:60" ht="14.25" customHeight="1" x14ac:dyDescent="0.45">
      <c r="A236" s="618"/>
      <c r="B236" s="215"/>
      <c r="C236" s="220" t="s">
        <v>206</v>
      </c>
      <c r="D236" s="304" t="s">
        <v>207</v>
      </c>
      <c r="E236" s="372">
        <f>Electricidad!E281</f>
        <v>0</v>
      </c>
      <c r="F236" s="372">
        <f>Electricidad!F281</f>
        <v>0</v>
      </c>
      <c r="G236" s="372">
        <f>Electricidad!G281</f>
        <v>0</v>
      </c>
      <c r="H236" s="372">
        <f>Electricidad!H281</f>
        <v>0</v>
      </c>
      <c r="I236" s="375">
        <f>8760*0.95*0.0036*I145*Electricidad!I380</f>
        <v>0</v>
      </c>
      <c r="J236" s="375">
        <f>8760*0.95*0.0036*J145*Electricidad!J380</f>
        <v>0</v>
      </c>
      <c r="K236" s="375">
        <f>8760*0.95*0.0036*K145*Electricidad!K380</f>
        <v>0</v>
      </c>
      <c r="L236" s="375">
        <f>8760*0.95*0.0036*L145*Electricidad!L380</f>
        <v>0</v>
      </c>
      <c r="M236" s="375">
        <f>8760*0.95*0.0036*M145*Electricidad!M380</f>
        <v>0</v>
      </c>
      <c r="N236" s="375">
        <f>8760*0.95*0.0036*N145*Electricidad!N380</f>
        <v>0</v>
      </c>
      <c r="O236" s="375">
        <f>8760*0.95*0.0036*O145*Electricidad!O380</f>
        <v>0</v>
      </c>
      <c r="P236" s="375">
        <f>8760*0.95*0.0036*P145*Electricidad!P380</f>
        <v>0</v>
      </c>
      <c r="Q236" s="375">
        <f>8760*0.95*0.0036*Q145*Electricidad!Q380</f>
        <v>0</v>
      </c>
      <c r="R236" s="375">
        <f>8760*0.95*0.0036*R145*Electricidad!R380</f>
        <v>0</v>
      </c>
      <c r="S236" s="375">
        <f>8760*0.95*0.0036*S145*Electricidad!S380</f>
        <v>0</v>
      </c>
      <c r="T236" s="375">
        <f>8760*0.95*0.0036*T145*Electricidad!T380</f>
        <v>0</v>
      </c>
      <c r="U236" s="375">
        <f>8760*0.95*0.0036*U145*Electricidad!U380</f>
        <v>0</v>
      </c>
      <c r="V236" s="375">
        <f>8760*0.95*0.0036*V145*Electricidad!V380</f>
        <v>0</v>
      </c>
      <c r="W236" s="375">
        <f>8760*0.95*0.0036*W145*Electricidad!W380</f>
        <v>0</v>
      </c>
      <c r="X236" s="375">
        <f>8760*0.95*0.0036*X145*Electricidad!X380</f>
        <v>0</v>
      </c>
      <c r="Y236" s="375">
        <f>8760*0.95*0.0036*Y145*Electricidad!Y380</f>
        <v>0</v>
      </c>
      <c r="Z236" s="375">
        <f>8760*0.95*0.0036*Z145*Electricidad!Z380</f>
        <v>0</v>
      </c>
      <c r="AA236" s="375">
        <f>8760*0.95*0.0036*AA145*Electricidad!AA380</f>
        <v>0</v>
      </c>
      <c r="AB236" s="375">
        <f>8760*0.95*0.0036*AB145*Electricidad!AB380</f>
        <v>0</v>
      </c>
      <c r="AC236" s="375">
        <f>8760*0.95*0.0036*AC145*Electricidad!AC380</f>
        <v>0</v>
      </c>
      <c r="AD236" s="375">
        <f>8760*0.95*0.0036*AD145*Electricidad!AD380</f>
        <v>0</v>
      </c>
      <c r="AE236" s="375">
        <f>8760*0.95*0.0036*AE145*Electricidad!AE380</f>
        <v>0</v>
      </c>
      <c r="AF236" s="375">
        <f>8760*0.95*0.0036*AF145*Electricidad!AF380</f>
        <v>0</v>
      </c>
      <c r="AG236" s="375">
        <f>8760*0.95*0.0036*AG145*Electricidad!AG380</f>
        <v>0</v>
      </c>
      <c r="AH236" s="375">
        <f>8760*0.95*0.0036*AH145*Electricidad!AH380</f>
        <v>0</v>
      </c>
      <c r="AI236" s="375">
        <f>8760*0.95*0.0036*AI145*Electricidad!AI380</f>
        <v>0</v>
      </c>
      <c r="AJ236" s="375">
        <f>8760*0.95*0.0036*AJ145*Electricidad!AJ380</f>
        <v>0</v>
      </c>
      <c r="AK236" s="375">
        <f>8760*0.95*0.0036*AK145*Electricidad!AK380</f>
        <v>0</v>
      </c>
      <c r="AL236" s="375">
        <f>8760*0.95*0.0036*AL145*Electricidad!AL380</f>
        <v>0</v>
      </c>
      <c r="AM236" s="375">
        <f>8760*0.95*0.0036*AM145*Electricidad!AM380</f>
        <v>0</v>
      </c>
      <c r="AN236" s="375">
        <f>8760*0.95*0.0036*AN145*Electricidad!AN380</f>
        <v>0</v>
      </c>
      <c r="AO236" s="375">
        <f>8760*0.95*0.0036*AO145*Electricidad!AO380</f>
        <v>0</v>
      </c>
      <c r="AP236" s="375">
        <f>8760*0.95*0.0036*AP145*Electricidad!AP380</f>
        <v>0</v>
      </c>
      <c r="AQ236" s="375">
        <f>8760*0.95*0.0036*AQ145*Electricidad!AQ380</f>
        <v>0</v>
      </c>
      <c r="AR236" s="375">
        <f>8760*0.95*0.0036*AR145*Electricidad!AR380</f>
        <v>0</v>
      </c>
      <c r="AS236" s="375">
        <f>8760*0.95*0.0036*AS145*Electricidad!AS380</f>
        <v>0</v>
      </c>
      <c r="AT236" s="375">
        <f>8760*0.95*0.0036*AT145*Electricidad!AT380</f>
        <v>0</v>
      </c>
      <c r="AU236" s="375">
        <f>8760*0.95*0.0036*AU145*Electricidad!AU380</f>
        <v>0</v>
      </c>
      <c r="AV236" s="375">
        <f>8760*0.95*0.0036*AV145*Electricidad!AV380</f>
        <v>0</v>
      </c>
      <c r="AW236" s="375">
        <f>8760*0.95*0.0036*AW145*Electricidad!AW380</f>
        <v>0</v>
      </c>
      <c r="AX236" s="375">
        <f>8760*0.95*0.0036*AX145*Electricidad!AX380</f>
        <v>0</v>
      </c>
      <c r="AY236" s="375">
        <f>8760*0.95*0.0036*AY145*Electricidad!AY380</f>
        <v>0</v>
      </c>
      <c r="AZ236" s="375">
        <f>8760*0.95*0.0036*AZ145*Electricidad!AZ380</f>
        <v>0</v>
      </c>
      <c r="BA236" s="375">
        <f>8760*0.95*0.0036*BA145*Electricidad!BA380</f>
        <v>0</v>
      </c>
      <c r="BB236" s="375">
        <f>8760*0.95*0.0036*BB145*Electricidad!BB380</f>
        <v>0</v>
      </c>
      <c r="BC236" s="375">
        <f>8760*0.95*0.0036*BC145*Electricidad!BC380</f>
        <v>0</v>
      </c>
      <c r="BD236" s="375">
        <f>8760*0.95*0.0036*BD145*Electricidad!BD380</f>
        <v>0</v>
      </c>
      <c r="BE236" s="375">
        <f>8760*0.95*0.0036*BE145*Electricidad!BE380</f>
        <v>0</v>
      </c>
      <c r="BF236" s="3"/>
      <c r="BG236" s="3"/>
      <c r="BH236" s="3"/>
    </row>
    <row r="237" spans="1:60" ht="14.25" customHeight="1" x14ac:dyDescent="0.45">
      <c r="A237" s="618"/>
      <c r="B237" s="215"/>
      <c r="C237" s="220" t="s">
        <v>208</v>
      </c>
      <c r="D237" s="304" t="s">
        <v>209</v>
      </c>
      <c r="E237" s="372">
        <f>Electricidad!E282</f>
        <v>6.524720466933652</v>
      </c>
      <c r="F237" s="372">
        <f>Electricidad!F282</f>
        <v>7.2397564350668668</v>
      </c>
      <c r="G237" s="372">
        <f>Electricidad!G282</f>
        <v>6.6742268083107694</v>
      </c>
      <c r="H237" s="372">
        <f>Electricidad!H282</f>
        <v>7.1979511673869325</v>
      </c>
      <c r="I237" s="618"/>
      <c r="J237" s="618"/>
      <c r="K237" s="618"/>
      <c r="L237" s="618"/>
      <c r="M237" s="618"/>
      <c r="N237" s="618"/>
      <c r="O237" s="618"/>
      <c r="P237" s="618"/>
      <c r="Q237" s="618"/>
      <c r="R237" s="618"/>
      <c r="S237" s="618"/>
      <c r="T237" s="618"/>
      <c r="U237" s="618"/>
      <c r="V237" s="618"/>
      <c r="W237" s="618"/>
      <c r="X237" s="618"/>
      <c r="Y237" s="618"/>
      <c r="Z237" s="618"/>
      <c r="AA237" s="618"/>
      <c r="AB237" s="618"/>
      <c r="AC237" s="618"/>
      <c r="AD237" s="618"/>
      <c r="AE237" s="618"/>
      <c r="AF237" s="618"/>
      <c r="AG237" s="618"/>
      <c r="AH237" s="618"/>
      <c r="AI237" s="618"/>
      <c r="AJ237" s="618"/>
      <c r="AK237" s="618"/>
      <c r="AL237" s="618"/>
      <c r="AM237" s="618"/>
      <c r="AN237" s="618"/>
      <c r="AO237" s="618"/>
      <c r="AP237" s="618"/>
      <c r="AQ237" s="618"/>
      <c r="AR237" s="618"/>
      <c r="AS237" s="618"/>
      <c r="AT237" s="618"/>
      <c r="AU237" s="618"/>
      <c r="AV237" s="618"/>
      <c r="AW237" s="618"/>
      <c r="AX237" s="618"/>
      <c r="AY237" s="618"/>
      <c r="AZ237" s="618"/>
      <c r="BA237" s="618"/>
      <c r="BB237" s="618"/>
      <c r="BC237" s="618"/>
      <c r="BD237" s="618"/>
      <c r="BE237" s="618"/>
      <c r="BF237" s="3"/>
      <c r="BG237" s="3"/>
      <c r="BH237" s="3"/>
    </row>
    <row r="238" spans="1:60" ht="14.25" customHeight="1" x14ac:dyDescent="0.45">
      <c r="A238" s="618"/>
      <c r="B238" s="215"/>
      <c r="C238" s="220" t="s">
        <v>210</v>
      </c>
      <c r="D238" s="304" t="s">
        <v>211</v>
      </c>
      <c r="E238" s="372">
        <f>Electricidad!E283</f>
        <v>17.642785715263123</v>
      </c>
      <c r="F238" s="372">
        <f>Electricidad!F283</f>
        <v>20.178814055611628</v>
      </c>
      <c r="G238" s="372">
        <f>Electricidad!G283</f>
        <v>18.703974454867119</v>
      </c>
      <c r="H238" s="372">
        <f>Electricidad!H283</f>
        <v>19.742867073347465</v>
      </c>
      <c r="I238" s="618"/>
      <c r="J238" s="618"/>
      <c r="K238" s="618"/>
      <c r="L238" s="618"/>
      <c r="M238" s="618"/>
      <c r="N238" s="618"/>
      <c r="O238" s="618"/>
      <c r="P238" s="618"/>
      <c r="Q238" s="618"/>
      <c r="R238" s="618"/>
      <c r="S238" s="618"/>
      <c r="T238" s="618"/>
      <c r="U238" s="618"/>
      <c r="V238" s="618"/>
      <c r="W238" s="618"/>
      <c r="X238" s="618"/>
      <c r="Y238" s="618"/>
      <c r="Z238" s="618"/>
      <c r="AA238" s="618"/>
      <c r="AB238" s="618"/>
      <c r="AC238" s="618"/>
      <c r="AD238" s="618"/>
      <c r="AE238" s="618"/>
      <c r="AF238" s="618"/>
      <c r="AG238" s="618"/>
      <c r="AH238" s="618"/>
      <c r="AI238" s="618"/>
      <c r="AJ238" s="618"/>
      <c r="AK238" s="618"/>
      <c r="AL238" s="618"/>
      <c r="AM238" s="618"/>
      <c r="AN238" s="618"/>
      <c r="AO238" s="618"/>
      <c r="AP238" s="618"/>
      <c r="AQ238" s="618"/>
      <c r="AR238" s="618"/>
      <c r="AS238" s="618"/>
      <c r="AT238" s="618"/>
      <c r="AU238" s="618"/>
      <c r="AV238" s="618"/>
      <c r="AW238" s="618"/>
      <c r="AX238" s="618"/>
      <c r="AY238" s="618"/>
      <c r="AZ238" s="618"/>
      <c r="BA238" s="618"/>
      <c r="BB238" s="618"/>
      <c r="BC238" s="618"/>
      <c r="BD238" s="618"/>
      <c r="BE238" s="618"/>
      <c r="BF238" s="3"/>
      <c r="BG238" s="3"/>
      <c r="BH238" s="3"/>
    </row>
    <row r="239" spans="1:60" ht="14.25" customHeight="1" x14ac:dyDescent="0.45">
      <c r="A239" s="618"/>
      <c r="B239" s="215"/>
      <c r="C239" s="220"/>
      <c r="D239" s="234" t="s">
        <v>349</v>
      </c>
      <c r="E239" s="377">
        <f>Electricidad!E284</f>
        <v>0</v>
      </c>
      <c r="F239" s="377">
        <f>Electricidad!F284</f>
        <v>0</v>
      </c>
      <c r="G239" s="377">
        <f>Electricidad!G284</f>
        <v>0</v>
      </c>
      <c r="H239" s="377">
        <f>Electricidad!H284</f>
        <v>0</v>
      </c>
      <c r="I239" s="618"/>
      <c r="J239" s="618"/>
      <c r="K239" s="618"/>
      <c r="L239" s="618"/>
      <c r="M239" s="618"/>
      <c r="N239" s="618"/>
      <c r="O239" s="618"/>
      <c r="P239" s="618"/>
      <c r="Q239" s="618"/>
      <c r="R239" s="618"/>
      <c r="S239" s="618"/>
      <c r="T239" s="618"/>
      <c r="U239" s="618"/>
      <c r="V239" s="618"/>
      <c r="W239" s="618"/>
      <c r="X239" s="618"/>
      <c r="Y239" s="618"/>
      <c r="Z239" s="618"/>
      <c r="AA239" s="618"/>
      <c r="AB239" s="618"/>
      <c r="AC239" s="618"/>
      <c r="AD239" s="618"/>
      <c r="AE239" s="618"/>
      <c r="AF239" s="618"/>
      <c r="AG239" s="618"/>
      <c r="AH239" s="618"/>
      <c r="AI239" s="618"/>
      <c r="AJ239" s="618"/>
      <c r="AK239" s="618"/>
      <c r="AL239" s="618"/>
      <c r="AM239" s="618"/>
      <c r="AN239" s="618"/>
      <c r="AO239" s="618"/>
      <c r="AP239" s="618"/>
      <c r="AQ239" s="618"/>
      <c r="AR239" s="618"/>
      <c r="AS239" s="618"/>
      <c r="AT239" s="618"/>
      <c r="AU239" s="618"/>
      <c r="AV239" s="618"/>
      <c r="AW239" s="618"/>
      <c r="AX239" s="618"/>
      <c r="AY239" s="618"/>
      <c r="AZ239" s="618"/>
      <c r="BA239" s="618"/>
      <c r="BB239" s="618"/>
      <c r="BC239" s="618"/>
      <c r="BD239" s="618"/>
      <c r="BE239" s="618"/>
      <c r="BF239" s="618"/>
      <c r="BG239" s="618"/>
      <c r="BH239" s="618"/>
    </row>
    <row r="240" spans="1:60" ht="14.25" customHeight="1" x14ac:dyDescent="0.45">
      <c r="A240" s="618"/>
      <c r="B240" s="215"/>
      <c r="C240" s="220" t="s">
        <v>213</v>
      </c>
      <c r="D240" s="304" t="s">
        <v>201</v>
      </c>
      <c r="E240" s="372">
        <f>Electricidad!E285</f>
        <v>0.9713178408484342</v>
      </c>
      <c r="F240" s="372">
        <f>Electricidad!F285</f>
        <v>0.97648875999740659</v>
      </c>
      <c r="G240" s="372">
        <f>Electricidad!G285</f>
        <v>1.0890751083914971</v>
      </c>
      <c r="H240" s="372">
        <f>Electricidad!H285</f>
        <v>1.3443982771533969</v>
      </c>
      <c r="I240" s="618"/>
      <c r="J240" s="618"/>
      <c r="K240" s="618"/>
      <c r="L240" s="618"/>
      <c r="M240" s="618"/>
      <c r="N240" s="618"/>
      <c r="O240" s="618"/>
      <c r="P240" s="618"/>
      <c r="Q240" s="618"/>
      <c r="R240" s="618"/>
      <c r="S240" s="618"/>
      <c r="T240" s="618"/>
      <c r="U240" s="618"/>
      <c r="V240" s="618"/>
      <c r="W240" s="618"/>
      <c r="X240" s="618"/>
      <c r="Y240" s="618"/>
      <c r="Z240" s="618"/>
      <c r="AA240" s="618"/>
      <c r="AB240" s="618"/>
      <c r="AC240" s="618"/>
      <c r="AD240" s="618"/>
      <c r="AE240" s="618"/>
      <c r="AF240" s="618"/>
      <c r="AG240" s="618"/>
      <c r="AH240" s="618"/>
      <c r="AI240" s="618"/>
      <c r="AJ240" s="618"/>
      <c r="AK240" s="618"/>
      <c r="AL240" s="618"/>
      <c r="AM240" s="618"/>
      <c r="AN240" s="618"/>
      <c r="AO240" s="618"/>
      <c r="AP240" s="618"/>
      <c r="AQ240" s="618"/>
      <c r="AR240" s="618"/>
      <c r="AS240" s="618"/>
      <c r="AT240" s="618"/>
      <c r="AU240" s="618"/>
      <c r="AV240" s="618"/>
      <c r="AW240" s="618"/>
      <c r="AX240" s="618"/>
      <c r="AY240" s="618"/>
      <c r="AZ240" s="618"/>
      <c r="BA240" s="618"/>
      <c r="BB240" s="618"/>
      <c r="BC240" s="618"/>
      <c r="BD240" s="618"/>
      <c r="BE240" s="618"/>
      <c r="BF240" s="618"/>
      <c r="BG240" s="618"/>
      <c r="BH240" s="618"/>
    </row>
    <row r="241" spans="1:60" ht="14.25" customHeight="1" x14ac:dyDescent="0.45">
      <c r="A241" s="365"/>
      <c r="B241" s="373"/>
      <c r="C241" s="365" t="s">
        <v>214</v>
      </c>
      <c r="D241" s="378" t="s">
        <v>203</v>
      </c>
      <c r="E241" s="379">
        <f>Electricidad!E286</f>
        <v>1.400277053384088</v>
      </c>
      <c r="F241" s="379">
        <f>Electricidad!F286</f>
        <v>4.837217320318052</v>
      </c>
      <c r="G241" s="379">
        <f>Electricidad!G286</f>
        <v>4.8689762112739512</v>
      </c>
      <c r="H241" s="379">
        <f>Electricidad!H286</f>
        <v>5.543797686185985</v>
      </c>
      <c r="I241" s="375">
        <f>8760*0.95*0.0036*I150*Electricidad!I385</f>
        <v>5.5438941160512005</v>
      </c>
      <c r="J241" s="375">
        <f>8760*0.95*0.0036*J150*Electricidad!J385</f>
        <v>5.5438941160512005</v>
      </c>
      <c r="K241" s="375">
        <f>8760*0.95*0.0036*K150*Electricidad!K385</f>
        <v>6.7911705100511996</v>
      </c>
      <c r="L241" s="375">
        <f>8760*0.95*0.0036*L150*Electricidad!L385</f>
        <v>6.7911705100511996</v>
      </c>
      <c r="M241" s="375">
        <f>8760*0.95*0.0036*M150*Electricidad!M385</f>
        <v>6.7911705100511996</v>
      </c>
      <c r="N241" s="375">
        <f>8760*0.95*0.0036*N150*Electricidad!N385</f>
        <v>6.7911705100511996</v>
      </c>
      <c r="O241" s="375">
        <f>8760*0.95*0.0036*O150*Electricidad!O385</f>
        <v>10.0174587825312</v>
      </c>
      <c r="P241" s="375">
        <f>8760*0.95*0.0036*P150*Electricidad!P385</f>
        <v>10.0174587825312</v>
      </c>
      <c r="Q241" s="375">
        <f>8760*0.95*0.0036*Q150*Electricidad!Q385</f>
        <v>10.0174587825312</v>
      </c>
      <c r="R241" s="375">
        <f>8760*0.95*0.0036*R150*Electricidad!R385</f>
        <v>10.0174587825312</v>
      </c>
      <c r="S241" s="375">
        <f t="shared" ref="S241:BE241" si="160">R241</f>
        <v>10.0174587825312</v>
      </c>
      <c r="T241" s="375">
        <f t="shared" si="160"/>
        <v>10.0174587825312</v>
      </c>
      <c r="U241" s="375">
        <f t="shared" si="160"/>
        <v>10.0174587825312</v>
      </c>
      <c r="V241" s="375">
        <f t="shared" si="160"/>
        <v>10.0174587825312</v>
      </c>
      <c r="W241" s="375">
        <f t="shared" si="160"/>
        <v>10.0174587825312</v>
      </c>
      <c r="X241" s="375">
        <f t="shared" si="160"/>
        <v>10.0174587825312</v>
      </c>
      <c r="Y241" s="375">
        <f t="shared" si="160"/>
        <v>10.0174587825312</v>
      </c>
      <c r="Z241" s="375">
        <f t="shared" si="160"/>
        <v>10.0174587825312</v>
      </c>
      <c r="AA241" s="375">
        <f t="shared" si="160"/>
        <v>10.0174587825312</v>
      </c>
      <c r="AB241" s="375">
        <f t="shared" si="160"/>
        <v>10.0174587825312</v>
      </c>
      <c r="AC241" s="375">
        <f t="shared" si="160"/>
        <v>10.0174587825312</v>
      </c>
      <c r="AD241" s="375">
        <f t="shared" si="160"/>
        <v>10.0174587825312</v>
      </c>
      <c r="AE241" s="375">
        <f t="shared" si="160"/>
        <v>10.0174587825312</v>
      </c>
      <c r="AF241" s="375">
        <f t="shared" si="160"/>
        <v>10.0174587825312</v>
      </c>
      <c r="AG241" s="375">
        <f t="shared" si="160"/>
        <v>10.0174587825312</v>
      </c>
      <c r="AH241" s="375">
        <f t="shared" si="160"/>
        <v>10.0174587825312</v>
      </c>
      <c r="AI241" s="375">
        <f t="shared" si="160"/>
        <v>10.0174587825312</v>
      </c>
      <c r="AJ241" s="375">
        <f t="shared" si="160"/>
        <v>10.0174587825312</v>
      </c>
      <c r="AK241" s="375">
        <f t="shared" si="160"/>
        <v>10.0174587825312</v>
      </c>
      <c r="AL241" s="375">
        <f t="shared" si="160"/>
        <v>10.0174587825312</v>
      </c>
      <c r="AM241" s="375">
        <f t="shared" si="160"/>
        <v>10.0174587825312</v>
      </c>
      <c r="AN241" s="375">
        <f t="shared" si="160"/>
        <v>10.0174587825312</v>
      </c>
      <c r="AO241" s="375">
        <f t="shared" si="160"/>
        <v>10.0174587825312</v>
      </c>
      <c r="AP241" s="375">
        <f t="shared" si="160"/>
        <v>10.0174587825312</v>
      </c>
      <c r="AQ241" s="375">
        <f t="shared" si="160"/>
        <v>10.0174587825312</v>
      </c>
      <c r="AR241" s="375">
        <f t="shared" si="160"/>
        <v>10.0174587825312</v>
      </c>
      <c r="AS241" s="375">
        <f t="shared" si="160"/>
        <v>10.0174587825312</v>
      </c>
      <c r="AT241" s="375">
        <f t="shared" si="160"/>
        <v>10.0174587825312</v>
      </c>
      <c r="AU241" s="375">
        <f t="shared" si="160"/>
        <v>10.0174587825312</v>
      </c>
      <c r="AV241" s="375">
        <f t="shared" si="160"/>
        <v>10.0174587825312</v>
      </c>
      <c r="AW241" s="375">
        <f t="shared" si="160"/>
        <v>10.0174587825312</v>
      </c>
      <c r="AX241" s="375">
        <f t="shared" si="160"/>
        <v>10.0174587825312</v>
      </c>
      <c r="AY241" s="375">
        <f t="shared" si="160"/>
        <v>10.0174587825312</v>
      </c>
      <c r="AZ241" s="375">
        <f t="shared" si="160"/>
        <v>10.0174587825312</v>
      </c>
      <c r="BA241" s="375">
        <f t="shared" si="160"/>
        <v>10.0174587825312</v>
      </c>
      <c r="BB241" s="375">
        <f t="shared" si="160"/>
        <v>10.0174587825312</v>
      </c>
      <c r="BC241" s="375">
        <f t="shared" si="160"/>
        <v>10.0174587825312</v>
      </c>
      <c r="BD241" s="375">
        <f t="shared" si="160"/>
        <v>10.0174587825312</v>
      </c>
      <c r="BE241" s="375">
        <f t="shared" si="160"/>
        <v>10.0174587825312</v>
      </c>
      <c r="BF241" s="365"/>
      <c r="BG241" s="365"/>
      <c r="BH241" s="365"/>
    </row>
    <row r="242" spans="1:60" ht="14.25" customHeight="1" x14ac:dyDescent="0.45">
      <c r="A242" s="365"/>
      <c r="B242" s="373"/>
      <c r="C242" s="365" t="s">
        <v>215</v>
      </c>
      <c r="D242" s="378" t="s">
        <v>205</v>
      </c>
      <c r="E242" s="379">
        <f>Electricidad!E287</f>
        <v>0</v>
      </c>
      <c r="F242" s="379">
        <f>Electricidad!F287</f>
        <v>0</v>
      </c>
      <c r="G242" s="379">
        <f>Electricidad!G287</f>
        <v>0</v>
      </c>
      <c r="H242" s="379">
        <f>Electricidad!H287</f>
        <v>0</v>
      </c>
      <c r="I242" s="375">
        <f>8760*0.95*0.0036*I151*Electricidad!I386</f>
        <v>0</v>
      </c>
      <c r="J242" s="375">
        <f>8760*0.95*0.0036*J151*Electricidad!J386</f>
        <v>0</v>
      </c>
      <c r="K242" s="375">
        <f>8760*0.95*0.0036*K151*Electricidad!K386</f>
        <v>0</v>
      </c>
      <c r="L242" s="375">
        <f>8760*0.95*0.0036*L151*Electricidad!L386</f>
        <v>0</v>
      </c>
      <c r="M242" s="375">
        <f>8760*0.95*0.0036*M151*Electricidad!M386</f>
        <v>0</v>
      </c>
      <c r="N242" s="375">
        <f>8760*0.95*0.0036*N151*Electricidad!N386</f>
        <v>0</v>
      </c>
      <c r="O242" s="375">
        <f>8760*0.95*0.0036*O151*Electricidad!O386</f>
        <v>0</v>
      </c>
      <c r="P242" s="375">
        <f>8760*0.95*0.0036*P151*Electricidad!P386</f>
        <v>0</v>
      </c>
      <c r="Q242" s="375">
        <f>8760*0.95*0.0036*Q151*Electricidad!Q386</f>
        <v>0</v>
      </c>
      <c r="R242" s="375">
        <f>8760*0.95*0.0036*R151*Electricidad!R386</f>
        <v>0</v>
      </c>
      <c r="S242" s="375">
        <f t="shared" ref="S242:BE242" si="161">R242</f>
        <v>0</v>
      </c>
      <c r="T242" s="375">
        <f t="shared" si="161"/>
        <v>0</v>
      </c>
      <c r="U242" s="375">
        <f t="shared" si="161"/>
        <v>0</v>
      </c>
      <c r="V242" s="375">
        <f t="shared" si="161"/>
        <v>0</v>
      </c>
      <c r="W242" s="375">
        <f t="shared" si="161"/>
        <v>0</v>
      </c>
      <c r="X242" s="375">
        <f t="shared" si="161"/>
        <v>0</v>
      </c>
      <c r="Y242" s="375">
        <f t="shared" si="161"/>
        <v>0</v>
      </c>
      <c r="Z242" s="375">
        <f t="shared" si="161"/>
        <v>0</v>
      </c>
      <c r="AA242" s="375">
        <f t="shared" si="161"/>
        <v>0</v>
      </c>
      <c r="AB242" s="375">
        <f t="shared" si="161"/>
        <v>0</v>
      </c>
      <c r="AC242" s="375">
        <f t="shared" si="161"/>
        <v>0</v>
      </c>
      <c r="AD242" s="375">
        <f t="shared" si="161"/>
        <v>0</v>
      </c>
      <c r="AE242" s="375">
        <f t="shared" si="161"/>
        <v>0</v>
      </c>
      <c r="AF242" s="375">
        <f t="shared" si="161"/>
        <v>0</v>
      </c>
      <c r="AG242" s="375">
        <f t="shared" si="161"/>
        <v>0</v>
      </c>
      <c r="AH242" s="375">
        <f t="shared" si="161"/>
        <v>0</v>
      </c>
      <c r="AI242" s="375">
        <f t="shared" si="161"/>
        <v>0</v>
      </c>
      <c r="AJ242" s="375">
        <f t="shared" si="161"/>
        <v>0</v>
      </c>
      <c r="AK242" s="375">
        <f t="shared" si="161"/>
        <v>0</v>
      </c>
      <c r="AL242" s="375">
        <f t="shared" si="161"/>
        <v>0</v>
      </c>
      <c r="AM242" s="375">
        <f t="shared" si="161"/>
        <v>0</v>
      </c>
      <c r="AN242" s="375">
        <f t="shared" si="161"/>
        <v>0</v>
      </c>
      <c r="AO242" s="375">
        <f t="shared" si="161"/>
        <v>0</v>
      </c>
      <c r="AP242" s="375">
        <f t="shared" si="161"/>
        <v>0</v>
      </c>
      <c r="AQ242" s="375">
        <f t="shared" si="161"/>
        <v>0</v>
      </c>
      <c r="AR242" s="375">
        <f t="shared" si="161"/>
        <v>0</v>
      </c>
      <c r="AS242" s="375">
        <f t="shared" si="161"/>
        <v>0</v>
      </c>
      <c r="AT242" s="375">
        <f t="shared" si="161"/>
        <v>0</v>
      </c>
      <c r="AU242" s="375">
        <f t="shared" si="161"/>
        <v>0</v>
      </c>
      <c r="AV242" s="375">
        <f t="shared" si="161"/>
        <v>0</v>
      </c>
      <c r="AW242" s="375">
        <f t="shared" si="161"/>
        <v>0</v>
      </c>
      <c r="AX242" s="375">
        <f t="shared" si="161"/>
        <v>0</v>
      </c>
      <c r="AY242" s="375">
        <f t="shared" si="161"/>
        <v>0</v>
      </c>
      <c r="AZ242" s="375">
        <f t="shared" si="161"/>
        <v>0</v>
      </c>
      <c r="BA242" s="375">
        <f t="shared" si="161"/>
        <v>0</v>
      </c>
      <c r="BB242" s="375">
        <f t="shared" si="161"/>
        <v>0</v>
      </c>
      <c r="BC242" s="375">
        <f t="shared" si="161"/>
        <v>0</v>
      </c>
      <c r="BD242" s="375">
        <f t="shared" si="161"/>
        <v>0</v>
      </c>
      <c r="BE242" s="375">
        <f t="shared" si="161"/>
        <v>0</v>
      </c>
      <c r="BF242" s="365"/>
      <c r="BG242" s="365"/>
      <c r="BH242" s="365"/>
    </row>
    <row r="243" spans="1:60" ht="14.25" customHeight="1" x14ac:dyDescent="0.45">
      <c r="A243" s="618"/>
      <c r="B243" s="215"/>
      <c r="C243" s="220" t="s">
        <v>216</v>
      </c>
      <c r="D243" s="304" t="s">
        <v>207</v>
      </c>
      <c r="E243" s="372">
        <f>Electricidad!E288</f>
        <v>9.7867334823474437</v>
      </c>
      <c r="F243" s="372">
        <f>Electricidad!F288</f>
        <v>11.980628286001632</v>
      </c>
      <c r="G243" s="372">
        <f>Electricidad!G288</f>
        <v>10.299665497592036</v>
      </c>
      <c r="H243" s="372">
        <f>Electricidad!H288</f>
        <v>11.104534031082485</v>
      </c>
      <c r="I243" s="618"/>
      <c r="J243" s="618"/>
      <c r="K243" s="618"/>
      <c r="L243" s="618"/>
      <c r="M243" s="618"/>
      <c r="N243" s="618"/>
      <c r="O243" s="618"/>
      <c r="P243" s="618"/>
      <c r="Q243" s="618"/>
      <c r="R243" s="618"/>
      <c r="S243" s="618"/>
      <c r="T243" s="618"/>
      <c r="U243" s="618"/>
      <c r="V243" s="618"/>
      <c r="W243" s="618"/>
      <c r="X243" s="618"/>
      <c r="Y243" s="618"/>
      <c r="Z243" s="618"/>
      <c r="AA243" s="618"/>
      <c r="AB243" s="618"/>
      <c r="AC243" s="618"/>
      <c r="AD243" s="618"/>
      <c r="AE243" s="618"/>
      <c r="AF243" s="618"/>
      <c r="AG243" s="618"/>
      <c r="AH243" s="618"/>
      <c r="AI243" s="618"/>
      <c r="AJ243" s="618"/>
      <c r="AK243" s="618"/>
      <c r="AL243" s="618"/>
      <c r="AM243" s="618"/>
      <c r="AN243" s="618"/>
      <c r="AO243" s="618"/>
      <c r="AP243" s="618"/>
      <c r="AQ243" s="618"/>
      <c r="AR243" s="618"/>
      <c r="AS243" s="618"/>
      <c r="AT243" s="618"/>
      <c r="AU243" s="618"/>
      <c r="AV243" s="618"/>
      <c r="AW243" s="618"/>
      <c r="AX243" s="618"/>
      <c r="AY243" s="618"/>
      <c r="AZ243" s="618"/>
      <c r="BA243" s="618"/>
      <c r="BB243" s="618"/>
      <c r="BC243" s="618"/>
      <c r="BD243" s="618"/>
      <c r="BE243" s="618"/>
      <c r="BF243" s="618"/>
      <c r="BG243" s="618"/>
      <c r="BH243" s="618"/>
    </row>
    <row r="244" spans="1:60" ht="14.25" customHeight="1" x14ac:dyDescent="0.45">
      <c r="A244" s="618"/>
      <c r="B244" s="215"/>
      <c r="C244" s="220" t="s">
        <v>217</v>
      </c>
      <c r="D244" s="304" t="s">
        <v>209</v>
      </c>
      <c r="E244" s="372">
        <f>Electricidad!E289</f>
        <v>4.4398291423631662</v>
      </c>
      <c r="F244" s="372">
        <f>Electricidad!F289</f>
        <v>6.9170193209854558</v>
      </c>
      <c r="G244" s="372">
        <f>Electricidad!G289</f>
        <v>8.8806710849968749</v>
      </c>
      <c r="H244" s="372">
        <f>Electricidad!H289</f>
        <v>9.5041972473159557</v>
      </c>
      <c r="I244" s="618"/>
      <c r="J244" s="618"/>
      <c r="K244" s="618"/>
      <c r="L244" s="618"/>
      <c r="M244" s="618"/>
      <c r="N244" s="618"/>
      <c r="O244" s="618"/>
      <c r="P244" s="618"/>
      <c r="Q244" s="618"/>
      <c r="R244" s="618"/>
      <c r="S244" s="618"/>
      <c r="T244" s="618"/>
      <c r="U244" s="618"/>
      <c r="V244" s="618"/>
      <c r="W244" s="618"/>
      <c r="X244" s="618"/>
      <c r="Y244" s="618"/>
      <c r="Z244" s="618"/>
      <c r="AA244" s="618"/>
      <c r="AB244" s="618"/>
      <c r="AC244" s="618"/>
      <c r="AD244" s="618"/>
      <c r="AE244" s="618"/>
      <c r="AF244" s="618"/>
      <c r="AG244" s="618"/>
      <c r="AH244" s="618"/>
      <c r="AI244" s="618"/>
      <c r="AJ244" s="618"/>
      <c r="AK244" s="618"/>
      <c r="AL244" s="618"/>
      <c r="AM244" s="618"/>
      <c r="AN244" s="618"/>
      <c r="AO244" s="618"/>
      <c r="AP244" s="618"/>
      <c r="AQ244" s="618"/>
      <c r="AR244" s="618"/>
      <c r="AS244" s="618"/>
      <c r="AT244" s="618"/>
      <c r="AU244" s="618"/>
      <c r="AV244" s="618"/>
      <c r="AW244" s="618"/>
      <c r="AX244" s="618"/>
      <c r="AY244" s="618"/>
      <c r="AZ244" s="618"/>
      <c r="BA244" s="618"/>
      <c r="BB244" s="618"/>
      <c r="BC244" s="618"/>
      <c r="BD244" s="618"/>
      <c r="BE244" s="618"/>
      <c r="BF244" s="618"/>
      <c r="BG244" s="618"/>
      <c r="BH244" s="618"/>
    </row>
    <row r="245" spans="1:60" ht="14.25" customHeight="1" x14ac:dyDescent="0.45">
      <c r="A245" s="618"/>
      <c r="B245" s="215"/>
      <c r="C245" s="220" t="s">
        <v>218</v>
      </c>
      <c r="D245" s="304" t="s">
        <v>211</v>
      </c>
      <c r="E245" s="372">
        <f>Electricidad!E290</f>
        <v>29.999337571996644</v>
      </c>
      <c r="F245" s="372">
        <f>Electricidad!F290</f>
        <v>31.65598970008115</v>
      </c>
      <c r="G245" s="372">
        <f>Electricidad!G290</f>
        <v>33.279827423516998</v>
      </c>
      <c r="H245" s="372">
        <f>Electricidad!H290</f>
        <v>33.125825894329864</v>
      </c>
      <c r="I245" s="618"/>
      <c r="J245" s="618"/>
      <c r="K245" s="618"/>
      <c r="L245" s="618"/>
      <c r="M245" s="618"/>
      <c r="N245" s="618"/>
      <c r="O245" s="618"/>
      <c r="P245" s="618"/>
      <c r="Q245" s="618"/>
      <c r="R245" s="618"/>
      <c r="S245" s="618"/>
      <c r="T245" s="618"/>
      <c r="U245" s="618"/>
      <c r="V245" s="618"/>
      <c r="W245" s="618"/>
      <c r="X245" s="618"/>
      <c r="Y245" s="618"/>
      <c r="Z245" s="618"/>
      <c r="AA245" s="618"/>
      <c r="AB245" s="618"/>
      <c r="AC245" s="618"/>
      <c r="AD245" s="618"/>
      <c r="AE245" s="618"/>
      <c r="AF245" s="618"/>
      <c r="AG245" s="618"/>
      <c r="AH245" s="618"/>
      <c r="AI245" s="618"/>
      <c r="AJ245" s="618"/>
      <c r="AK245" s="618"/>
      <c r="AL245" s="618"/>
      <c r="AM245" s="618"/>
      <c r="AN245" s="618"/>
      <c r="AO245" s="618"/>
      <c r="AP245" s="618"/>
      <c r="AQ245" s="618"/>
      <c r="AR245" s="618"/>
      <c r="AS245" s="618"/>
      <c r="AT245" s="618"/>
      <c r="AU245" s="618"/>
      <c r="AV245" s="618"/>
      <c r="AW245" s="618"/>
      <c r="AX245" s="618"/>
      <c r="AY245" s="618"/>
      <c r="AZ245" s="618"/>
      <c r="BA245" s="618"/>
      <c r="BB245" s="618"/>
      <c r="BC245" s="618"/>
      <c r="BD245" s="618"/>
      <c r="BE245" s="618"/>
      <c r="BF245" s="618"/>
      <c r="BG245" s="618"/>
      <c r="BH245" s="618"/>
    </row>
    <row r="246" spans="1:60" ht="14.25" customHeight="1" x14ac:dyDescent="0.45">
      <c r="A246" s="618"/>
      <c r="B246" s="215"/>
      <c r="C246" s="220"/>
      <c r="D246" s="221" t="s">
        <v>350</v>
      </c>
      <c r="E246" s="28">
        <f>E206+E209+E210+E217+E218</f>
        <v>91.132372008567984</v>
      </c>
      <c r="F246" s="28">
        <f>F206+F209+F210+F217+F218</f>
        <v>101.17921274159959</v>
      </c>
      <c r="G246" s="28">
        <f>G206+G209+G210+G217+G218</f>
        <v>98.061936324242353</v>
      </c>
      <c r="H246" s="28">
        <f>Electricidad!H291</f>
        <v>101.36096248580306</v>
      </c>
      <c r="I246" s="618"/>
      <c r="J246" s="618"/>
      <c r="K246" s="618"/>
      <c r="L246" s="618"/>
      <c r="M246" s="618"/>
      <c r="N246" s="618"/>
      <c r="O246" s="618"/>
      <c r="P246" s="618"/>
      <c r="Q246" s="618"/>
      <c r="R246" s="618"/>
      <c r="S246" s="618"/>
      <c r="T246" s="618"/>
      <c r="U246" s="618"/>
      <c r="V246" s="618"/>
      <c r="W246" s="618"/>
      <c r="X246" s="618"/>
      <c r="Y246" s="618"/>
      <c r="Z246" s="618"/>
      <c r="AA246" s="618"/>
      <c r="AB246" s="618"/>
      <c r="AC246" s="618"/>
      <c r="AD246" s="618"/>
      <c r="AE246" s="618"/>
      <c r="AF246" s="618"/>
      <c r="AG246" s="618"/>
      <c r="AH246" s="618"/>
      <c r="AI246" s="618"/>
      <c r="AJ246" s="618"/>
      <c r="AK246" s="618"/>
      <c r="AL246" s="618"/>
      <c r="AM246" s="618"/>
      <c r="AN246" s="618"/>
      <c r="AO246" s="618"/>
      <c r="AP246" s="618"/>
      <c r="AQ246" s="618"/>
      <c r="AR246" s="618"/>
      <c r="AS246" s="618"/>
      <c r="AT246" s="618"/>
      <c r="AU246" s="618"/>
      <c r="AV246" s="618"/>
      <c r="AW246" s="618"/>
      <c r="AX246" s="618"/>
      <c r="AY246" s="618"/>
      <c r="AZ246" s="618"/>
      <c r="BA246" s="618"/>
      <c r="BB246" s="618"/>
      <c r="BC246" s="618"/>
      <c r="BD246" s="618"/>
      <c r="BE246" s="618"/>
      <c r="BF246" s="618"/>
      <c r="BG246" s="618"/>
      <c r="BH246" s="618"/>
    </row>
    <row r="247" spans="1:60" ht="14.25" customHeight="1" x14ac:dyDescent="0.45">
      <c r="A247" s="618"/>
      <c r="B247" s="215"/>
      <c r="C247" s="220"/>
      <c r="D247" s="221"/>
      <c r="E247" s="232"/>
      <c r="F247" s="232"/>
      <c r="G247" s="232"/>
      <c r="H247" s="232">
        <f>Electricidad!H292</f>
        <v>0</v>
      </c>
      <c r="I247" s="618"/>
      <c r="J247" s="618"/>
      <c r="K247" s="618"/>
      <c r="L247" s="618"/>
      <c r="M247" s="618"/>
      <c r="N247" s="618"/>
      <c r="O247" s="618"/>
      <c r="P247" s="618"/>
      <c r="Q247" s="618"/>
      <c r="R247" s="618"/>
      <c r="S247" s="618"/>
      <c r="T247" s="618"/>
      <c r="U247" s="618"/>
      <c r="V247" s="618"/>
      <c r="W247" s="618"/>
      <c r="X247" s="618"/>
      <c r="Y247" s="618"/>
      <c r="Z247" s="618"/>
      <c r="AA247" s="618"/>
      <c r="AB247" s="618"/>
      <c r="AC247" s="618"/>
      <c r="AD247" s="618"/>
      <c r="AE247" s="618"/>
      <c r="AF247" s="618"/>
      <c r="AG247" s="618"/>
      <c r="AH247" s="618"/>
      <c r="AI247" s="618"/>
      <c r="AJ247" s="618"/>
      <c r="AK247" s="618"/>
      <c r="AL247" s="618"/>
      <c r="AM247" s="618"/>
      <c r="AN247" s="618"/>
      <c r="AO247" s="618"/>
      <c r="AP247" s="618"/>
      <c r="AQ247" s="618"/>
      <c r="AR247" s="618"/>
      <c r="AS247" s="618"/>
      <c r="AT247" s="618"/>
      <c r="AU247" s="618"/>
      <c r="AV247" s="618"/>
      <c r="AW247" s="618"/>
      <c r="AX247" s="618"/>
      <c r="AY247" s="618"/>
      <c r="AZ247" s="618"/>
      <c r="BA247" s="618"/>
      <c r="BB247" s="618"/>
      <c r="BC247" s="618"/>
      <c r="BD247" s="618"/>
      <c r="BE247" s="618"/>
      <c r="BF247" s="618"/>
      <c r="BG247" s="618"/>
      <c r="BH247" s="618"/>
    </row>
    <row r="248" spans="1:60" ht="14.25" customHeight="1" x14ac:dyDescent="0.45">
      <c r="A248" s="618"/>
      <c r="B248" s="215"/>
      <c r="C248" s="220"/>
      <c r="D248" s="243" t="s">
        <v>351</v>
      </c>
      <c r="E248" s="350">
        <v>2018</v>
      </c>
      <c r="F248" s="350">
        <v>2019</v>
      </c>
      <c r="G248" s="350">
        <v>2020</v>
      </c>
      <c r="H248" s="350">
        <f>Electricidad!H293</f>
        <v>2021</v>
      </c>
      <c r="I248" s="349">
        <v>2022</v>
      </c>
      <c r="J248" s="349">
        <v>2023</v>
      </c>
      <c r="K248" s="349">
        <v>2024</v>
      </c>
      <c r="L248" s="349">
        <v>2025</v>
      </c>
      <c r="M248" s="349">
        <v>2026</v>
      </c>
      <c r="N248" s="349">
        <v>2027</v>
      </c>
      <c r="O248" s="349">
        <v>2028</v>
      </c>
      <c r="P248" s="349">
        <v>2029</v>
      </c>
      <c r="Q248" s="349">
        <v>2030</v>
      </c>
      <c r="R248" s="349">
        <v>2031</v>
      </c>
      <c r="S248" s="349">
        <v>2032</v>
      </c>
      <c r="T248" s="349">
        <v>2033</v>
      </c>
      <c r="U248" s="349">
        <v>2034</v>
      </c>
      <c r="V248" s="349">
        <v>2035</v>
      </c>
      <c r="W248" s="349">
        <v>2036</v>
      </c>
      <c r="X248" s="349">
        <v>2037</v>
      </c>
      <c r="Y248" s="349">
        <v>2038</v>
      </c>
      <c r="Z248" s="349">
        <v>2039</v>
      </c>
      <c r="AA248" s="349">
        <v>2040</v>
      </c>
      <c r="AB248" s="349">
        <v>2041</v>
      </c>
      <c r="AC248" s="349">
        <v>2042</v>
      </c>
      <c r="AD248" s="349">
        <v>2043</v>
      </c>
      <c r="AE248" s="349">
        <v>2044</v>
      </c>
      <c r="AF248" s="349">
        <v>2045</v>
      </c>
      <c r="AG248" s="349">
        <v>2046</v>
      </c>
      <c r="AH248" s="349">
        <v>2047</v>
      </c>
      <c r="AI248" s="349">
        <v>2048</v>
      </c>
      <c r="AJ248" s="349">
        <v>2049</v>
      </c>
      <c r="AK248" s="349">
        <v>2050</v>
      </c>
      <c r="AL248" s="349">
        <v>2051</v>
      </c>
      <c r="AM248" s="349">
        <v>2052</v>
      </c>
      <c r="AN248" s="349">
        <v>2053</v>
      </c>
      <c r="AO248" s="349">
        <v>2054</v>
      </c>
      <c r="AP248" s="349">
        <v>2055</v>
      </c>
      <c r="AQ248" s="349">
        <v>2056</v>
      </c>
      <c r="AR248" s="349">
        <v>2057</v>
      </c>
      <c r="AS248" s="349">
        <v>2058</v>
      </c>
      <c r="AT248" s="349">
        <v>2059</v>
      </c>
      <c r="AU248" s="349">
        <v>2060</v>
      </c>
      <c r="AV248" s="349">
        <v>2061</v>
      </c>
      <c r="AW248" s="349">
        <v>2062</v>
      </c>
      <c r="AX248" s="349">
        <v>2063</v>
      </c>
      <c r="AY248" s="349">
        <v>2064</v>
      </c>
      <c r="AZ248" s="349">
        <v>2065</v>
      </c>
      <c r="BA248" s="349">
        <v>2066</v>
      </c>
      <c r="BB248" s="349">
        <v>2067</v>
      </c>
      <c r="BC248" s="349">
        <v>2068</v>
      </c>
      <c r="BD248" s="349">
        <v>2069</v>
      </c>
      <c r="BE248" s="349">
        <v>2070</v>
      </c>
      <c r="BF248" s="3"/>
      <c r="BG248" s="3"/>
      <c r="BH248" s="3"/>
    </row>
    <row r="249" spans="1:60" ht="14.25" customHeight="1" x14ac:dyDescent="0.45">
      <c r="A249" s="618"/>
      <c r="B249" s="215"/>
      <c r="C249" s="220"/>
      <c r="D249" s="224" t="s">
        <v>339</v>
      </c>
      <c r="E249" s="369">
        <f>Electricidad!E294</f>
        <v>0</v>
      </c>
      <c r="F249" s="369">
        <f>Electricidad!F294</f>
        <v>0</v>
      </c>
      <c r="G249" s="369">
        <f>Electricidad!G294</f>
        <v>0</v>
      </c>
      <c r="H249" s="369">
        <f>Electricidad!H294</f>
        <v>0</v>
      </c>
      <c r="I249" s="618"/>
      <c r="J249" s="618"/>
      <c r="K249" s="618"/>
      <c r="L249" s="618"/>
      <c r="M249" s="618"/>
      <c r="N249" s="618"/>
      <c r="O249" s="618"/>
      <c r="P249" s="618"/>
      <c r="Q249" s="618"/>
      <c r="R249" s="618"/>
      <c r="S249" s="618"/>
      <c r="T249" s="618"/>
      <c r="U249" s="618"/>
      <c r="V249" s="618"/>
      <c r="W249" s="618"/>
      <c r="X249" s="618"/>
      <c r="Y249" s="618"/>
      <c r="Z249" s="618"/>
      <c r="AA249" s="618"/>
      <c r="AB249" s="618"/>
      <c r="AC249" s="618"/>
      <c r="AD249" s="618"/>
      <c r="AE249" s="618"/>
      <c r="AF249" s="618"/>
      <c r="AG249" s="618"/>
      <c r="AH249" s="618"/>
      <c r="AI249" s="618"/>
      <c r="AJ249" s="618"/>
      <c r="AK249" s="618"/>
      <c r="AL249" s="618"/>
      <c r="AM249" s="3"/>
      <c r="AN249" s="3"/>
      <c r="AO249" s="3"/>
      <c r="AP249" s="3"/>
      <c r="AQ249" s="3"/>
      <c r="AR249" s="3"/>
      <c r="AS249" s="3"/>
      <c r="AT249" s="3"/>
      <c r="AU249" s="3"/>
      <c r="AV249" s="3"/>
      <c r="AW249" s="3"/>
      <c r="AX249" s="3"/>
      <c r="AY249" s="3"/>
      <c r="AZ249" s="3"/>
      <c r="BA249" s="3"/>
      <c r="BB249" s="3"/>
      <c r="BC249" s="3"/>
      <c r="BD249" s="3"/>
      <c r="BE249" s="3"/>
      <c r="BF249" s="3"/>
      <c r="BG249" s="3"/>
      <c r="BH249" s="3"/>
    </row>
    <row r="250" spans="1:60" ht="13.5" customHeight="1" x14ac:dyDescent="0.45">
      <c r="A250" s="618"/>
      <c r="B250" s="215"/>
      <c r="C250" s="220"/>
      <c r="D250" s="224" t="s">
        <v>171</v>
      </c>
      <c r="E250" s="369">
        <f>Electricidad!E295</f>
        <v>2.3586003188598284E-2</v>
      </c>
      <c r="F250" s="369">
        <f>Electricidad!F295</f>
        <v>1.9954694542129378E-2</v>
      </c>
      <c r="G250" s="369">
        <f>Electricidad!G295</f>
        <v>1.965593807001146E-2</v>
      </c>
      <c r="H250" s="369">
        <f>Electricidad!H295</f>
        <v>7.0155963466996523E-3</v>
      </c>
      <c r="I250" s="244">
        <v>1.965593807001146E-2</v>
      </c>
      <c r="J250" s="244">
        <v>1.965593807001146E-2</v>
      </c>
      <c r="K250" s="244">
        <v>1.965593807001146E-2</v>
      </c>
      <c r="L250" s="244">
        <v>1.965593807001146E-2</v>
      </c>
      <c r="M250" s="244">
        <v>1.965593807001146E-2</v>
      </c>
      <c r="N250" s="244">
        <v>1.965593807001146E-2</v>
      </c>
      <c r="O250" s="244">
        <v>1.965593807001146E-2</v>
      </c>
      <c r="P250" s="244">
        <v>1.965593807001146E-2</v>
      </c>
      <c r="Q250" s="244">
        <v>1.965593807001146E-2</v>
      </c>
      <c r="R250" s="244">
        <v>1.965593807001146E-2</v>
      </c>
      <c r="S250" s="244">
        <v>1.965593807001146E-2</v>
      </c>
      <c r="T250" s="244">
        <v>1.965593807001146E-2</v>
      </c>
      <c r="U250" s="244">
        <v>1.965593807001146E-2</v>
      </c>
      <c r="V250" s="244">
        <v>1.965593807001146E-2</v>
      </c>
      <c r="W250" s="244">
        <v>1.965593807001146E-2</v>
      </c>
      <c r="X250" s="244">
        <v>1.965593807001146E-2</v>
      </c>
      <c r="Y250" s="244">
        <v>1.965593807001146E-2</v>
      </c>
      <c r="Z250" s="244">
        <v>1.965593807001146E-2</v>
      </c>
      <c r="AA250" s="244">
        <v>1.965593807001146E-2</v>
      </c>
      <c r="AB250" s="244">
        <v>1.965593807001146E-2</v>
      </c>
      <c r="AC250" s="244">
        <v>1.965593807001146E-2</v>
      </c>
      <c r="AD250" s="244">
        <v>1.965593807001146E-2</v>
      </c>
      <c r="AE250" s="244">
        <v>1.965593807001146E-2</v>
      </c>
      <c r="AF250" s="244">
        <v>1.965593807001146E-2</v>
      </c>
      <c r="AG250" s="244">
        <v>1.965593807001146E-2</v>
      </c>
      <c r="AH250" s="244">
        <v>1.965593807001146E-2</v>
      </c>
      <c r="AI250" s="244">
        <v>1.965593807001146E-2</v>
      </c>
      <c r="AJ250" s="244">
        <v>1.965593807001146E-2</v>
      </c>
      <c r="AK250" s="244">
        <v>1.965593807001146E-2</v>
      </c>
      <c r="AL250" s="218">
        <f t="shared" ref="AL250:BE250" si="162">AK250</f>
        <v>1.965593807001146E-2</v>
      </c>
      <c r="AM250" s="218">
        <f t="shared" si="162"/>
        <v>1.965593807001146E-2</v>
      </c>
      <c r="AN250" s="218">
        <f t="shared" si="162"/>
        <v>1.965593807001146E-2</v>
      </c>
      <c r="AO250" s="218">
        <f t="shared" si="162"/>
        <v>1.965593807001146E-2</v>
      </c>
      <c r="AP250" s="218">
        <f t="shared" si="162"/>
        <v>1.965593807001146E-2</v>
      </c>
      <c r="AQ250" s="218">
        <f t="shared" si="162"/>
        <v>1.965593807001146E-2</v>
      </c>
      <c r="AR250" s="218">
        <f t="shared" si="162"/>
        <v>1.965593807001146E-2</v>
      </c>
      <c r="AS250" s="218">
        <f t="shared" si="162"/>
        <v>1.965593807001146E-2</v>
      </c>
      <c r="AT250" s="218">
        <f t="shared" si="162"/>
        <v>1.965593807001146E-2</v>
      </c>
      <c r="AU250" s="218">
        <f t="shared" si="162"/>
        <v>1.965593807001146E-2</v>
      </c>
      <c r="AV250" s="218">
        <f t="shared" si="162"/>
        <v>1.965593807001146E-2</v>
      </c>
      <c r="AW250" s="218">
        <f t="shared" si="162"/>
        <v>1.965593807001146E-2</v>
      </c>
      <c r="AX250" s="218">
        <f t="shared" si="162"/>
        <v>1.965593807001146E-2</v>
      </c>
      <c r="AY250" s="218">
        <f t="shared" si="162"/>
        <v>1.965593807001146E-2</v>
      </c>
      <c r="AZ250" s="218">
        <f t="shared" si="162"/>
        <v>1.965593807001146E-2</v>
      </c>
      <c r="BA250" s="218">
        <f t="shared" si="162"/>
        <v>1.965593807001146E-2</v>
      </c>
      <c r="BB250" s="218">
        <f t="shared" si="162"/>
        <v>1.965593807001146E-2</v>
      </c>
      <c r="BC250" s="218">
        <f t="shared" si="162"/>
        <v>1.965593807001146E-2</v>
      </c>
      <c r="BD250" s="218">
        <f t="shared" si="162"/>
        <v>1.965593807001146E-2</v>
      </c>
      <c r="BE250" s="218">
        <f t="shared" si="162"/>
        <v>1.965593807001146E-2</v>
      </c>
      <c r="BF250" s="3"/>
      <c r="BG250" s="3"/>
      <c r="BH250" s="3"/>
    </row>
    <row r="251" spans="1:60" ht="14.25" customHeight="1" x14ac:dyDescent="0.45">
      <c r="A251" s="618"/>
      <c r="B251" s="215"/>
      <c r="C251" s="220" t="s">
        <v>222</v>
      </c>
      <c r="D251" s="247" t="s">
        <v>223</v>
      </c>
      <c r="E251" s="380">
        <f>Electricidad!E296</f>
        <v>2.3586003188598284E-2</v>
      </c>
      <c r="F251" s="380">
        <f>Electricidad!F296</f>
        <v>1.9954694542129378E-2</v>
      </c>
      <c r="G251" s="380">
        <f>Electricidad!G296</f>
        <v>1.965593807001146E-2</v>
      </c>
      <c r="H251" s="380">
        <f>Electricidad!H296</f>
        <v>7.0155963466996523E-3</v>
      </c>
      <c r="I251" s="248">
        <v>2.5543818025972543E-2</v>
      </c>
      <c r="J251" s="248">
        <v>2.617987177196348E-2</v>
      </c>
      <c r="K251" s="248">
        <v>2.6815925517954406E-2</v>
      </c>
      <c r="L251" s="248">
        <v>2.7451979263945353E-2</v>
      </c>
      <c r="M251" s="248">
        <v>2.8088033009936293E-2</v>
      </c>
      <c r="N251" s="248">
        <v>2.872408675592723E-2</v>
      </c>
      <c r="O251" s="248">
        <v>2.936014050191817E-2</v>
      </c>
      <c r="P251" s="248">
        <v>2.9996194247909103E-2</v>
      </c>
      <c r="Q251" s="248">
        <v>3.0632247993900037E-2</v>
      </c>
      <c r="R251" s="248">
        <v>3.0874243380633246E-2</v>
      </c>
      <c r="S251" s="248">
        <v>3.1116238767366453E-2</v>
      </c>
      <c r="T251" s="248">
        <v>3.1358234154099669E-2</v>
      </c>
      <c r="U251" s="248">
        <v>3.1600229540832879E-2</v>
      </c>
      <c r="V251" s="248">
        <v>3.1842224927566089E-2</v>
      </c>
      <c r="W251" s="248">
        <v>3.2084220314299292E-2</v>
      </c>
      <c r="X251" s="248">
        <v>3.2326215701032494E-2</v>
      </c>
      <c r="Y251" s="248">
        <v>3.2568211087765718E-2</v>
      </c>
      <c r="Z251" s="248">
        <v>3.2810206474498921E-2</v>
      </c>
      <c r="AA251" s="248">
        <v>3.3052201861232117E-2</v>
      </c>
      <c r="AB251" s="248">
        <v>3.3085254481480947E-2</v>
      </c>
      <c r="AC251" s="248">
        <v>3.3118307101729777E-2</v>
      </c>
      <c r="AD251" s="248">
        <v>3.3151359721978614E-2</v>
      </c>
      <c r="AE251" s="248">
        <v>3.3184412342227444E-2</v>
      </c>
      <c r="AF251" s="248">
        <v>3.3217464962476281E-2</v>
      </c>
      <c r="AG251" s="248">
        <v>3.3250517582725105E-2</v>
      </c>
      <c r="AH251" s="248">
        <v>3.3283570202973942E-2</v>
      </c>
      <c r="AI251" s="248">
        <v>3.3316622823222772E-2</v>
      </c>
      <c r="AJ251" s="248">
        <v>3.3349675443471609E-2</v>
      </c>
      <c r="AK251" s="248">
        <v>3.3382728063720418E-2</v>
      </c>
      <c r="AL251" s="248">
        <v>3.5117577391742601E-2</v>
      </c>
      <c r="AM251" s="248">
        <v>3.5378830974123601E-2</v>
      </c>
      <c r="AN251" s="248">
        <v>3.5640084556504699E-2</v>
      </c>
      <c r="AO251" s="248">
        <v>3.5901338138885797E-2</v>
      </c>
      <c r="AP251" s="248">
        <v>3.6162591721266901E-2</v>
      </c>
      <c r="AQ251" s="248">
        <v>3.6423845303647999E-2</v>
      </c>
      <c r="AR251" s="248">
        <v>3.6685098886029097E-2</v>
      </c>
      <c r="AS251" s="248">
        <v>3.6946352468410201E-2</v>
      </c>
      <c r="AT251" s="248">
        <v>3.7207606050791299E-2</v>
      </c>
      <c r="AU251" s="248">
        <v>3.7468859633172397E-2</v>
      </c>
      <c r="AV251" s="248">
        <v>3.7730113215553501E-2</v>
      </c>
      <c r="AW251" s="248">
        <v>3.7991366797934599E-2</v>
      </c>
      <c r="AX251" s="248">
        <v>3.82526203803156E-2</v>
      </c>
      <c r="AY251" s="248">
        <v>3.8513873962696697E-2</v>
      </c>
      <c r="AZ251" s="248">
        <v>3.8775127545077802E-2</v>
      </c>
      <c r="BA251" s="248">
        <v>3.90363811274589E-2</v>
      </c>
      <c r="BB251" s="248">
        <v>3.9297634709839997E-2</v>
      </c>
      <c r="BC251" s="248">
        <v>3.9558888292221102E-2</v>
      </c>
      <c r="BD251" s="248">
        <v>3.98201418746022E-2</v>
      </c>
      <c r="BE251" s="248">
        <v>4.0081395456983297E-2</v>
      </c>
      <c r="BF251" s="3"/>
      <c r="BG251" s="3"/>
      <c r="BH251" s="3"/>
    </row>
    <row r="252" spans="1:60" ht="14.25" customHeight="1" x14ac:dyDescent="0.45">
      <c r="A252" s="618"/>
      <c r="B252" s="215"/>
      <c r="C252" s="220"/>
      <c r="D252" s="224" t="s">
        <v>172</v>
      </c>
      <c r="E252" s="369">
        <f>Electricidad!E297</f>
        <v>5.9052648959703712E-2</v>
      </c>
      <c r="F252" s="369">
        <f>Electricidad!F297</f>
        <v>7.7137812996397701E-2</v>
      </c>
      <c r="G252" s="369">
        <f>Electricidad!G297</f>
        <v>7.3415805281261973E-2</v>
      </c>
      <c r="H252" s="369">
        <f>Electricidad!H297</f>
        <v>6.8646520136716072E-2</v>
      </c>
      <c r="I252" s="244">
        <f t="shared" ref="I252:AK252" si="163">I253</f>
        <v>7.1361016800202848E-2</v>
      </c>
      <c r="J252" s="244">
        <f t="shared" si="163"/>
        <v>7.2541572556975742E-2</v>
      </c>
      <c r="K252" s="244">
        <f t="shared" si="163"/>
        <v>7.3742195905086766E-2</v>
      </c>
      <c r="L252" s="244">
        <f t="shared" si="163"/>
        <v>7.4947234611851932E-2</v>
      </c>
      <c r="M252" s="244">
        <f t="shared" si="163"/>
        <v>7.6169733222340635E-2</v>
      </c>
      <c r="N252" s="244">
        <f t="shared" si="163"/>
        <v>7.7400879340234985E-2</v>
      </c>
      <c r="O252" s="244">
        <f t="shared" si="163"/>
        <v>7.8647836472728952E-2</v>
      </c>
      <c r="P252" s="244">
        <f t="shared" si="163"/>
        <v>7.9904143417255394E-2</v>
      </c>
      <c r="Q252" s="244">
        <f t="shared" si="163"/>
        <v>8.1178924026966776E-2</v>
      </c>
      <c r="R252" s="244">
        <f t="shared" si="163"/>
        <v>8.2457503188660033E-2</v>
      </c>
      <c r="S252" s="244">
        <f t="shared" si="163"/>
        <v>8.3745419948392213E-2</v>
      </c>
      <c r="T252" s="244">
        <f t="shared" si="163"/>
        <v>8.5045959870417742E-2</v>
      </c>
      <c r="U252" s="244">
        <f t="shared" si="163"/>
        <v>8.6354780880043544E-2</v>
      </c>
      <c r="V252" s="244">
        <f t="shared" si="163"/>
        <v>8.7669043223778359E-2</v>
      </c>
      <c r="W252" s="244">
        <f t="shared" si="163"/>
        <v>8.8990572893652087E-2</v>
      </c>
      <c r="X252" s="244">
        <f t="shared" si="163"/>
        <v>9.031444765027985E-2</v>
      </c>
      <c r="Y252" s="244">
        <f t="shared" si="163"/>
        <v>9.1644575971585124E-2</v>
      </c>
      <c r="Z252" s="244">
        <f t="shared" si="163"/>
        <v>9.2982264754873534E-2</v>
      </c>
      <c r="AA252" s="244">
        <f t="shared" si="163"/>
        <v>9.4317321422560357E-2</v>
      </c>
      <c r="AB252" s="244">
        <f t="shared" si="163"/>
        <v>9.5659401136515887E-2</v>
      </c>
      <c r="AC252" s="244">
        <f t="shared" si="163"/>
        <v>9.6992387532302674E-2</v>
      </c>
      <c r="AD252" s="244">
        <f t="shared" si="163"/>
        <v>9.8325447212050499E-2</v>
      </c>
      <c r="AE252" s="244">
        <f t="shared" si="163"/>
        <v>9.9642726412182483E-2</v>
      </c>
      <c r="AF252" s="244">
        <f t="shared" si="163"/>
        <v>0.10094547096003673</v>
      </c>
      <c r="AG252" s="244">
        <f t="shared" si="163"/>
        <v>0.1022318670775768</v>
      </c>
      <c r="AH252" s="244">
        <f t="shared" si="163"/>
        <v>0.10349756047611625</v>
      </c>
      <c r="AI252" s="244">
        <f t="shared" si="163"/>
        <v>0.10474192824198597</v>
      </c>
      <c r="AJ252" s="244">
        <f t="shared" si="163"/>
        <v>0.1059696483347005</v>
      </c>
      <c r="AK252" s="244">
        <f t="shared" si="163"/>
        <v>0.10717484582338131</v>
      </c>
      <c r="AL252" s="218">
        <f t="shared" ref="AL252:BE252" si="164">AK252</f>
        <v>0.10717484582338131</v>
      </c>
      <c r="AM252" s="218">
        <f t="shared" si="164"/>
        <v>0.10717484582338131</v>
      </c>
      <c r="AN252" s="218">
        <f t="shared" si="164"/>
        <v>0.10717484582338131</v>
      </c>
      <c r="AO252" s="218">
        <f t="shared" si="164"/>
        <v>0.10717484582338131</v>
      </c>
      <c r="AP252" s="218">
        <f t="shared" si="164"/>
        <v>0.10717484582338131</v>
      </c>
      <c r="AQ252" s="218">
        <f t="shared" si="164"/>
        <v>0.10717484582338131</v>
      </c>
      <c r="AR252" s="218">
        <f t="shared" si="164"/>
        <v>0.10717484582338131</v>
      </c>
      <c r="AS252" s="218">
        <f t="shared" si="164"/>
        <v>0.10717484582338131</v>
      </c>
      <c r="AT252" s="218">
        <f t="shared" si="164"/>
        <v>0.10717484582338131</v>
      </c>
      <c r="AU252" s="218">
        <f t="shared" si="164"/>
        <v>0.10717484582338131</v>
      </c>
      <c r="AV252" s="218">
        <f t="shared" si="164"/>
        <v>0.10717484582338131</v>
      </c>
      <c r="AW252" s="218">
        <f t="shared" si="164"/>
        <v>0.10717484582338131</v>
      </c>
      <c r="AX252" s="218">
        <f t="shared" si="164"/>
        <v>0.10717484582338131</v>
      </c>
      <c r="AY252" s="218">
        <f t="shared" si="164"/>
        <v>0.10717484582338131</v>
      </c>
      <c r="AZ252" s="218">
        <f t="shared" si="164"/>
        <v>0.10717484582338131</v>
      </c>
      <c r="BA252" s="218">
        <f t="shared" si="164"/>
        <v>0.10717484582338131</v>
      </c>
      <c r="BB252" s="218">
        <f t="shared" si="164"/>
        <v>0.10717484582338131</v>
      </c>
      <c r="BC252" s="218">
        <f t="shared" si="164"/>
        <v>0.10717484582338131</v>
      </c>
      <c r="BD252" s="218">
        <f t="shared" si="164"/>
        <v>0.10717484582338131</v>
      </c>
      <c r="BE252" s="218">
        <f t="shared" si="164"/>
        <v>0.10717484582338131</v>
      </c>
      <c r="BF252" s="3"/>
      <c r="BG252" s="3"/>
      <c r="BH252" s="3"/>
    </row>
    <row r="253" spans="1:60" ht="14.25" customHeight="1" x14ac:dyDescent="0.45">
      <c r="A253" s="618"/>
      <c r="B253" s="215"/>
      <c r="C253" s="220"/>
      <c r="D253" s="228" t="s">
        <v>224</v>
      </c>
      <c r="E253" s="370">
        <f>Electricidad!E298</f>
        <v>5.9052648959703712E-2</v>
      </c>
      <c r="F253" s="370">
        <f>Electricidad!F298</f>
        <v>7.7137812996397701E-2</v>
      </c>
      <c r="G253" s="370">
        <f>Electricidad!G298</f>
        <v>7.3415805281261973E-2</v>
      </c>
      <c r="H253" s="370">
        <f>Electricidad!H298</f>
        <v>6.8646520136716072E-2</v>
      </c>
      <c r="I253" s="230">
        <f t="shared" ref="I253:AK253" si="165">I258+I259+I255+I256</f>
        <v>7.1361016800202848E-2</v>
      </c>
      <c r="J253" s="230">
        <f t="shared" si="165"/>
        <v>7.2541572556975742E-2</v>
      </c>
      <c r="K253" s="230">
        <f t="shared" si="165"/>
        <v>7.3742195905086766E-2</v>
      </c>
      <c r="L253" s="230">
        <f t="shared" si="165"/>
        <v>7.4947234611851932E-2</v>
      </c>
      <c r="M253" s="230">
        <f t="shared" si="165"/>
        <v>7.6169733222340635E-2</v>
      </c>
      <c r="N253" s="230">
        <f t="shared" si="165"/>
        <v>7.7400879340234985E-2</v>
      </c>
      <c r="O253" s="230">
        <f t="shared" si="165"/>
        <v>7.8647836472728952E-2</v>
      </c>
      <c r="P253" s="230">
        <f t="shared" si="165"/>
        <v>7.9904143417255394E-2</v>
      </c>
      <c r="Q253" s="230">
        <f t="shared" si="165"/>
        <v>8.1178924026966776E-2</v>
      </c>
      <c r="R253" s="230">
        <f t="shared" si="165"/>
        <v>8.2457503188660033E-2</v>
      </c>
      <c r="S253" s="230">
        <f t="shared" si="165"/>
        <v>8.3745419948392213E-2</v>
      </c>
      <c r="T253" s="230">
        <f t="shared" si="165"/>
        <v>8.5045959870417742E-2</v>
      </c>
      <c r="U253" s="230">
        <f t="shared" si="165"/>
        <v>8.6354780880043544E-2</v>
      </c>
      <c r="V253" s="230">
        <f t="shared" si="165"/>
        <v>8.7669043223778359E-2</v>
      </c>
      <c r="W253" s="230">
        <f t="shared" si="165"/>
        <v>8.8990572893652087E-2</v>
      </c>
      <c r="X253" s="230">
        <f t="shared" si="165"/>
        <v>9.031444765027985E-2</v>
      </c>
      <c r="Y253" s="230">
        <f t="shared" si="165"/>
        <v>9.1644575971585124E-2</v>
      </c>
      <c r="Z253" s="230">
        <f t="shared" si="165"/>
        <v>9.2982264754873534E-2</v>
      </c>
      <c r="AA253" s="230">
        <f t="shared" si="165"/>
        <v>9.4317321422560357E-2</v>
      </c>
      <c r="AB253" s="230">
        <f t="shared" si="165"/>
        <v>9.5659401136515887E-2</v>
      </c>
      <c r="AC253" s="230">
        <f t="shared" si="165"/>
        <v>9.6992387532302674E-2</v>
      </c>
      <c r="AD253" s="230">
        <f t="shared" si="165"/>
        <v>9.8325447212050499E-2</v>
      </c>
      <c r="AE253" s="230">
        <f t="shared" si="165"/>
        <v>9.9642726412182483E-2</v>
      </c>
      <c r="AF253" s="230">
        <f t="shared" si="165"/>
        <v>0.10094547096003673</v>
      </c>
      <c r="AG253" s="230">
        <f t="shared" si="165"/>
        <v>0.1022318670775768</v>
      </c>
      <c r="AH253" s="230">
        <f t="shared" si="165"/>
        <v>0.10349756047611625</v>
      </c>
      <c r="AI253" s="230">
        <f t="shared" si="165"/>
        <v>0.10474192824198597</v>
      </c>
      <c r="AJ253" s="230">
        <f t="shared" si="165"/>
        <v>0.1059696483347005</v>
      </c>
      <c r="AK253" s="230">
        <f t="shared" si="165"/>
        <v>0.10717484582338131</v>
      </c>
      <c r="AL253" s="218">
        <f t="shared" ref="AL253:BE253" si="166">AK253</f>
        <v>0.10717484582338131</v>
      </c>
      <c r="AM253" s="218">
        <f t="shared" si="166"/>
        <v>0.10717484582338131</v>
      </c>
      <c r="AN253" s="218">
        <f t="shared" si="166"/>
        <v>0.10717484582338131</v>
      </c>
      <c r="AO253" s="218">
        <f t="shared" si="166"/>
        <v>0.10717484582338131</v>
      </c>
      <c r="AP253" s="218">
        <f t="shared" si="166"/>
        <v>0.10717484582338131</v>
      </c>
      <c r="AQ253" s="218">
        <f t="shared" si="166"/>
        <v>0.10717484582338131</v>
      </c>
      <c r="AR253" s="218">
        <f t="shared" si="166"/>
        <v>0.10717484582338131</v>
      </c>
      <c r="AS253" s="218">
        <f t="shared" si="166"/>
        <v>0.10717484582338131</v>
      </c>
      <c r="AT253" s="218">
        <f t="shared" si="166"/>
        <v>0.10717484582338131</v>
      </c>
      <c r="AU253" s="218">
        <f t="shared" si="166"/>
        <v>0.10717484582338131</v>
      </c>
      <c r="AV253" s="218">
        <f t="shared" si="166"/>
        <v>0.10717484582338131</v>
      </c>
      <c r="AW253" s="218">
        <f t="shared" si="166"/>
        <v>0.10717484582338131</v>
      </c>
      <c r="AX253" s="218">
        <f t="shared" si="166"/>
        <v>0.10717484582338131</v>
      </c>
      <c r="AY253" s="218">
        <f t="shared" si="166"/>
        <v>0.10717484582338131</v>
      </c>
      <c r="AZ253" s="218">
        <f t="shared" si="166"/>
        <v>0.10717484582338131</v>
      </c>
      <c r="BA253" s="218">
        <f t="shared" si="166"/>
        <v>0.10717484582338131</v>
      </c>
      <c r="BB253" s="218">
        <f t="shared" si="166"/>
        <v>0.10717484582338131</v>
      </c>
      <c r="BC253" s="218">
        <f t="shared" si="166"/>
        <v>0.10717484582338131</v>
      </c>
      <c r="BD253" s="218">
        <f t="shared" si="166"/>
        <v>0.10717484582338131</v>
      </c>
      <c r="BE253" s="218">
        <f t="shared" si="166"/>
        <v>0.10717484582338131</v>
      </c>
      <c r="BF253" s="3"/>
      <c r="BG253" s="3"/>
      <c r="BH253" s="3"/>
    </row>
    <row r="254" spans="1:60" ht="14.25" customHeight="1" x14ac:dyDescent="0.45">
      <c r="A254" s="618"/>
      <c r="B254" s="215"/>
      <c r="C254" s="220"/>
      <c r="D254" s="247" t="s">
        <v>225</v>
      </c>
      <c r="E254" s="380">
        <f>Electricidad!E299</f>
        <v>0</v>
      </c>
      <c r="F254" s="380">
        <f>Electricidad!F299</f>
        <v>0</v>
      </c>
      <c r="G254" s="380">
        <f>Electricidad!G299</f>
        <v>0</v>
      </c>
      <c r="H254" s="380">
        <f>Electricidad!H299</f>
        <v>0</v>
      </c>
      <c r="I254" s="248"/>
      <c r="J254" s="248"/>
      <c r="K254" s="248"/>
      <c r="L254" s="248"/>
      <c r="M254" s="248"/>
      <c r="N254" s="248"/>
      <c r="O254" s="248"/>
      <c r="P254" s="248"/>
      <c r="Q254" s="248"/>
      <c r="R254" s="248"/>
      <c r="S254" s="248"/>
      <c r="T254" s="248"/>
      <c r="U254" s="248"/>
      <c r="V254" s="248"/>
      <c r="W254" s="248"/>
      <c r="X254" s="248"/>
      <c r="Y254" s="248"/>
      <c r="Z254" s="248"/>
      <c r="AA254" s="248"/>
      <c r="AB254" s="248"/>
      <c r="AC254" s="248"/>
      <c r="AD254" s="248"/>
      <c r="AE254" s="248"/>
      <c r="AF254" s="248"/>
      <c r="AG254" s="248"/>
      <c r="AH254" s="248"/>
      <c r="AI254" s="248"/>
      <c r="AJ254" s="248"/>
      <c r="AK254" s="248"/>
      <c r="AL254" s="218">
        <f t="shared" ref="AL254:BE254" si="167">AK254</f>
        <v>0</v>
      </c>
      <c r="AM254" s="218">
        <f t="shared" si="167"/>
        <v>0</v>
      </c>
      <c r="AN254" s="218">
        <f t="shared" si="167"/>
        <v>0</v>
      </c>
      <c r="AO254" s="218">
        <f t="shared" si="167"/>
        <v>0</v>
      </c>
      <c r="AP254" s="218">
        <f t="shared" si="167"/>
        <v>0</v>
      </c>
      <c r="AQ254" s="218">
        <f t="shared" si="167"/>
        <v>0</v>
      </c>
      <c r="AR254" s="218">
        <f t="shared" si="167"/>
        <v>0</v>
      </c>
      <c r="AS254" s="218">
        <f t="shared" si="167"/>
        <v>0</v>
      </c>
      <c r="AT254" s="218">
        <f t="shared" si="167"/>
        <v>0</v>
      </c>
      <c r="AU254" s="218">
        <f t="shared" si="167"/>
        <v>0</v>
      </c>
      <c r="AV254" s="218">
        <f t="shared" si="167"/>
        <v>0</v>
      </c>
      <c r="AW254" s="218">
        <f t="shared" si="167"/>
        <v>0</v>
      </c>
      <c r="AX254" s="218">
        <f t="shared" si="167"/>
        <v>0</v>
      </c>
      <c r="AY254" s="218">
        <f t="shared" si="167"/>
        <v>0</v>
      </c>
      <c r="AZ254" s="218">
        <f t="shared" si="167"/>
        <v>0</v>
      </c>
      <c r="BA254" s="218">
        <f t="shared" si="167"/>
        <v>0</v>
      </c>
      <c r="BB254" s="218">
        <f t="shared" si="167"/>
        <v>0</v>
      </c>
      <c r="BC254" s="218">
        <f t="shared" si="167"/>
        <v>0</v>
      </c>
      <c r="BD254" s="218">
        <f t="shared" si="167"/>
        <v>0</v>
      </c>
      <c r="BE254" s="218">
        <f t="shared" si="167"/>
        <v>0</v>
      </c>
      <c r="BF254" s="3"/>
      <c r="BG254" s="3"/>
      <c r="BH254" s="3"/>
    </row>
    <row r="255" spans="1:60" ht="14.25" customHeight="1" x14ac:dyDescent="0.45">
      <c r="A255" s="618"/>
      <c r="B255" s="215"/>
      <c r="C255" s="220" t="s">
        <v>226</v>
      </c>
      <c r="D255" s="221" t="s">
        <v>227</v>
      </c>
      <c r="E255" s="359">
        <f>Electricidad!E300</f>
        <v>1.7196162058607078E-2</v>
      </c>
      <c r="F255" s="359">
        <f>Electricidad!F300</f>
        <v>2.025647311728895E-2</v>
      </c>
      <c r="G255" s="359">
        <f>Electricidad!G300</f>
        <v>1.7551007324081429E-2</v>
      </c>
      <c r="H255" s="359">
        <f>Electricidad!H300</f>
        <v>1.2915892761359873E-2</v>
      </c>
      <c r="I255" s="218">
        <v>2.0283996704779993E-2</v>
      </c>
      <c r="J255" s="218">
        <v>2.062157418263114E-2</v>
      </c>
      <c r="K255" s="218">
        <v>2.0964889946735697E-2</v>
      </c>
      <c r="L255" s="218">
        <v>2.130946827351865E-2</v>
      </c>
      <c r="M255" s="218">
        <v>2.1659039223673023E-2</v>
      </c>
      <c r="N255" s="218">
        <v>2.2011082910691322E-2</v>
      </c>
      <c r="O255" s="218">
        <v>2.2367647724645116E-2</v>
      </c>
      <c r="P255" s="218">
        <v>2.2726886098018869E-2</v>
      </c>
      <c r="Q255" s="218">
        <v>2.3091406977757974E-2</v>
      </c>
      <c r="R255" s="218">
        <v>2.3457014045582789E-2</v>
      </c>
      <c r="S255" s="218">
        <v>2.382529118026136E-2</v>
      </c>
      <c r="T255" s="218">
        <v>2.4197177882099331E-2</v>
      </c>
      <c r="U255" s="218">
        <v>2.4571432543815466E-2</v>
      </c>
      <c r="V255" s="218">
        <v>2.4947243143770115E-2</v>
      </c>
      <c r="W255" s="218">
        <v>2.5325131820608991E-2</v>
      </c>
      <c r="X255" s="218">
        <v>2.5703691070156725E-2</v>
      </c>
      <c r="Y255" s="218">
        <v>2.6084038513594754E-2</v>
      </c>
      <c r="Z255" s="218">
        <v>2.6466547855505611E-2</v>
      </c>
      <c r="AA255" s="218">
        <v>2.6848304549402086E-2</v>
      </c>
      <c r="AB255" s="218">
        <v>2.723206946885896E-2</v>
      </c>
      <c r="AC255" s="218">
        <v>2.7613234172785904E-2</v>
      </c>
      <c r="AD255" s="218">
        <v>2.7994419832110005E-2</v>
      </c>
      <c r="AE255" s="218">
        <v>2.8371093095914072E-2</v>
      </c>
      <c r="AF255" s="218">
        <v>2.8743610205949705E-2</v>
      </c>
      <c r="AG255" s="218">
        <v>2.9111452516137372E-2</v>
      </c>
      <c r="AH255" s="218">
        <v>2.9473374926629652E-2</v>
      </c>
      <c r="AI255" s="218">
        <v>2.9829199316550762E-2</v>
      </c>
      <c r="AJ255" s="218">
        <v>3.0180263338752202E-2</v>
      </c>
      <c r="AK255" s="218">
        <v>3.0524887068895657E-2</v>
      </c>
      <c r="AL255" s="218">
        <v>3.09237502788802E-2</v>
      </c>
      <c r="AM255" s="218">
        <v>3.1294447496116297E-2</v>
      </c>
      <c r="AN255" s="218">
        <v>3.1665144713352397E-2</v>
      </c>
      <c r="AO255" s="218">
        <v>3.2035841930588498E-2</v>
      </c>
      <c r="AP255" s="218">
        <v>3.2406539147824501E-2</v>
      </c>
      <c r="AQ255" s="218">
        <v>3.2777236365060601E-2</v>
      </c>
      <c r="AR255" s="218">
        <v>3.3147933582296701E-2</v>
      </c>
      <c r="AS255" s="218">
        <v>3.3518630799532698E-2</v>
      </c>
      <c r="AT255" s="218">
        <v>3.3889328016768798E-2</v>
      </c>
      <c r="AU255" s="218">
        <v>3.4260025234004898E-2</v>
      </c>
      <c r="AV255" s="218">
        <v>3.4630722451240999E-2</v>
      </c>
      <c r="AW255" s="218">
        <v>3.5001419668477002E-2</v>
      </c>
      <c r="AX255" s="218">
        <v>3.5372116885713102E-2</v>
      </c>
      <c r="AY255" s="218">
        <v>3.5742814102949202E-2</v>
      </c>
      <c r="AZ255" s="218">
        <v>3.6113511320185303E-2</v>
      </c>
      <c r="BA255" s="218">
        <v>3.6484208537421299E-2</v>
      </c>
      <c r="BB255" s="218">
        <v>3.6854905754657399E-2</v>
      </c>
      <c r="BC255" s="218">
        <v>3.72256029718935E-2</v>
      </c>
      <c r="BD255" s="218">
        <v>3.75963001891296E-2</v>
      </c>
      <c r="BE255" s="218">
        <v>3.7966997406365603E-2</v>
      </c>
      <c r="BF255" s="3"/>
      <c r="BG255" s="3"/>
      <c r="BH255" s="3"/>
    </row>
    <row r="256" spans="1:60" ht="14.25" customHeight="1" x14ac:dyDescent="0.45">
      <c r="A256" s="618"/>
      <c r="B256" s="215"/>
      <c r="C256" s="220" t="s">
        <v>228</v>
      </c>
      <c r="D256" s="221" t="s">
        <v>229</v>
      </c>
      <c r="E256" s="359">
        <f>Electricidad!E301</f>
        <v>3.6891603332663031E-2</v>
      </c>
      <c r="F256" s="359">
        <f>Electricidad!F301</f>
        <v>4.1414864105426177E-2</v>
      </c>
      <c r="G256" s="359">
        <f>Electricidad!G301</f>
        <v>5.5439760750822027E-2</v>
      </c>
      <c r="H256" s="359">
        <f>Electricidad!H301</f>
        <v>5.4865561172907536E-2</v>
      </c>
      <c r="I256" s="218">
        <v>5.0651982889064348E-2</v>
      </c>
      <c r="J256" s="218">
        <v>5.1494961167986096E-2</v>
      </c>
      <c r="K256" s="218">
        <v>5.2352268751992566E-2</v>
      </c>
      <c r="L256" s="218">
        <v>5.3212729131974765E-2</v>
      </c>
      <c r="M256" s="218">
        <v>5.408565679230911E-2</v>
      </c>
      <c r="N256" s="218">
        <v>5.496475922318516E-2</v>
      </c>
      <c r="O256" s="218">
        <v>5.585515154172533E-2</v>
      </c>
      <c r="P256" s="218">
        <v>5.6752220112878012E-2</v>
      </c>
      <c r="Q256" s="218">
        <v>5.7662479842850292E-2</v>
      </c>
      <c r="R256" s="218">
        <v>5.8575451936718731E-2</v>
      </c>
      <c r="S256" s="218">
        <v>5.9495091561772337E-2</v>
      </c>
      <c r="T256" s="218">
        <v>6.0423744781959908E-2</v>
      </c>
      <c r="U256" s="218">
        <v>6.1358311129869565E-2</v>
      </c>
      <c r="V256" s="218">
        <v>6.2296762873649734E-2</v>
      </c>
      <c r="W256" s="218">
        <v>6.3240403866684586E-2</v>
      </c>
      <c r="X256" s="218">
        <v>6.4185719373764619E-2</v>
      </c>
      <c r="Y256" s="218">
        <v>6.5135500251631867E-2</v>
      </c>
      <c r="Z256" s="218">
        <v>6.6090679693009413E-2</v>
      </c>
      <c r="AA256" s="218">
        <v>6.7043979666799758E-2</v>
      </c>
      <c r="AB256" s="218">
        <v>6.8002294461298421E-2</v>
      </c>
      <c r="AC256" s="218">
        <v>6.895411615315826E-2</v>
      </c>
      <c r="AD256" s="218">
        <v>6.9905990173581983E-2</v>
      </c>
      <c r="AE256" s="218">
        <v>7.0846596109909898E-2</v>
      </c>
      <c r="AF256" s="218">
        <v>7.1776823547728505E-2</v>
      </c>
      <c r="AG256" s="218">
        <v>7.2695377355080915E-2</v>
      </c>
      <c r="AH256" s="218">
        <v>7.3599148343128085E-2</v>
      </c>
      <c r="AI256" s="218">
        <v>7.4487691719076696E-2</v>
      </c>
      <c r="AJ256" s="218">
        <v>7.5364347789589795E-2</v>
      </c>
      <c r="AK256" s="218">
        <v>7.6224921548127142E-2</v>
      </c>
      <c r="AL256" s="218">
        <v>7.7220938890333296E-2</v>
      </c>
      <c r="AM256" s="218">
        <v>7.8146621800745206E-2</v>
      </c>
      <c r="AN256" s="218">
        <v>7.9072304711157004E-2</v>
      </c>
      <c r="AO256" s="218">
        <v>7.99979876215689E-2</v>
      </c>
      <c r="AP256" s="218">
        <v>8.0923670531980796E-2</v>
      </c>
      <c r="AQ256" s="218">
        <v>8.1849353442392594E-2</v>
      </c>
      <c r="AR256" s="218">
        <v>8.2775036352804504E-2</v>
      </c>
      <c r="AS256" s="218">
        <v>8.3700719263216303E-2</v>
      </c>
      <c r="AT256" s="218">
        <v>8.4626402173628198E-2</v>
      </c>
      <c r="AU256" s="218">
        <v>8.5552085084040094E-2</v>
      </c>
      <c r="AV256" s="218">
        <v>8.6477767994451907E-2</v>
      </c>
      <c r="AW256" s="218">
        <v>8.7403450904863803E-2</v>
      </c>
      <c r="AX256" s="218">
        <v>8.8329133815275698E-2</v>
      </c>
      <c r="AY256" s="218">
        <v>8.9254816725687497E-2</v>
      </c>
      <c r="AZ256" s="218">
        <v>9.0180499636099407E-2</v>
      </c>
      <c r="BA256" s="218">
        <v>9.1106182546511205E-2</v>
      </c>
      <c r="BB256" s="218">
        <v>9.2031865456923101E-2</v>
      </c>
      <c r="BC256" s="218">
        <v>9.2957548367334997E-2</v>
      </c>
      <c r="BD256" s="218">
        <v>9.3883231277746795E-2</v>
      </c>
      <c r="BE256" s="218">
        <v>9.4808914188158705E-2</v>
      </c>
      <c r="BF256" s="3"/>
      <c r="BG256" s="3"/>
      <c r="BH256" s="3"/>
    </row>
    <row r="257" spans="1:60" ht="14.25" customHeight="1" x14ac:dyDescent="0.45">
      <c r="A257" s="618"/>
      <c r="B257" s="215"/>
      <c r="C257" s="220"/>
      <c r="D257" s="247" t="s">
        <v>230</v>
      </c>
      <c r="E257" s="380">
        <f>Electricidad!E302</f>
        <v>0</v>
      </c>
      <c r="F257" s="380">
        <f>Electricidad!F302</f>
        <v>0</v>
      </c>
      <c r="G257" s="380">
        <f>Electricidad!G302</f>
        <v>0</v>
      </c>
      <c r="H257" s="380">
        <f>Electricidad!H302</f>
        <v>0</v>
      </c>
      <c r="I257" s="248"/>
      <c r="J257" s="248"/>
      <c r="K257" s="248"/>
      <c r="L257" s="248"/>
      <c r="M257" s="248"/>
      <c r="N257" s="248"/>
      <c r="O257" s="248"/>
      <c r="P257" s="248"/>
      <c r="Q257" s="248"/>
      <c r="R257" s="248"/>
      <c r="S257" s="248"/>
      <c r="T257" s="248"/>
      <c r="U257" s="248"/>
      <c r="V257" s="248"/>
      <c r="W257" s="248"/>
      <c r="X257" s="248"/>
      <c r="Y257" s="248"/>
      <c r="Z257" s="248"/>
      <c r="AA257" s="248"/>
      <c r="AB257" s="248"/>
      <c r="AC257" s="248"/>
      <c r="AD257" s="248"/>
      <c r="AE257" s="248"/>
      <c r="AF257" s="248"/>
      <c r="AG257" s="248"/>
      <c r="AH257" s="248"/>
      <c r="AI257" s="248"/>
      <c r="AJ257" s="248"/>
      <c r="AK257" s="248"/>
      <c r="AL257" s="218">
        <f t="shared" ref="AL257:BE257" si="168">AK257</f>
        <v>0</v>
      </c>
      <c r="AM257" s="218">
        <f t="shared" si="168"/>
        <v>0</v>
      </c>
      <c r="AN257" s="218">
        <f t="shared" si="168"/>
        <v>0</v>
      </c>
      <c r="AO257" s="218">
        <f t="shared" si="168"/>
        <v>0</v>
      </c>
      <c r="AP257" s="218">
        <f t="shared" si="168"/>
        <v>0</v>
      </c>
      <c r="AQ257" s="218">
        <f t="shared" si="168"/>
        <v>0</v>
      </c>
      <c r="AR257" s="218">
        <f t="shared" si="168"/>
        <v>0</v>
      </c>
      <c r="AS257" s="218">
        <f t="shared" si="168"/>
        <v>0</v>
      </c>
      <c r="AT257" s="218">
        <f t="shared" si="168"/>
        <v>0</v>
      </c>
      <c r="AU257" s="218">
        <f t="shared" si="168"/>
        <v>0</v>
      </c>
      <c r="AV257" s="218">
        <f t="shared" si="168"/>
        <v>0</v>
      </c>
      <c r="AW257" s="218">
        <f t="shared" si="168"/>
        <v>0</v>
      </c>
      <c r="AX257" s="218">
        <f t="shared" si="168"/>
        <v>0</v>
      </c>
      <c r="AY257" s="218">
        <f t="shared" si="168"/>
        <v>0</v>
      </c>
      <c r="AZ257" s="218">
        <f t="shared" si="168"/>
        <v>0</v>
      </c>
      <c r="BA257" s="218">
        <f t="shared" si="168"/>
        <v>0</v>
      </c>
      <c r="BB257" s="218">
        <f t="shared" si="168"/>
        <v>0</v>
      </c>
      <c r="BC257" s="218">
        <f t="shared" si="168"/>
        <v>0</v>
      </c>
      <c r="BD257" s="218">
        <f t="shared" si="168"/>
        <v>0</v>
      </c>
      <c r="BE257" s="218">
        <f t="shared" si="168"/>
        <v>0</v>
      </c>
      <c r="BF257" s="3"/>
      <c r="BG257" s="3"/>
      <c r="BH257" s="3"/>
    </row>
    <row r="258" spans="1:60" ht="14.25" customHeight="1" x14ac:dyDescent="0.45">
      <c r="A258" s="618"/>
      <c r="B258" s="215"/>
      <c r="C258" s="220" t="s">
        <v>231</v>
      </c>
      <c r="D258" s="221" t="s">
        <v>227</v>
      </c>
      <c r="E258" s="381">
        <f>Electricidad!E303</f>
        <v>4.9648835684336003E-3</v>
      </c>
      <c r="F258" s="381">
        <f>Electricidad!F303</f>
        <v>1.5466475773682566E-2</v>
      </c>
      <c r="G258" s="381">
        <f>Electricidad!G303</f>
        <v>4.2503720635851124E-4</v>
      </c>
      <c r="H258" s="381">
        <f>Electricidad!H303</f>
        <v>8.6506620244866227E-4</v>
      </c>
      <c r="I258" s="218">
        <v>4.2503720635851124E-4</v>
      </c>
      <c r="J258" s="218">
        <v>4.2503720635851124E-4</v>
      </c>
      <c r="K258" s="218">
        <v>4.2503720635851124E-4</v>
      </c>
      <c r="L258" s="218">
        <v>4.2503720635851124E-4</v>
      </c>
      <c r="M258" s="218">
        <v>4.2503720635851124E-4</v>
      </c>
      <c r="N258" s="218">
        <v>4.2503720635851124E-4</v>
      </c>
      <c r="O258" s="218">
        <v>4.2503720635851124E-4</v>
      </c>
      <c r="P258" s="218">
        <v>4.2503720635851124E-4</v>
      </c>
      <c r="Q258" s="218">
        <v>4.2503720635851124E-4</v>
      </c>
      <c r="R258" s="218">
        <v>4.2503720635851124E-4</v>
      </c>
      <c r="S258" s="218">
        <v>4.2503720635851124E-4</v>
      </c>
      <c r="T258" s="218">
        <v>4.2503720635851124E-4</v>
      </c>
      <c r="U258" s="218">
        <v>4.2503720635851124E-4</v>
      </c>
      <c r="V258" s="218">
        <v>4.2503720635851124E-4</v>
      </c>
      <c r="W258" s="218">
        <v>4.2503720635851124E-4</v>
      </c>
      <c r="X258" s="218">
        <v>4.2503720635851124E-4</v>
      </c>
      <c r="Y258" s="218">
        <v>4.2503720635851124E-4</v>
      </c>
      <c r="Z258" s="218">
        <v>4.2503720635851124E-4</v>
      </c>
      <c r="AA258" s="218">
        <v>4.2503720635851124E-4</v>
      </c>
      <c r="AB258" s="218">
        <v>4.2503720635851124E-4</v>
      </c>
      <c r="AC258" s="218">
        <v>4.2503720635851124E-4</v>
      </c>
      <c r="AD258" s="218">
        <v>4.2503720635851124E-4</v>
      </c>
      <c r="AE258" s="218">
        <v>4.2503720635851124E-4</v>
      </c>
      <c r="AF258" s="218">
        <v>4.2503720635851124E-4</v>
      </c>
      <c r="AG258" s="218">
        <v>4.2503720635851124E-4</v>
      </c>
      <c r="AH258" s="218">
        <v>4.2503720635851124E-4</v>
      </c>
      <c r="AI258" s="218">
        <v>4.2503720635851124E-4</v>
      </c>
      <c r="AJ258" s="218">
        <v>4.2503720635851124E-4</v>
      </c>
      <c r="AK258" s="218">
        <v>4.2503720635851124E-4</v>
      </c>
      <c r="AL258" s="218">
        <f t="shared" ref="AL258:BE258" si="169">AK258</f>
        <v>4.2503720635851124E-4</v>
      </c>
      <c r="AM258" s="218">
        <f t="shared" si="169"/>
        <v>4.2503720635851124E-4</v>
      </c>
      <c r="AN258" s="218">
        <f t="shared" si="169"/>
        <v>4.2503720635851124E-4</v>
      </c>
      <c r="AO258" s="218">
        <f t="shared" si="169"/>
        <v>4.2503720635851124E-4</v>
      </c>
      <c r="AP258" s="218">
        <f t="shared" si="169"/>
        <v>4.2503720635851124E-4</v>
      </c>
      <c r="AQ258" s="218">
        <f t="shared" si="169"/>
        <v>4.2503720635851124E-4</v>
      </c>
      <c r="AR258" s="218">
        <f t="shared" si="169"/>
        <v>4.2503720635851124E-4</v>
      </c>
      <c r="AS258" s="218">
        <f t="shared" si="169"/>
        <v>4.2503720635851124E-4</v>
      </c>
      <c r="AT258" s="218">
        <f t="shared" si="169"/>
        <v>4.2503720635851124E-4</v>
      </c>
      <c r="AU258" s="218">
        <f t="shared" si="169"/>
        <v>4.2503720635851124E-4</v>
      </c>
      <c r="AV258" s="218">
        <f t="shared" si="169"/>
        <v>4.2503720635851124E-4</v>
      </c>
      <c r="AW258" s="218">
        <f t="shared" si="169"/>
        <v>4.2503720635851124E-4</v>
      </c>
      <c r="AX258" s="218">
        <f t="shared" si="169"/>
        <v>4.2503720635851124E-4</v>
      </c>
      <c r="AY258" s="218">
        <f t="shared" si="169"/>
        <v>4.2503720635851124E-4</v>
      </c>
      <c r="AZ258" s="218">
        <f t="shared" si="169"/>
        <v>4.2503720635851124E-4</v>
      </c>
      <c r="BA258" s="218">
        <f t="shared" si="169"/>
        <v>4.2503720635851124E-4</v>
      </c>
      <c r="BB258" s="218">
        <f t="shared" si="169"/>
        <v>4.2503720635851124E-4</v>
      </c>
      <c r="BC258" s="218">
        <f t="shared" si="169"/>
        <v>4.2503720635851124E-4</v>
      </c>
      <c r="BD258" s="218">
        <f t="shared" si="169"/>
        <v>4.2503720635851124E-4</v>
      </c>
      <c r="BE258" s="218">
        <f t="shared" si="169"/>
        <v>4.2503720635851124E-4</v>
      </c>
    </row>
    <row r="259" spans="1:60" ht="14.25" customHeight="1" x14ac:dyDescent="0.45">
      <c r="A259" s="618"/>
      <c r="B259" s="215"/>
      <c r="C259" s="220" t="s">
        <v>232</v>
      </c>
      <c r="D259" s="221" t="s">
        <v>229</v>
      </c>
      <c r="E259" s="381">
        <f>Electricidad!E304</f>
        <v>0</v>
      </c>
      <c r="F259" s="381">
        <f>Electricidad!F304</f>
        <v>0</v>
      </c>
      <c r="G259" s="381">
        <f>Electricidad!G304</f>
        <v>0</v>
      </c>
      <c r="H259" s="381">
        <f>Electricidad!H304</f>
        <v>0</v>
      </c>
      <c r="I259" s="218">
        <v>0</v>
      </c>
      <c r="J259" s="218">
        <v>0</v>
      </c>
      <c r="K259" s="218">
        <v>0</v>
      </c>
      <c r="L259" s="218">
        <v>0</v>
      </c>
      <c r="M259" s="218">
        <v>0</v>
      </c>
      <c r="N259" s="218">
        <v>0</v>
      </c>
      <c r="O259" s="218">
        <v>0</v>
      </c>
      <c r="P259" s="218">
        <v>0</v>
      </c>
      <c r="Q259" s="218">
        <v>0</v>
      </c>
      <c r="R259" s="218">
        <v>0</v>
      </c>
      <c r="S259" s="218">
        <v>0</v>
      </c>
      <c r="T259" s="218">
        <v>0</v>
      </c>
      <c r="U259" s="218">
        <v>0</v>
      </c>
      <c r="V259" s="218">
        <v>0</v>
      </c>
      <c r="W259" s="218">
        <v>0</v>
      </c>
      <c r="X259" s="218">
        <v>0</v>
      </c>
      <c r="Y259" s="218">
        <v>0</v>
      </c>
      <c r="Z259" s="218">
        <v>0</v>
      </c>
      <c r="AA259" s="218">
        <v>0</v>
      </c>
      <c r="AB259" s="218">
        <v>0</v>
      </c>
      <c r="AC259" s="218">
        <v>0</v>
      </c>
      <c r="AD259" s="218">
        <v>0</v>
      </c>
      <c r="AE259" s="218">
        <v>0</v>
      </c>
      <c r="AF259" s="218">
        <v>0</v>
      </c>
      <c r="AG259" s="218">
        <v>0</v>
      </c>
      <c r="AH259" s="218">
        <v>0</v>
      </c>
      <c r="AI259" s="218">
        <v>0</v>
      </c>
      <c r="AJ259" s="218">
        <v>0</v>
      </c>
      <c r="AK259" s="218">
        <v>0</v>
      </c>
      <c r="AL259" s="218">
        <f t="shared" ref="AL259:BE259" si="170">AK259</f>
        <v>0</v>
      </c>
      <c r="AM259" s="218">
        <f t="shared" si="170"/>
        <v>0</v>
      </c>
      <c r="AN259" s="218">
        <f t="shared" si="170"/>
        <v>0</v>
      </c>
      <c r="AO259" s="218">
        <f t="shared" si="170"/>
        <v>0</v>
      </c>
      <c r="AP259" s="218">
        <f t="shared" si="170"/>
        <v>0</v>
      </c>
      <c r="AQ259" s="218">
        <f t="shared" si="170"/>
        <v>0</v>
      </c>
      <c r="AR259" s="218">
        <f t="shared" si="170"/>
        <v>0</v>
      </c>
      <c r="AS259" s="218">
        <f t="shared" si="170"/>
        <v>0</v>
      </c>
      <c r="AT259" s="218">
        <f t="shared" si="170"/>
        <v>0</v>
      </c>
      <c r="AU259" s="218">
        <f t="shared" si="170"/>
        <v>0</v>
      </c>
      <c r="AV259" s="218">
        <f t="shared" si="170"/>
        <v>0</v>
      </c>
      <c r="AW259" s="218">
        <f t="shared" si="170"/>
        <v>0</v>
      </c>
      <c r="AX259" s="218">
        <f t="shared" si="170"/>
        <v>0</v>
      </c>
      <c r="AY259" s="218">
        <f t="shared" si="170"/>
        <v>0</v>
      </c>
      <c r="AZ259" s="218">
        <f t="shared" si="170"/>
        <v>0</v>
      </c>
      <c r="BA259" s="218">
        <f t="shared" si="170"/>
        <v>0</v>
      </c>
      <c r="BB259" s="218">
        <f t="shared" si="170"/>
        <v>0</v>
      </c>
      <c r="BC259" s="218">
        <f t="shared" si="170"/>
        <v>0</v>
      </c>
      <c r="BD259" s="218">
        <f t="shared" si="170"/>
        <v>0</v>
      </c>
      <c r="BE259" s="218">
        <f t="shared" si="170"/>
        <v>0</v>
      </c>
    </row>
    <row r="260" spans="1:60" ht="14.25" customHeight="1" x14ac:dyDescent="0.45">
      <c r="A260" s="618"/>
      <c r="B260" s="215"/>
      <c r="C260" s="220"/>
      <c r="D260" s="224" t="s">
        <v>178</v>
      </c>
      <c r="E260" s="369">
        <f>Electricidad!E305</f>
        <v>1.1911906958021409E-2</v>
      </c>
      <c r="F260" s="369">
        <f>Electricidad!F305</f>
        <v>1.6161199699091643E-2</v>
      </c>
      <c r="G260" s="369">
        <f>Electricidad!G305</f>
        <v>1.4207230195575722E-2</v>
      </c>
      <c r="H260" s="369">
        <f>Electricidad!H305</f>
        <v>1.2320633946218941E-2</v>
      </c>
      <c r="I260" s="244">
        <f t="shared" ref="I260:AK260" si="171">SUM(I261:I262)</f>
        <v>1.3936134683187214E-2</v>
      </c>
      <c r="J260" s="244">
        <f t="shared" si="171"/>
        <v>1.4188844463071797E-2</v>
      </c>
      <c r="K260" s="244">
        <f t="shared" si="171"/>
        <v>1.4444784969302224E-2</v>
      </c>
      <c r="L260" s="244">
        <f t="shared" si="171"/>
        <v>1.470143631398306E-2</v>
      </c>
      <c r="M260" s="244">
        <f t="shared" si="171"/>
        <v>1.4960898567557003E-2</v>
      </c>
      <c r="N260" s="244">
        <f t="shared" si="171"/>
        <v>1.5221753002660378E-2</v>
      </c>
      <c r="O260" s="244">
        <f t="shared" si="171"/>
        <v>1.5485152888314386E-2</v>
      </c>
      <c r="P260" s="244">
        <f t="shared" si="171"/>
        <v>1.5750058021088139E-2</v>
      </c>
      <c r="Q260" s="244">
        <f t="shared" si="171"/>
        <v>1.6017937270476668E-2</v>
      </c>
      <c r="R260" s="244">
        <f t="shared" si="171"/>
        <v>1.6247614437563368E-2</v>
      </c>
      <c r="S260" s="244">
        <f t="shared" si="171"/>
        <v>1.6478794885411718E-2</v>
      </c>
      <c r="T260" s="244">
        <f t="shared" si="171"/>
        <v>1.6712007564348579E-2</v>
      </c>
      <c r="U260" s="244">
        <f t="shared" si="171"/>
        <v>1.6946553434072101E-2</v>
      </c>
      <c r="V260" s="244">
        <f t="shared" si="171"/>
        <v>1.7181975316325791E-2</v>
      </c>
      <c r="W260" s="244">
        <f t="shared" si="171"/>
        <v>1.7418567181644473E-2</v>
      </c>
      <c r="X260" s="244">
        <f t="shared" si="171"/>
        <v>1.7655536587716895E-2</v>
      </c>
      <c r="Y260" s="244">
        <f t="shared" si="171"/>
        <v>1.789351276913264E-2</v>
      </c>
      <c r="Z260" s="244">
        <f t="shared" si="171"/>
        <v>1.8132706126207584E-2</v>
      </c>
      <c r="AA260" s="244">
        <f t="shared" si="171"/>
        <v>1.8371475733113617E-2</v>
      </c>
      <c r="AB260" s="244">
        <f t="shared" si="171"/>
        <v>1.8590795731907826E-2</v>
      </c>
      <c r="AC260" s="244">
        <f t="shared" si="171"/>
        <v>1.8808651777102239E-2</v>
      </c>
      <c r="AD260" s="244">
        <f t="shared" si="171"/>
        <v>1.9026519620445204E-2</v>
      </c>
      <c r="AE260" s="244">
        <f t="shared" si="171"/>
        <v>1.9241846929132767E-2</v>
      </c>
      <c r="AF260" s="244">
        <f t="shared" si="171"/>
        <v>1.9454834271690362E-2</v>
      </c>
      <c r="AG260" s="244">
        <f t="shared" si="171"/>
        <v>1.966518964394124E-2</v>
      </c>
      <c r="AH260" s="244">
        <f t="shared" si="171"/>
        <v>1.9872212039225491E-2</v>
      </c>
      <c r="AI260" s="244">
        <f t="shared" si="171"/>
        <v>2.007580117328038E-2</v>
      </c>
      <c r="AJ260" s="244">
        <f t="shared" si="171"/>
        <v>2.0276710161255297E-2</v>
      </c>
      <c r="AK260" s="244">
        <f t="shared" si="171"/>
        <v>2.0473993184907804E-2</v>
      </c>
      <c r="AL260" s="218">
        <f t="shared" ref="AL260:BE260" si="172">AK260</f>
        <v>2.0473993184907804E-2</v>
      </c>
      <c r="AM260" s="218">
        <f t="shared" si="172"/>
        <v>2.0473993184907804E-2</v>
      </c>
      <c r="AN260" s="218">
        <f t="shared" si="172"/>
        <v>2.0473993184907804E-2</v>
      </c>
      <c r="AO260" s="218">
        <f t="shared" si="172"/>
        <v>2.0473993184907804E-2</v>
      </c>
      <c r="AP260" s="218">
        <f t="shared" si="172"/>
        <v>2.0473993184907804E-2</v>
      </c>
      <c r="AQ260" s="218">
        <f t="shared" si="172"/>
        <v>2.0473993184907804E-2</v>
      </c>
      <c r="AR260" s="218">
        <f t="shared" si="172"/>
        <v>2.0473993184907804E-2</v>
      </c>
      <c r="AS260" s="218">
        <f t="shared" si="172"/>
        <v>2.0473993184907804E-2</v>
      </c>
      <c r="AT260" s="218">
        <f t="shared" si="172"/>
        <v>2.0473993184907804E-2</v>
      </c>
      <c r="AU260" s="218">
        <f t="shared" si="172"/>
        <v>2.0473993184907804E-2</v>
      </c>
      <c r="AV260" s="218">
        <f t="shared" si="172"/>
        <v>2.0473993184907804E-2</v>
      </c>
      <c r="AW260" s="218">
        <f t="shared" si="172"/>
        <v>2.0473993184907804E-2</v>
      </c>
      <c r="AX260" s="218">
        <f t="shared" si="172"/>
        <v>2.0473993184907804E-2</v>
      </c>
      <c r="AY260" s="218">
        <f t="shared" si="172"/>
        <v>2.0473993184907804E-2</v>
      </c>
      <c r="AZ260" s="218">
        <f t="shared" si="172"/>
        <v>2.0473993184907804E-2</v>
      </c>
      <c r="BA260" s="218">
        <f t="shared" si="172"/>
        <v>2.0473993184907804E-2</v>
      </c>
      <c r="BB260" s="218">
        <f t="shared" si="172"/>
        <v>2.0473993184907804E-2</v>
      </c>
      <c r="BC260" s="218">
        <f t="shared" si="172"/>
        <v>2.0473993184907804E-2</v>
      </c>
      <c r="BD260" s="218">
        <f t="shared" si="172"/>
        <v>2.0473993184907804E-2</v>
      </c>
      <c r="BE260" s="218">
        <f t="shared" si="172"/>
        <v>2.0473993184907804E-2</v>
      </c>
    </row>
    <row r="261" spans="1:60" ht="14.25" customHeight="1" x14ac:dyDescent="0.45">
      <c r="A261" s="618"/>
      <c r="B261" s="215"/>
      <c r="C261" s="220" t="s">
        <v>233</v>
      </c>
      <c r="D261" s="247" t="s">
        <v>223</v>
      </c>
      <c r="E261" s="382">
        <f>Electricidad!E306</f>
        <v>2.7137765765720759E-3</v>
      </c>
      <c r="F261" s="382">
        <f>Electricidad!F306</f>
        <v>2.608542631371581E-3</v>
      </c>
      <c r="G261" s="382">
        <f>Electricidad!G306</f>
        <v>2.6616093216863604E-3</v>
      </c>
      <c r="H261" s="382">
        <f>Electricidad!H306</f>
        <v>2.6574755164543822E-3</v>
      </c>
      <c r="I261" s="248">
        <v>2.5159929093013763E-3</v>
      </c>
      <c r="J261" s="248">
        <v>2.5786423814053751E-3</v>
      </c>
      <c r="K261" s="248">
        <v>2.6412918535093739E-3</v>
      </c>
      <c r="L261" s="248">
        <v>2.7039413256133718E-3</v>
      </c>
      <c r="M261" s="248">
        <v>2.7665907977173707E-3</v>
      </c>
      <c r="N261" s="248">
        <v>2.829240269821369E-3</v>
      </c>
      <c r="O261" s="248">
        <v>2.8918897419253674E-3</v>
      </c>
      <c r="P261" s="248">
        <v>2.9545392140293662E-3</v>
      </c>
      <c r="Q261" s="248">
        <v>3.0171886861333633E-3</v>
      </c>
      <c r="R261" s="248">
        <v>3.0410245385687875E-3</v>
      </c>
      <c r="S261" s="248">
        <v>3.0648603910042116E-3</v>
      </c>
      <c r="T261" s="248">
        <v>3.0886962434396345E-3</v>
      </c>
      <c r="U261" s="248">
        <v>3.1125320958750582E-3</v>
      </c>
      <c r="V261" s="248">
        <v>3.1363679483104828E-3</v>
      </c>
      <c r="W261" s="248">
        <v>3.1602038007459061E-3</v>
      </c>
      <c r="X261" s="248">
        <v>3.1840396531813298E-3</v>
      </c>
      <c r="Y261" s="248">
        <v>3.2078755056167535E-3</v>
      </c>
      <c r="Z261" s="248">
        <v>3.2317113580521777E-3</v>
      </c>
      <c r="AA261" s="248">
        <v>3.2555472104875997E-3</v>
      </c>
      <c r="AB261" s="248">
        <v>3.2588027989080676E-3</v>
      </c>
      <c r="AC261" s="248">
        <v>3.2620583873285355E-3</v>
      </c>
      <c r="AD261" s="248">
        <v>3.2653139757490035E-3</v>
      </c>
      <c r="AE261" s="248">
        <v>3.2685695641694705E-3</v>
      </c>
      <c r="AF261" s="248">
        <v>3.2718251525899393E-3</v>
      </c>
      <c r="AG261" s="248">
        <v>3.2750807410104063E-3</v>
      </c>
      <c r="AH261" s="248">
        <v>3.2783363294308743E-3</v>
      </c>
      <c r="AI261" s="248">
        <v>3.2815919178513426E-3</v>
      </c>
      <c r="AJ261" s="248">
        <v>3.2848475062718101E-3</v>
      </c>
      <c r="AK261" s="248">
        <v>3.2881030946922763E-3</v>
      </c>
      <c r="AL261" s="248">
        <v>3.4589807842988901E-3</v>
      </c>
      <c r="AM261" s="248">
        <v>3.4847135138435501E-3</v>
      </c>
      <c r="AN261" s="248">
        <v>3.5104462433882102E-3</v>
      </c>
      <c r="AO261" s="248">
        <v>3.5361789729328702E-3</v>
      </c>
      <c r="AP261" s="248">
        <v>3.5619117024775402E-3</v>
      </c>
      <c r="AQ261" s="248">
        <v>3.5876444320222002E-3</v>
      </c>
      <c r="AR261" s="248">
        <v>3.6133771615668598E-3</v>
      </c>
      <c r="AS261" s="248">
        <v>3.6391098911115198E-3</v>
      </c>
      <c r="AT261" s="248">
        <v>3.6648426206561798E-3</v>
      </c>
      <c r="AU261" s="248">
        <v>3.6905753502008399E-3</v>
      </c>
      <c r="AV261" s="248">
        <v>3.7163080797454999E-3</v>
      </c>
      <c r="AW261" s="248">
        <v>3.7420408092901599E-3</v>
      </c>
      <c r="AX261" s="248">
        <v>3.7677735388348299E-3</v>
      </c>
      <c r="AY261" s="248">
        <v>3.7935062683794899E-3</v>
      </c>
      <c r="AZ261" s="248">
        <v>3.81923899792415E-3</v>
      </c>
      <c r="BA261" s="248">
        <v>3.84497172746881E-3</v>
      </c>
      <c r="BB261" s="248">
        <v>3.87070445701347E-3</v>
      </c>
      <c r="BC261" s="248">
        <v>3.89643718655813E-3</v>
      </c>
      <c r="BD261" s="248">
        <v>3.9221699161028E-3</v>
      </c>
      <c r="BE261" s="248">
        <v>3.9479026456474596E-3</v>
      </c>
    </row>
    <row r="262" spans="1:60" ht="14.25" customHeight="1" x14ac:dyDescent="0.45">
      <c r="A262" s="618"/>
      <c r="B262" s="215"/>
      <c r="C262" s="220" t="s">
        <v>234</v>
      </c>
      <c r="D262" s="247" t="s">
        <v>225</v>
      </c>
      <c r="E262" s="382">
        <f>Electricidad!E307</f>
        <v>9.1981303814493327E-3</v>
      </c>
      <c r="F262" s="382">
        <f>Electricidad!F307</f>
        <v>1.3552657067720063E-2</v>
      </c>
      <c r="G262" s="382">
        <f>Electricidad!G307</f>
        <v>1.1545620873889361E-2</v>
      </c>
      <c r="H262" s="382">
        <f>Electricidad!H307</f>
        <v>9.6631584297645588E-3</v>
      </c>
      <c r="I262" s="248">
        <v>1.1420141773885837E-2</v>
      </c>
      <c r="J262" s="248">
        <v>1.1610202081666422E-2</v>
      </c>
      <c r="K262" s="248">
        <v>1.1803493115792851E-2</v>
      </c>
      <c r="L262" s="248">
        <v>1.1997494988369687E-2</v>
      </c>
      <c r="M262" s="248">
        <v>1.2194307769839633E-2</v>
      </c>
      <c r="N262" s="248">
        <v>1.239251273283901E-2</v>
      </c>
      <c r="O262" s="248">
        <v>1.2593263146389018E-2</v>
      </c>
      <c r="P262" s="248">
        <v>1.2795518807058773E-2</v>
      </c>
      <c r="Q262" s="248">
        <v>1.3000748584343306E-2</v>
      </c>
      <c r="R262" s="248">
        <v>1.3206589898994581E-2</v>
      </c>
      <c r="S262" s="248">
        <v>1.3413934494407505E-2</v>
      </c>
      <c r="T262" s="248">
        <v>1.3623311320908946E-2</v>
      </c>
      <c r="U262" s="248">
        <v>1.3834021338197042E-2</v>
      </c>
      <c r="V262" s="248">
        <v>1.4045607368015309E-2</v>
      </c>
      <c r="W262" s="248">
        <v>1.4258363380898566E-2</v>
      </c>
      <c r="X262" s="248">
        <v>1.4471496934535567E-2</v>
      </c>
      <c r="Y262" s="248">
        <v>1.4685637263515886E-2</v>
      </c>
      <c r="Z262" s="248">
        <v>1.4900994768155408E-2</v>
      </c>
      <c r="AA262" s="248">
        <v>1.5115928522626016E-2</v>
      </c>
      <c r="AB262" s="248">
        <v>1.533199293299976E-2</v>
      </c>
      <c r="AC262" s="248">
        <v>1.5546593389773702E-2</v>
      </c>
      <c r="AD262" s="248">
        <v>1.57612056446962E-2</v>
      </c>
      <c r="AE262" s="248">
        <v>1.5973277364963297E-2</v>
      </c>
      <c r="AF262" s="248">
        <v>1.6183009119100422E-2</v>
      </c>
      <c r="AG262" s="248">
        <v>1.6390108902930835E-2</v>
      </c>
      <c r="AH262" s="248">
        <v>1.6593875709794616E-2</v>
      </c>
      <c r="AI262" s="248">
        <v>1.6794209255429036E-2</v>
      </c>
      <c r="AJ262" s="248">
        <v>1.6991862654983488E-2</v>
      </c>
      <c r="AK262" s="248">
        <v>1.7185890090215528E-2</v>
      </c>
      <c r="AL262" s="248">
        <v>1.7410455025455199E-2</v>
      </c>
      <c r="AM262" s="248">
        <v>1.7619162157369798E-2</v>
      </c>
      <c r="AN262" s="248">
        <v>1.7827869289284499E-2</v>
      </c>
      <c r="AO262" s="248">
        <v>1.8036576421199099E-2</v>
      </c>
      <c r="AP262" s="248">
        <v>1.8245283553113799E-2</v>
      </c>
      <c r="AQ262" s="248">
        <v>1.8453990685028499E-2</v>
      </c>
      <c r="AR262" s="248">
        <v>1.8662697816943099E-2</v>
      </c>
      <c r="AS262" s="248">
        <v>1.8871404948857799E-2</v>
      </c>
      <c r="AT262" s="248">
        <v>1.9080112080772399E-2</v>
      </c>
      <c r="AU262" s="248">
        <v>1.9288819212687099E-2</v>
      </c>
      <c r="AV262" s="248">
        <v>1.9497526344601699E-2</v>
      </c>
      <c r="AW262" s="248">
        <v>1.9706233476516399E-2</v>
      </c>
      <c r="AX262" s="248">
        <v>1.9914940608430999E-2</v>
      </c>
      <c r="AY262" s="248">
        <v>2.0123647740345699E-2</v>
      </c>
      <c r="AZ262" s="248">
        <v>2.0332354872260299E-2</v>
      </c>
      <c r="BA262" s="248">
        <v>2.0541062004174999E-2</v>
      </c>
      <c r="BB262" s="248">
        <v>2.0749769136089599E-2</v>
      </c>
      <c r="BC262" s="248">
        <v>2.0958476268004299E-2</v>
      </c>
      <c r="BD262" s="248">
        <v>2.1167183399919E-2</v>
      </c>
      <c r="BE262" s="248">
        <v>2.13758905318336E-2</v>
      </c>
    </row>
    <row r="263" spans="1:60" ht="14.25" customHeight="1" x14ac:dyDescent="0.45">
      <c r="A263" s="618"/>
      <c r="B263" s="215"/>
      <c r="C263" s="220"/>
      <c r="D263" s="224" t="s">
        <v>179</v>
      </c>
      <c r="E263" s="369">
        <f>Electricidad!E308</f>
        <v>13.819867425169914</v>
      </c>
      <c r="F263" s="369">
        <f>Electricidad!F308</f>
        <v>14.708796505562336</v>
      </c>
      <c r="G263" s="369">
        <f>Electricidad!G308</f>
        <v>14.094719642734757</v>
      </c>
      <c r="H263" s="369">
        <f>Electricidad!H308</f>
        <v>14.423048127097751</v>
      </c>
      <c r="I263" s="244">
        <v>14.094719673844432</v>
      </c>
      <c r="J263" s="244">
        <v>14.094719673844432</v>
      </c>
      <c r="K263" s="244">
        <v>14.094719673844432</v>
      </c>
      <c r="L263" s="244">
        <v>14.094719673844432</v>
      </c>
      <c r="M263" s="244">
        <v>14.094719673844432</v>
      </c>
      <c r="N263" s="244">
        <v>14.094719673844432</v>
      </c>
      <c r="O263" s="244">
        <v>14.094719673844432</v>
      </c>
      <c r="P263" s="244">
        <v>14.094719673844432</v>
      </c>
      <c r="Q263" s="244">
        <v>14.094719673844432</v>
      </c>
      <c r="R263" s="244">
        <v>14.094719673844432</v>
      </c>
      <c r="S263" s="244">
        <v>14.094719673844432</v>
      </c>
      <c r="T263" s="244">
        <v>14.094719673844432</v>
      </c>
      <c r="U263" s="244">
        <v>14.094719673844432</v>
      </c>
      <c r="V263" s="244">
        <v>14.094719673844432</v>
      </c>
      <c r="W263" s="244">
        <v>14.094719673844432</v>
      </c>
      <c r="X263" s="244">
        <v>14.094719673844432</v>
      </c>
      <c r="Y263" s="244">
        <v>14.094719673844432</v>
      </c>
      <c r="Z263" s="244">
        <v>14.094719673844432</v>
      </c>
      <c r="AA263" s="244">
        <v>14.094719673844432</v>
      </c>
      <c r="AB263" s="244">
        <v>14.094719673844432</v>
      </c>
      <c r="AC263" s="244">
        <v>14.094719673844432</v>
      </c>
      <c r="AD263" s="244">
        <v>14.094719673844432</v>
      </c>
      <c r="AE263" s="244">
        <v>14.094719673844432</v>
      </c>
      <c r="AF263" s="244">
        <v>14.094719673844432</v>
      </c>
      <c r="AG263" s="244">
        <v>14.094719673844432</v>
      </c>
      <c r="AH263" s="244">
        <v>14.094719673844432</v>
      </c>
      <c r="AI263" s="244">
        <v>14.094719673844432</v>
      </c>
      <c r="AJ263" s="244">
        <v>14.094719673844432</v>
      </c>
      <c r="AK263" s="244">
        <v>14.094719673844432</v>
      </c>
      <c r="AL263" s="218">
        <f t="shared" ref="AL263:BE263" si="173">AK263</f>
        <v>14.094719673844432</v>
      </c>
      <c r="AM263" s="218">
        <f t="shared" si="173"/>
        <v>14.094719673844432</v>
      </c>
      <c r="AN263" s="218">
        <f t="shared" si="173"/>
        <v>14.094719673844432</v>
      </c>
      <c r="AO263" s="218">
        <f t="shared" si="173"/>
        <v>14.094719673844432</v>
      </c>
      <c r="AP263" s="218">
        <f t="shared" si="173"/>
        <v>14.094719673844432</v>
      </c>
      <c r="AQ263" s="218">
        <f t="shared" si="173"/>
        <v>14.094719673844432</v>
      </c>
      <c r="AR263" s="218">
        <f t="shared" si="173"/>
        <v>14.094719673844432</v>
      </c>
      <c r="AS263" s="218">
        <f t="shared" si="173"/>
        <v>14.094719673844432</v>
      </c>
      <c r="AT263" s="218">
        <f t="shared" si="173"/>
        <v>14.094719673844432</v>
      </c>
      <c r="AU263" s="218">
        <f t="shared" si="173"/>
        <v>14.094719673844432</v>
      </c>
      <c r="AV263" s="218">
        <f t="shared" si="173"/>
        <v>14.094719673844432</v>
      </c>
      <c r="AW263" s="218">
        <f t="shared" si="173"/>
        <v>14.094719673844432</v>
      </c>
      <c r="AX263" s="218">
        <f t="shared" si="173"/>
        <v>14.094719673844432</v>
      </c>
      <c r="AY263" s="218">
        <f t="shared" si="173"/>
        <v>14.094719673844432</v>
      </c>
      <c r="AZ263" s="218">
        <f t="shared" si="173"/>
        <v>14.094719673844432</v>
      </c>
      <c r="BA263" s="218">
        <f t="shared" si="173"/>
        <v>14.094719673844432</v>
      </c>
      <c r="BB263" s="218">
        <f t="shared" si="173"/>
        <v>14.094719673844432</v>
      </c>
      <c r="BC263" s="218">
        <f t="shared" si="173"/>
        <v>14.094719673844432</v>
      </c>
      <c r="BD263" s="218">
        <f t="shared" si="173"/>
        <v>14.094719673844432</v>
      </c>
      <c r="BE263" s="218">
        <f t="shared" si="173"/>
        <v>14.094719673844432</v>
      </c>
    </row>
    <row r="264" spans="1:60" ht="14.25" customHeight="1" x14ac:dyDescent="0.45">
      <c r="A264" s="618"/>
      <c r="B264" s="215"/>
      <c r="C264" s="220"/>
      <c r="D264" s="228" t="s">
        <v>180</v>
      </c>
      <c r="E264" s="370">
        <f>Electricidad!E309</f>
        <v>12.56787201616967</v>
      </c>
      <c r="F264" s="370">
        <f>Electricidad!F309</f>
        <v>13.5425032617628</v>
      </c>
      <c r="G264" s="370">
        <f>Electricidad!G309</f>
        <v>13.092180962536633</v>
      </c>
      <c r="H264" s="370">
        <f>Electricidad!H309</f>
        <v>13.180736524103695</v>
      </c>
      <c r="I264" s="230">
        <f t="shared" ref="I264:AK264" si="174">I266+I268+I270+I271+I272+I273</f>
        <v>12.989843564054119</v>
      </c>
      <c r="J264" s="230">
        <f t="shared" si="174"/>
        <v>12.994281033762396</v>
      </c>
      <c r="K264" s="230">
        <f t="shared" si="174"/>
        <v>12.998718503470675</v>
      </c>
      <c r="L264" s="230">
        <f t="shared" si="174"/>
        <v>13.003298825434124</v>
      </c>
      <c r="M264" s="230">
        <f t="shared" si="174"/>
        <v>13.015015275037614</v>
      </c>
      <c r="N264" s="230">
        <f t="shared" si="174"/>
        <v>13.02678321347881</v>
      </c>
      <c r="O264" s="230">
        <f t="shared" si="174"/>
        <v>13.038645293587249</v>
      </c>
      <c r="P264" s="230">
        <f t="shared" si="174"/>
        <v>13.050563044183347</v>
      </c>
      <c r="Q264" s="230">
        <f t="shared" si="174"/>
        <v>13.062590790354342</v>
      </c>
      <c r="R264" s="230">
        <f t="shared" si="174"/>
        <v>13.071891980408191</v>
      </c>
      <c r="S264" s="230">
        <f t="shared" si="174"/>
        <v>13.081248768225352</v>
      </c>
      <c r="T264" s="230">
        <f t="shared" si="174"/>
        <v>13.09068071665518</v>
      </c>
      <c r="U264" s="230">
        <f t="shared" si="174"/>
        <v>13.100161972192298</v>
      </c>
      <c r="V264" s="230">
        <f t="shared" si="174"/>
        <v>13.109675626426025</v>
      </c>
      <c r="W264" s="230">
        <f t="shared" si="174"/>
        <v>13.11923255164624</v>
      </c>
      <c r="X264" s="230">
        <f t="shared" si="174"/>
        <v>13.128803439941086</v>
      </c>
      <c r="Y264" s="230">
        <f t="shared" si="174"/>
        <v>13.138411563101618</v>
      </c>
      <c r="Z264" s="230">
        <f t="shared" si="174"/>
        <v>13.148064702632967</v>
      </c>
      <c r="AA264" s="230">
        <f t="shared" si="174"/>
        <v>13.157702170067529</v>
      </c>
      <c r="AB264" s="230">
        <f t="shared" si="174"/>
        <v>13.165923751405147</v>
      </c>
      <c r="AC264" s="230">
        <f t="shared" si="174"/>
        <v>13.174091189466395</v>
      </c>
      <c r="AD264" s="230">
        <f t="shared" si="174"/>
        <v>13.182259063873726</v>
      </c>
      <c r="AE264" s="230">
        <f t="shared" si="174"/>
        <v>13.19033297842468</v>
      </c>
      <c r="AF264" s="230">
        <f t="shared" si="174"/>
        <v>13.198320351002659</v>
      </c>
      <c r="AG264" s="230">
        <f t="shared" si="174"/>
        <v>13.206210382042125</v>
      </c>
      <c r="AH264" s="230">
        <f t="shared" si="174"/>
        <v>13.213977145313356</v>
      </c>
      <c r="AI264" s="230">
        <f t="shared" si="174"/>
        <v>13.221616931874657</v>
      </c>
      <c r="AJ264" s="230">
        <f t="shared" si="174"/>
        <v>13.229157595150943</v>
      </c>
      <c r="AK264" s="230">
        <f t="shared" si="174"/>
        <v>13.236564154731287</v>
      </c>
      <c r="AL264" s="218">
        <f t="shared" ref="AL264:BE264" si="175">AK264</f>
        <v>13.236564154731287</v>
      </c>
      <c r="AM264" s="218">
        <f t="shared" si="175"/>
        <v>13.236564154731287</v>
      </c>
      <c r="AN264" s="218">
        <f t="shared" si="175"/>
        <v>13.236564154731287</v>
      </c>
      <c r="AO264" s="218">
        <f t="shared" si="175"/>
        <v>13.236564154731287</v>
      </c>
      <c r="AP264" s="218">
        <f t="shared" si="175"/>
        <v>13.236564154731287</v>
      </c>
      <c r="AQ264" s="218">
        <f t="shared" si="175"/>
        <v>13.236564154731287</v>
      </c>
      <c r="AR264" s="218">
        <f t="shared" si="175"/>
        <v>13.236564154731287</v>
      </c>
      <c r="AS264" s="218">
        <f t="shared" si="175"/>
        <v>13.236564154731287</v>
      </c>
      <c r="AT264" s="218">
        <f t="shared" si="175"/>
        <v>13.236564154731287</v>
      </c>
      <c r="AU264" s="218">
        <f t="shared" si="175"/>
        <v>13.236564154731287</v>
      </c>
      <c r="AV264" s="218">
        <f t="shared" si="175"/>
        <v>13.236564154731287</v>
      </c>
      <c r="AW264" s="218">
        <f t="shared" si="175"/>
        <v>13.236564154731287</v>
      </c>
      <c r="AX264" s="218">
        <f t="shared" si="175"/>
        <v>13.236564154731287</v>
      </c>
      <c r="AY264" s="218">
        <f t="shared" si="175"/>
        <v>13.236564154731287</v>
      </c>
      <c r="AZ264" s="218">
        <f t="shared" si="175"/>
        <v>13.236564154731287</v>
      </c>
      <c r="BA264" s="218">
        <f t="shared" si="175"/>
        <v>13.236564154731287</v>
      </c>
      <c r="BB264" s="218">
        <f t="shared" si="175"/>
        <v>13.236564154731287</v>
      </c>
      <c r="BC264" s="218">
        <f t="shared" si="175"/>
        <v>13.236564154731287</v>
      </c>
      <c r="BD264" s="218">
        <f t="shared" si="175"/>
        <v>13.236564154731287</v>
      </c>
      <c r="BE264" s="218">
        <f t="shared" si="175"/>
        <v>13.236564154731287</v>
      </c>
    </row>
    <row r="265" spans="1:60" ht="14.25" customHeight="1" x14ac:dyDescent="0.45">
      <c r="A265" s="618"/>
      <c r="B265" s="215"/>
      <c r="C265" s="220"/>
      <c r="D265" s="247" t="s">
        <v>225</v>
      </c>
      <c r="E265" s="380">
        <f>Electricidad!E310</f>
        <v>0</v>
      </c>
      <c r="F265" s="380">
        <f>Electricidad!F310</f>
        <v>0</v>
      </c>
      <c r="G265" s="380">
        <f>Electricidad!G310</f>
        <v>0</v>
      </c>
      <c r="H265" s="380">
        <f>Electricidad!H310</f>
        <v>0</v>
      </c>
      <c r="I265" s="248"/>
      <c r="J265" s="248"/>
      <c r="K265" s="248"/>
      <c r="L265" s="248"/>
      <c r="M265" s="248"/>
      <c r="N265" s="248"/>
      <c r="O265" s="248"/>
      <c r="P265" s="248"/>
      <c r="Q265" s="248"/>
      <c r="R265" s="248"/>
      <c r="S265" s="248"/>
      <c r="T265" s="248"/>
      <c r="U265" s="248"/>
      <c r="V265" s="248"/>
      <c r="W265" s="248"/>
      <c r="X265" s="248"/>
      <c r="Y265" s="248"/>
      <c r="Z265" s="248"/>
      <c r="AA265" s="248"/>
      <c r="AB265" s="248"/>
      <c r="AC265" s="248"/>
      <c r="AD265" s="248"/>
      <c r="AE265" s="248"/>
      <c r="AF265" s="248"/>
      <c r="AG265" s="248"/>
      <c r="AH265" s="248"/>
      <c r="AI265" s="248"/>
      <c r="AJ265" s="248"/>
      <c r="AK265" s="248"/>
      <c r="AL265" s="218">
        <f t="shared" ref="AL265:BE265" si="176">AK265</f>
        <v>0</v>
      </c>
      <c r="AM265" s="218">
        <f t="shared" si="176"/>
        <v>0</v>
      </c>
      <c r="AN265" s="218">
        <f t="shared" si="176"/>
        <v>0</v>
      </c>
      <c r="AO265" s="218">
        <f t="shared" si="176"/>
        <v>0</v>
      </c>
      <c r="AP265" s="218">
        <f t="shared" si="176"/>
        <v>0</v>
      </c>
      <c r="AQ265" s="218">
        <f t="shared" si="176"/>
        <v>0</v>
      </c>
      <c r="AR265" s="218">
        <f t="shared" si="176"/>
        <v>0</v>
      </c>
      <c r="AS265" s="218">
        <f t="shared" si="176"/>
        <v>0</v>
      </c>
      <c r="AT265" s="218">
        <f t="shared" si="176"/>
        <v>0</v>
      </c>
      <c r="AU265" s="218">
        <f t="shared" si="176"/>
        <v>0</v>
      </c>
      <c r="AV265" s="218">
        <f t="shared" si="176"/>
        <v>0</v>
      </c>
      <c r="AW265" s="218">
        <f t="shared" si="176"/>
        <v>0</v>
      </c>
      <c r="AX265" s="218">
        <f t="shared" si="176"/>
        <v>0</v>
      </c>
      <c r="AY265" s="218">
        <f t="shared" si="176"/>
        <v>0</v>
      </c>
      <c r="AZ265" s="218">
        <f t="shared" si="176"/>
        <v>0</v>
      </c>
      <c r="BA265" s="218">
        <f t="shared" si="176"/>
        <v>0</v>
      </c>
      <c r="BB265" s="218">
        <f t="shared" si="176"/>
        <v>0</v>
      </c>
      <c r="BC265" s="218">
        <f t="shared" si="176"/>
        <v>0</v>
      </c>
      <c r="BD265" s="218">
        <f t="shared" si="176"/>
        <v>0</v>
      </c>
      <c r="BE265" s="218">
        <f t="shared" si="176"/>
        <v>0</v>
      </c>
    </row>
    <row r="266" spans="1:60" ht="14.25" customHeight="1" x14ac:dyDescent="0.45">
      <c r="A266" s="618"/>
      <c r="B266" s="215"/>
      <c r="C266" s="220" t="s">
        <v>235</v>
      </c>
      <c r="D266" s="243" t="s">
        <v>236</v>
      </c>
      <c r="E266" s="357">
        <f>Electricidad!E311</f>
        <v>0.43270039621413703</v>
      </c>
      <c r="F266" s="357">
        <f>Electricidad!F311</f>
        <v>0.39093061488840219</v>
      </c>
      <c r="G266" s="357">
        <f>Electricidad!G311</f>
        <v>0.43032588668140792</v>
      </c>
      <c r="H266" s="357">
        <f>Electricidad!H311</f>
        <v>5.4123072534759967E-2</v>
      </c>
      <c r="I266" s="218">
        <v>0.44357591519999989</v>
      </c>
      <c r="J266" s="218">
        <v>0.44357591519999989</v>
      </c>
      <c r="K266" s="218">
        <v>0.44357591519999989</v>
      </c>
      <c r="L266" s="218">
        <v>0.44371876745517086</v>
      </c>
      <c r="M266" s="218">
        <v>0.45099774735038434</v>
      </c>
      <c r="N266" s="218">
        <v>0.4583282160833021</v>
      </c>
      <c r="O266" s="218">
        <v>0.46575282648346278</v>
      </c>
      <c r="P266" s="218">
        <v>0.47323310737128255</v>
      </c>
      <c r="Q266" s="218">
        <v>0.48082338383400003</v>
      </c>
      <c r="R266" s="218">
        <v>0.48843627756864677</v>
      </c>
      <c r="S266" s="218">
        <v>0.4961047690666055</v>
      </c>
      <c r="T266" s="218">
        <v>0.50384842117722972</v>
      </c>
      <c r="U266" s="218">
        <v>0.51164138039514695</v>
      </c>
      <c r="V266" s="218">
        <v>0.51946673830967049</v>
      </c>
      <c r="W266" s="218">
        <v>0.52733536721068253</v>
      </c>
      <c r="X266" s="218">
        <v>0.53521795918632653</v>
      </c>
      <c r="Y266" s="218">
        <v>0.54313778602765472</v>
      </c>
      <c r="Z266" s="218">
        <v>0.55110262923980069</v>
      </c>
      <c r="AA266" s="218">
        <v>0.55905180035515945</v>
      </c>
      <c r="AB266" s="218">
        <v>0.56704278797006613</v>
      </c>
      <c r="AC266" s="218">
        <v>0.57497963230860161</v>
      </c>
      <c r="AD266" s="218">
        <v>0.58291691299321957</v>
      </c>
      <c r="AE266" s="218">
        <v>0.59076023382146192</v>
      </c>
      <c r="AF266" s="218">
        <v>0.59851701267672708</v>
      </c>
      <c r="AG266" s="218">
        <v>0.6061764499934793</v>
      </c>
      <c r="AH266" s="218">
        <v>0.61371261954199896</v>
      </c>
      <c r="AI266" s="218">
        <v>0.62112181238058728</v>
      </c>
      <c r="AJ266" s="218">
        <v>0.62843188193416022</v>
      </c>
      <c r="AK266" s="218">
        <v>0.63560784779179214</v>
      </c>
      <c r="AL266" s="218">
        <v>0.64119619123431004</v>
      </c>
      <c r="AM266" s="218">
        <v>0.64863641521515603</v>
      </c>
      <c r="AN266" s="218">
        <v>0.65607663919600301</v>
      </c>
      <c r="AO266" s="218">
        <v>0.66351686317684999</v>
      </c>
      <c r="AP266" s="218">
        <v>0.67095708715769697</v>
      </c>
      <c r="AQ266" s="218">
        <v>0.67839731113854396</v>
      </c>
      <c r="AR266" s="218">
        <v>0.68583753511938905</v>
      </c>
      <c r="AS266" s="218">
        <v>0.69327775910023703</v>
      </c>
      <c r="AT266" s="218">
        <v>0.70071798308108302</v>
      </c>
      <c r="AU266" s="218">
        <v>0.708158207061931</v>
      </c>
      <c r="AV266" s="218">
        <v>0.71559843104277798</v>
      </c>
      <c r="AW266" s="218">
        <v>0.72303865502362397</v>
      </c>
      <c r="AX266" s="218">
        <v>0.73047887900447095</v>
      </c>
      <c r="AY266" s="218">
        <v>0.73791910298531804</v>
      </c>
      <c r="AZ266" s="218">
        <v>0.74535932696616403</v>
      </c>
      <c r="BA266" s="218">
        <v>0.75279955094701201</v>
      </c>
      <c r="BB266" s="218">
        <v>0.76023977492785799</v>
      </c>
      <c r="BC266" s="218">
        <v>0.76767999890870497</v>
      </c>
      <c r="BD266" s="218">
        <v>0.77512022288955196</v>
      </c>
      <c r="BE266" s="218">
        <v>0.78256044687039905</v>
      </c>
    </row>
    <row r="267" spans="1:60" ht="14.25" customHeight="1" x14ac:dyDescent="0.45">
      <c r="A267" s="618"/>
      <c r="B267" s="215"/>
      <c r="C267" s="220"/>
      <c r="D267" s="247" t="s">
        <v>223</v>
      </c>
      <c r="E267" s="380">
        <f>Electricidad!E312</f>
        <v>0</v>
      </c>
      <c r="F267" s="380">
        <f>Electricidad!F312</f>
        <v>0</v>
      </c>
      <c r="G267" s="380">
        <f>Electricidad!G312</f>
        <v>0</v>
      </c>
      <c r="H267" s="380">
        <f>Electricidad!H312</f>
        <v>0</v>
      </c>
      <c r="I267" s="248"/>
      <c r="J267" s="248"/>
      <c r="K267" s="248"/>
      <c r="L267" s="248"/>
      <c r="M267" s="248"/>
      <c r="N267" s="248"/>
      <c r="O267" s="248"/>
      <c r="P267" s="248"/>
      <c r="Q267" s="248"/>
      <c r="R267" s="248"/>
      <c r="S267" s="248"/>
      <c r="T267" s="248"/>
      <c r="U267" s="248"/>
      <c r="V267" s="248"/>
      <c r="W267" s="248"/>
      <c r="X267" s="248"/>
      <c r="Y267" s="248"/>
      <c r="Z267" s="248"/>
      <c r="AA267" s="248"/>
      <c r="AB267" s="248"/>
      <c r="AC267" s="248"/>
      <c r="AD267" s="248"/>
      <c r="AE267" s="248"/>
      <c r="AF267" s="248"/>
      <c r="AG267" s="248"/>
      <c r="AH267" s="248"/>
      <c r="AI267" s="248"/>
      <c r="AJ267" s="248"/>
      <c r="AK267" s="248"/>
      <c r="AL267" s="218">
        <f t="shared" ref="AL267:BE267" si="177">AK267</f>
        <v>0</v>
      </c>
      <c r="AM267" s="218">
        <f t="shared" si="177"/>
        <v>0</v>
      </c>
      <c r="AN267" s="218">
        <f t="shared" si="177"/>
        <v>0</v>
      </c>
      <c r="AO267" s="218">
        <f t="shared" si="177"/>
        <v>0</v>
      </c>
      <c r="AP267" s="218">
        <f t="shared" si="177"/>
        <v>0</v>
      </c>
      <c r="AQ267" s="218">
        <f t="shared" si="177"/>
        <v>0</v>
      </c>
      <c r="AR267" s="218">
        <f t="shared" si="177"/>
        <v>0</v>
      </c>
      <c r="AS267" s="218">
        <f t="shared" si="177"/>
        <v>0</v>
      </c>
      <c r="AT267" s="218">
        <f t="shared" si="177"/>
        <v>0</v>
      </c>
      <c r="AU267" s="218">
        <f t="shared" si="177"/>
        <v>0</v>
      </c>
      <c r="AV267" s="218">
        <f t="shared" si="177"/>
        <v>0</v>
      </c>
      <c r="AW267" s="218">
        <f t="shared" si="177"/>
        <v>0</v>
      </c>
      <c r="AX267" s="218">
        <f t="shared" si="177"/>
        <v>0</v>
      </c>
      <c r="AY267" s="218">
        <f t="shared" si="177"/>
        <v>0</v>
      </c>
      <c r="AZ267" s="218">
        <f t="shared" si="177"/>
        <v>0</v>
      </c>
      <c r="BA267" s="218">
        <f t="shared" si="177"/>
        <v>0</v>
      </c>
      <c r="BB267" s="218">
        <f t="shared" si="177"/>
        <v>0</v>
      </c>
      <c r="BC267" s="218">
        <f t="shared" si="177"/>
        <v>0</v>
      </c>
      <c r="BD267" s="218">
        <f t="shared" si="177"/>
        <v>0</v>
      </c>
      <c r="BE267" s="218">
        <f t="shared" si="177"/>
        <v>0</v>
      </c>
    </row>
    <row r="268" spans="1:60" ht="14.25" customHeight="1" x14ac:dyDescent="0.45">
      <c r="A268" s="618"/>
      <c r="B268" s="215"/>
      <c r="C268" s="220" t="s">
        <v>237</v>
      </c>
      <c r="D268" s="243" t="s">
        <v>236</v>
      </c>
      <c r="E268" s="357">
        <f>Electricidad!E313</f>
        <v>0.16729498980591478</v>
      </c>
      <c r="F268" s="357">
        <f>Electricidad!F313</f>
        <v>0.17261134571738854</v>
      </c>
      <c r="G268" s="357">
        <f>Electricidad!G313</f>
        <v>0.15157285850587504</v>
      </c>
      <c r="H268" s="357">
        <f>Electricidad!H313</f>
        <v>0.1673302683041851</v>
      </c>
      <c r="I268" s="218">
        <v>0.17820808294654084</v>
      </c>
      <c r="J268" s="218">
        <v>0.18264555265481855</v>
      </c>
      <c r="K268" s="218">
        <v>0.18708302236309624</v>
      </c>
      <c r="L268" s="218">
        <v>0.19152049207137398</v>
      </c>
      <c r="M268" s="218">
        <v>0.19595796177965166</v>
      </c>
      <c r="N268" s="218">
        <v>0.20039543148792938</v>
      </c>
      <c r="O268" s="218">
        <v>0.20483290119620709</v>
      </c>
      <c r="P268" s="218">
        <v>0.2092703709044848</v>
      </c>
      <c r="Q268" s="218">
        <v>0.21370784061276249</v>
      </c>
      <c r="R268" s="218">
        <v>0.21539613693196513</v>
      </c>
      <c r="S268" s="218">
        <v>0.21708443325116772</v>
      </c>
      <c r="T268" s="218">
        <v>0.21877272957037042</v>
      </c>
      <c r="U268" s="218">
        <v>0.22046102588957309</v>
      </c>
      <c r="V268" s="218">
        <v>0.2221493222087757</v>
      </c>
      <c r="W268" s="218">
        <v>0.22383761852797837</v>
      </c>
      <c r="X268" s="218">
        <v>0.22552591484718101</v>
      </c>
      <c r="Y268" s="218">
        <v>0.22721421116638371</v>
      </c>
      <c r="Z268" s="218">
        <v>0.22890250748558638</v>
      </c>
      <c r="AA268" s="218">
        <v>0.23059080380478894</v>
      </c>
      <c r="AB268" s="218">
        <v>0.23082139752750158</v>
      </c>
      <c r="AC268" s="218">
        <v>0.23105199125021431</v>
      </c>
      <c r="AD268" s="218">
        <v>0.23128258497292697</v>
      </c>
      <c r="AE268" s="218">
        <v>0.2315131786956397</v>
      </c>
      <c r="AF268" s="218">
        <v>0.2317437724183524</v>
      </c>
      <c r="AG268" s="218">
        <v>0.23197436614106504</v>
      </c>
      <c r="AH268" s="218">
        <v>0.23220495986377776</v>
      </c>
      <c r="AI268" s="218">
        <v>0.23243555358649037</v>
      </c>
      <c r="AJ268" s="218">
        <v>0.23266614730920315</v>
      </c>
      <c r="AK268" s="218">
        <v>0.2328967410319156</v>
      </c>
      <c r="AL268" s="218">
        <v>0.24500002851359001</v>
      </c>
      <c r="AM268" s="218">
        <v>0.24682268086852399</v>
      </c>
      <c r="AN268" s="218">
        <v>0.248645333223458</v>
      </c>
      <c r="AO268" s="218">
        <v>0.250467985578393</v>
      </c>
      <c r="AP268" s="218">
        <v>0.25229063793332701</v>
      </c>
      <c r="AQ268" s="218">
        <v>0.25411329028826102</v>
      </c>
      <c r="AR268" s="218">
        <v>0.25593594264319502</v>
      </c>
      <c r="AS268" s="218">
        <v>0.25775859499812998</v>
      </c>
      <c r="AT268" s="218">
        <v>0.25958124735306398</v>
      </c>
      <c r="AU268" s="218">
        <v>0.26140389970799799</v>
      </c>
      <c r="AV268" s="218">
        <v>0.263226552062932</v>
      </c>
      <c r="AW268" s="218">
        <v>0.265049204417866</v>
      </c>
      <c r="AX268" s="218">
        <v>0.26687185677280101</v>
      </c>
      <c r="AY268" s="218">
        <v>0.26869450912773502</v>
      </c>
      <c r="AZ268" s="218">
        <v>0.27051716148266902</v>
      </c>
      <c r="BA268" s="218">
        <v>0.27233981383760297</v>
      </c>
      <c r="BB268" s="218">
        <v>0.27416246619253798</v>
      </c>
      <c r="BC268" s="218">
        <v>0.27598511854747199</v>
      </c>
      <c r="BD268" s="218">
        <v>0.27780777090240599</v>
      </c>
      <c r="BE268" s="218">
        <v>0.27963042325734</v>
      </c>
    </row>
    <row r="269" spans="1:60" ht="14.25" customHeight="1" x14ac:dyDescent="0.45">
      <c r="A269" s="618"/>
      <c r="B269" s="215"/>
      <c r="C269" s="220"/>
      <c r="D269" s="247" t="s">
        <v>238</v>
      </c>
      <c r="E269" s="380">
        <f>Electricidad!E314</f>
        <v>0</v>
      </c>
      <c r="F269" s="380">
        <f>Electricidad!F314</f>
        <v>0</v>
      </c>
      <c r="G269" s="380">
        <f>Electricidad!G314</f>
        <v>0</v>
      </c>
      <c r="H269" s="380">
        <f>Electricidad!H314</f>
        <v>0</v>
      </c>
      <c r="I269" s="248"/>
      <c r="J269" s="248"/>
      <c r="K269" s="248"/>
      <c r="L269" s="248"/>
      <c r="M269" s="248"/>
      <c r="N269" s="248"/>
      <c r="O269" s="248"/>
      <c r="P269" s="248"/>
      <c r="Q269" s="248"/>
      <c r="R269" s="248"/>
      <c r="S269" s="248"/>
      <c r="T269" s="248"/>
      <c r="U269" s="248"/>
      <c r="V269" s="248"/>
      <c r="W269" s="248"/>
      <c r="X269" s="248"/>
      <c r="Y269" s="248"/>
      <c r="Z269" s="248"/>
      <c r="AA269" s="248"/>
      <c r="AB269" s="248"/>
      <c r="AC269" s="248"/>
      <c r="AD269" s="248"/>
      <c r="AE269" s="248"/>
      <c r="AF269" s="248"/>
      <c r="AG269" s="248"/>
      <c r="AH269" s="248"/>
      <c r="AI269" s="248"/>
      <c r="AJ269" s="248"/>
      <c r="AK269" s="248"/>
      <c r="AL269" s="218">
        <f t="shared" ref="AL269:BE269" si="178">AK269</f>
        <v>0</v>
      </c>
      <c r="AM269" s="218">
        <f t="shared" si="178"/>
        <v>0</v>
      </c>
      <c r="AN269" s="218">
        <f t="shared" si="178"/>
        <v>0</v>
      </c>
      <c r="AO269" s="218">
        <f t="shared" si="178"/>
        <v>0</v>
      </c>
      <c r="AP269" s="218">
        <f t="shared" si="178"/>
        <v>0</v>
      </c>
      <c r="AQ269" s="218">
        <f t="shared" si="178"/>
        <v>0</v>
      </c>
      <c r="AR269" s="218">
        <f t="shared" si="178"/>
        <v>0</v>
      </c>
      <c r="AS269" s="218">
        <f t="shared" si="178"/>
        <v>0</v>
      </c>
      <c r="AT269" s="218">
        <f t="shared" si="178"/>
        <v>0</v>
      </c>
      <c r="AU269" s="218">
        <f t="shared" si="178"/>
        <v>0</v>
      </c>
      <c r="AV269" s="218">
        <f t="shared" si="178"/>
        <v>0</v>
      </c>
      <c r="AW269" s="218">
        <f t="shared" si="178"/>
        <v>0</v>
      </c>
      <c r="AX269" s="218">
        <f t="shared" si="178"/>
        <v>0</v>
      </c>
      <c r="AY269" s="218">
        <f t="shared" si="178"/>
        <v>0</v>
      </c>
      <c r="AZ269" s="218">
        <f t="shared" si="178"/>
        <v>0</v>
      </c>
      <c r="BA269" s="218">
        <f t="shared" si="178"/>
        <v>0</v>
      </c>
      <c r="BB269" s="218">
        <f t="shared" si="178"/>
        <v>0</v>
      </c>
      <c r="BC269" s="218">
        <f t="shared" si="178"/>
        <v>0</v>
      </c>
      <c r="BD269" s="218">
        <f t="shared" si="178"/>
        <v>0</v>
      </c>
      <c r="BE269" s="218">
        <f t="shared" si="178"/>
        <v>0</v>
      </c>
    </row>
    <row r="270" spans="1:60" ht="14.25" customHeight="1" x14ac:dyDescent="0.45">
      <c r="A270" s="618"/>
      <c r="B270" s="215"/>
      <c r="C270" s="220" t="s">
        <v>239</v>
      </c>
      <c r="D270" s="243" t="s">
        <v>240</v>
      </c>
      <c r="E270" s="383">
        <f>Electricidad!E315</f>
        <v>6.1733477417638296</v>
      </c>
      <c r="F270" s="383">
        <f>Electricidad!F315</f>
        <v>6.0833170956848344</v>
      </c>
      <c r="G270" s="383">
        <f>Electricidad!G315</f>
        <v>5.888688991034396</v>
      </c>
      <c r="H270" s="383">
        <f>Electricidad!H315</f>
        <v>6.2429099765640172</v>
      </c>
      <c r="I270" s="218">
        <v>5.8680445569034152</v>
      </c>
      <c r="J270" s="218">
        <v>5.8680445569034152</v>
      </c>
      <c r="K270" s="218">
        <v>5.8680445569034152</v>
      </c>
      <c r="L270" s="218">
        <v>5.8680445569034152</v>
      </c>
      <c r="M270" s="218">
        <v>5.8680445569034152</v>
      </c>
      <c r="N270" s="218">
        <v>5.8680445569034152</v>
      </c>
      <c r="O270" s="218">
        <v>5.8680445569034152</v>
      </c>
      <c r="P270" s="218">
        <v>5.8680445569034152</v>
      </c>
      <c r="Q270" s="218">
        <v>5.8680445569034152</v>
      </c>
      <c r="R270" s="218">
        <v>5.8680445569034152</v>
      </c>
      <c r="S270" s="218">
        <v>5.8680445569034152</v>
      </c>
      <c r="T270" s="218">
        <v>5.8680445569034152</v>
      </c>
      <c r="U270" s="218">
        <v>5.8680445569034152</v>
      </c>
      <c r="V270" s="218">
        <v>5.8680445569034152</v>
      </c>
      <c r="W270" s="218">
        <v>5.8680445569034152</v>
      </c>
      <c r="X270" s="218">
        <v>5.8680445569034152</v>
      </c>
      <c r="Y270" s="218">
        <v>5.8680445569034152</v>
      </c>
      <c r="Z270" s="218">
        <v>5.8680445569034152</v>
      </c>
      <c r="AA270" s="218">
        <v>5.8680445569034152</v>
      </c>
      <c r="AB270" s="218">
        <v>5.8680445569034152</v>
      </c>
      <c r="AC270" s="218">
        <v>5.8680445569034152</v>
      </c>
      <c r="AD270" s="218">
        <v>5.8680445569034152</v>
      </c>
      <c r="AE270" s="218">
        <v>5.8680445569034152</v>
      </c>
      <c r="AF270" s="218">
        <v>5.8680445569034152</v>
      </c>
      <c r="AG270" s="218">
        <v>5.8680445569034152</v>
      </c>
      <c r="AH270" s="218">
        <v>5.8680445569034152</v>
      </c>
      <c r="AI270" s="218">
        <v>5.8680445569034152</v>
      </c>
      <c r="AJ270" s="218">
        <v>5.8680445569034152</v>
      </c>
      <c r="AK270" s="218">
        <v>5.8680445569034152</v>
      </c>
      <c r="AL270" s="218">
        <f t="shared" ref="AL270:BE270" si="179">AK270</f>
        <v>5.8680445569034152</v>
      </c>
      <c r="AM270" s="218">
        <f t="shared" si="179"/>
        <v>5.8680445569034152</v>
      </c>
      <c r="AN270" s="218">
        <f t="shared" si="179"/>
        <v>5.8680445569034152</v>
      </c>
      <c r="AO270" s="218">
        <f t="shared" si="179"/>
        <v>5.8680445569034152</v>
      </c>
      <c r="AP270" s="218">
        <f t="shared" si="179"/>
        <v>5.8680445569034152</v>
      </c>
      <c r="AQ270" s="218">
        <f t="shared" si="179"/>
        <v>5.8680445569034152</v>
      </c>
      <c r="AR270" s="218">
        <f t="shared" si="179"/>
        <v>5.8680445569034152</v>
      </c>
      <c r="AS270" s="218">
        <f t="shared" si="179"/>
        <v>5.8680445569034152</v>
      </c>
      <c r="AT270" s="218">
        <f t="shared" si="179"/>
        <v>5.8680445569034152</v>
      </c>
      <c r="AU270" s="218">
        <f t="shared" si="179"/>
        <v>5.8680445569034152</v>
      </c>
      <c r="AV270" s="218">
        <f t="shared" si="179"/>
        <v>5.8680445569034152</v>
      </c>
      <c r="AW270" s="218">
        <f t="shared" si="179"/>
        <v>5.8680445569034152</v>
      </c>
      <c r="AX270" s="218">
        <f t="shared" si="179"/>
        <v>5.8680445569034152</v>
      </c>
      <c r="AY270" s="218">
        <f t="shared" si="179"/>
        <v>5.8680445569034152</v>
      </c>
      <c r="AZ270" s="218">
        <f t="shared" si="179"/>
        <v>5.8680445569034152</v>
      </c>
      <c r="BA270" s="218">
        <f t="shared" si="179"/>
        <v>5.8680445569034152</v>
      </c>
      <c r="BB270" s="218">
        <f t="shared" si="179"/>
        <v>5.8680445569034152</v>
      </c>
      <c r="BC270" s="218">
        <f t="shared" si="179"/>
        <v>5.8680445569034152</v>
      </c>
      <c r="BD270" s="218">
        <f t="shared" si="179"/>
        <v>5.8680445569034152</v>
      </c>
      <c r="BE270" s="218">
        <f t="shared" si="179"/>
        <v>5.8680445569034152</v>
      </c>
    </row>
    <row r="271" spans="1:60" ht="14.25" customHeight="1" x14ac:dyDescent="0.45">
      <c r="A271" s="618"/>
      <c r="B271" s="215"/>
      <c r="C271" s="220" t="s">
        <v>241</v>
      </c>
      <c r="D271" s="243" t="s">
        <v>236</v>
      </c>
      <c r="E271" s="383">
        <f>Electricidad!E316</f>
        <v>3.3806036127133026</v>
      </c>
      <c r="F271" s="383">
        <f>Electricidad!F316</f>
        <v>4.6115294101722144</v>
      </c>
      <c r="G271" s="360">
        <f>Electricidad!G316</f>
        <v>4.3923622974545813</v>
      </c>
      <c r="H271" s="383">
        <f>Electricidad!H316</f>
        <v>4.2525678199035006</v>
      </c>
      <c r="I271" s="218">
        <f t="shared" ref="I271:BE271" si="180">H271</f>
        <v>4.2525678199035006</v>
      </c>
      <c r="J271" s="218">
        <f t="shared" si="180"/>
        <v>4.2525678199035006</v>
      </c>
      <c r="K271" s="218">
        <f t="shared" si="180"/>
        <v>4.2525678199035006</v>
      </c>
      <c r="L271" s="218">
        <f t="shared" si="180"/>
        <v>4.2525678199035006</v>
      </c>
      <c r="M271" s="218">
        <f t="shared" si="180"/>
        <v>4.2525678199035006</v>
      </c>
      <c r="N271" s="218">
        <f t="shared" si="180"/>
        <v>4.2525678199035006</v>
      </c>
      <c r="O271" s="218">
        <f t="shared" si="180"/>
        <v>4.2525678199035006</v>
      </c>
      <c r="P271" s="218">
        <f t="shared" si="180"/>
        <v>4.2525678199035006</v>
      </c>
      <c r="Q271" s="218">
        <f t="shared" si="180"/>
        <v>4.2525678199035006</v>
      </c>
      <c r="R271" s="218">
        <f t="shared" si="180"/>
        <v>4.2525678199035006</v>
      </c>
      <c r="S271" s="218">
        <f t="shared" si="180"/>
        <v>4.2525678199035006</v>
      </c>
      <c r="T271" s="218">
        <f t="shared" si="180"/>
        <v>4.2525678199035006</v>
      </c>
      <c r="U271" s="218">
        <f t="shared" si="180"/>
        <v>4.2525678199035006</v>
      </c>
      <c r="V271" s="218">
        <f t="shared" si="180"/>
        <v>4.2525678199035006</v>
      </c>
      <c r="W271" s="218">
        <f t="shared" si="180"/>
        <v>4.2525678199035006</v>
      </c>
      <c r="X271" s="218">
        <f t="shared" si="180"/>
        <v>4.2525678199035006</v>
      </c>
      <c r="Y271" s="218">
        <f t="shared" si="180"/>
        <v>4.2525678199035006</v>
      </c>
      <c r="Z271" s="218">
        <f t="shared" si="180"/>
        <v>4.2525678199035006</v>
      </c>
      <c r="AA271" s="218">
        <f t="shared" si="180"/>
        <v>4.2525678199035006</v>
      </c>
      <c r="AB271" s="218">
        <f t="shared" si="180"/>
        <v>4.2525678199035006</v>
      </c>
      <c r="AC271" s="218">
        <f t="shared" si="180"/>
        <v>4.2525678199035006</v>
      </c>
      <c r="AD271" s="218">
        <f t="shared" si="180"/>
        <v>4.2525678199035006</v>
      </c>
      <c r="AE271" s="218">
        <f t="shared" si="180"/>
        <v>4.2525678199035006</v>
      </c>
      <c r="AF271" s="218">
        <f t="shared" si="180"/>
        <v>4.2525678199035006</v>
      </c>
      <c r="AG271" s="218">
        <f t="shared" si="180"/>
        <v>4.2525678199035006</v>
      </c>
      <c r="AH271" s="218">
        <f t="shared" si="180"/>
        <v>4.2525678199035006</v>
      </c>
      <c r="AI271" s="218">
        <f t="shared" si="180"/>
        <v>4.2525678199035006</v>
      </c>
      <c r="AJ271" s="218">
        <f t="shared" si="180"/>
        <v>4.2525678199035006</v>
      </c>
      <c r="AK271" s="218">
        <f t="shared" si="180"/>
        <v>4.2525678199035006</v>
      </c>
      <c r="AL271" s="218">
        <f t="shared" si="180"/>
        <v>4.2525678199035006</v>
      </c>
      <c r="AM271" s="218">
        <f t="shared" si="180"/>
        <v>4.2525678199035006</v>
      </c>
      <c r="AN271" s="218">
        <f t="shared" si="180"/>
        <v>4.2525678199035006</v>
      </c>
      <c r="AO271" s="218">
        <f t="shared" si="180"/>
        <v>4.2525678199035006</v>
      </c>
      <c r="AP271" s="218">
        <f t="shared" si="180"/>
        <v>4.2525678199035006</v>
      </c>
      <c r="AQ271" s="218">
        <f t="shared" si="180"/>
        <v>4.2525678199035006</v>
      </c>
      <c r="AR271" s="218">
        <f t="shared" si="180"/>
        <v>4.2525678199035006</v>
      </c>
      <c r="AS271" s="218">
        <f t="shared" si="180"/>
        <v>4.2525678199035006</v>
      </c>
      <c r="AT271" s="218">
        <f t="shared" si="180"/>
        <v>4.2525678199035006</v>
      </c>
      <c r="AU271" s="218">
        <f t="shared" si="180"/>
        <v>4.2525678199035006</v>
      </c>
      <c r="AV271" s="218">
        <f t="shared" si="180"/>
        <v>4.2525678199035006</v>
      </c>
      <c r="AW271" s="218">
        <f t="shared" si="180"/>
        <v>4.2525678199035006</v>
      </c>
      <c r="AX271" s="218">
        <f t="shared" si="180"/>
        <v>4.2525678199035006</v>
      </c>
      <c r="AY271" s="218">
        <f t="shared" si="180"/>
        <v>4.2525678199035006</v>
      </c>
      <c r="AZ271" s="218">
        <f t="shared" si="180"/>
        <v>4.2525678199035006</v>
      </c>
      <c r="BA271" s="218">
        <f t="shared" si="180"/>
        <v>4.2525678199035006</v>
      </c>
      <c r="BB271" s="218">
        <f t="shared" si="180"/>
        <v>4.2525678199035006</v>
      </c>
      <c r="BC271" s="218">
        <f t="shared" si="180"/>
        <v>4.2525678199035006</v>
      </c>
      <c r="BD271" s="218">
        <f t="shared" si="180"/>
        <v>4.2525678199035006</v>
      </c>
      <c r="BE271" s="218">
        <f t="shared" si="180"/>
        <v>4.2525678199035006</v>
      </c>
    </row>
    <row r="272" spans="1:60" ht="14.25" customHeight="1" x14ac:dyDescent="0.45">
      <c r="A272" s="618"/>
      <c r="B272" s="215"/>
      <c r="C272" s="220" t="s">
        <v>242</v>
      </c>
      <c r="D272" s="243" t="s">
        <v>243</v>
      </c>
      <c r="E272" s="383">
        <f>Electricidad!E317</f>
        <v>0.2575263520496211</v>
      </c>
      <c r="F272" s="383">
        <f>Electricidad!F317</f>
        <v>0.23785670320179342</v>
      </c>
      <c r="G272" s="383">
        <f>Electricidad!G317</f>
        <v>0.24978138552478479</v>
      </c>
      <c r="H272" s="383">
        <f>Electricidad!H317</f>
        <v>0.25535890608017148</v>
      </c>
      <c r="I272" s="218">
        <v>0.24978138552478479</v>
      </c>
      <c r="J272" s="218">
        <v>0.24978138552478479</v>
      </c>
      <c r="K272" s="218">
        <v>0.24978138552478479</v>
      </c>
      <c r="L272" s="218">
        <v>0.24978138552478479</v>
      </c>
      <c r="M272" s="218">
        <v>0.24978138552478479</v>
      </c>
      <c r="N272" s="218">
        <v>0.24978138552478479</v>
      </c>
      <c r="O272" s="218">
        <v>0.24978138552478479</v>
      </c>
      <c r="P272" s="218">
        <v>0.24978138552478479</v>
      </c>
      <c r="Q272" s="218">
        <v>0.24978138552478479</v>
      </c>
      <c r="R272" s="218">
        <v>0.24978138552478479</v>
      </c>
      <c r="S272" s="218">
        <v>0.24978138552478479</v>
      </c>
      <c r="T272" s="218">
        <v>0.24978138552478479</v>
      </c>
      <c r="U272" s="218">
        <v>0.24978138552478479</v>
      </c>
      <c r="V272" s="218">
        <v>0.24978138552478479</v>
      </c>
      <c r="W272" s="218">
        <v>0.24978138552478479</v>
      </c>
      <c r="X272" s="218">
        <v>0.24978138552478479</v>
      </c>
      <c r="Y272" s="218">
        <v>0.24978138552478479</v>
      </c>
      <c r="Z272" s="218">
        <v>0.24978138552478479</v>
      </c>
      <c r="AA272" s="218">
        <v>0.24978138552478479</v>
      </c>
      <c r="AB272" s="218">
        <v>0.24978138552478479</v>
      </c>
      <c r="AC272" s="218">
        <v>0.24978138552478479</v>
      </c>
      <c r="AD272" s="218">
        <v>0.24978138552478479</v>
      </c>
      <c r="AE272" s="218">
        <v>0.24978138552478479</v>
      </c>
      <c r="AF272" s="218">
        <v>0.24978138552478479</v>
      </c>
      <c r="AG272" s="218">
        <v>0.24978138552478479</v>
      </c>
      <c r="AH272" s="218">
        <v>0.24978138552478479</v>
      </c>
      <c r="AI272" s="218">
        <v>0.24978138552478479</v>
      </c>
      <c r="AJ272" s="218">
        <v>0.24978138552478479</v>
      </c>
      <c r="AK272" s="218">
        <v>0.24978138552478479</v>
      </c>
      <c r="AL272" s="218">
        <f t="shared" ref="AL272:BE272" si="181">AK272</f>
        <v>0.24978138552478479</v>
      </c>
      <c r="AM272" s="218">
        <f t="shared" si="181"/>
        <v>0.24978138552478479</v>
      </c>
      <c r="AN272" s="218">
        <f t="shared" si="181"/>
        <v>0.24978138552478479</v>
      </c>
      <c r="AO272" s="218">
        <f t="shared" si="181"/>
        <v>0.24978138552478479</v>
      </c>
      <c r="AP272" s="218">
        <f t="shared" si="181"/>
        <v>0.24978138552478479</v>
      </c>
      <c r="AQ272" s="218">
        <f t="shared" si="181"/>
        <v>0.24978138552478479</v>
      </c>
      <c r="AR272" s="218">
        <f t="shared" si="181"/>
        <v>0.24978138552478479</v>
      </c>
      <c r="AS272" s="218">
        <f t="shared" si="181"/>
        <v>0.24978138552478479</v>
      </c>
      <c r="AT272" s="218">
        <f t="shared" si="181"/>
        <v>0.24978138552478479</v>
      </c>
      <c r="AU272" s="218">
        <f t="shared" si="181"/>
        <v>0.24978138552478479</v>
      </c>
      <c r="AV272" s="218">
        <f t="shared" si="181"/>
        <v>0.24978138552478479</v>
      </c>
      <c r="AW272" s="218">
        <f t="shared" si="181"/>
        <v>0.24978138552478479</v>
      </c>
      <c r="AX272" s="218">
        <f t="shared" si="181"/>
        <v>0.24978138552478479</v>
      </c>
      <c r="AY272" s="218">
        <f t="shared" si="181"/>
        <v>0.24978138552478479</v>
      </c>
      <c r="AZ272" s="218">
        <f t="shared" si="181"/>
        <v>0.24978138552478479</v>
      </c>
      <c r="BA272" s="218">
        <f t="shared" si="181"/>
        <v>0.24978138552478479</v>
      </c>
      <c r="BB272" s="218">
        <f t="shared" si="181"/>
        <v>0.24978138552478479</v>
      </c>
      <c r="BC272" s="218">
        <f t="shared" si="181"/>
        <v>0.24978138552478479</v>
      </c>
      <c r="BD272" s="218">
        <f t="shared" si="181"/>
        <v>0.24978138552478479</v>
      </c>
      <c r="BE272" s="218">
        <f t="shared" si="181"/>
        <v>0.24978138552478479</v>
      </c>
    </row>
    <row r="273" spans="1:57" ht="14.25" customHeight="1" x14ac:dyDescent="0.45">
      <c r="A273" s="618"/>
      <c r="B273" s="215"/>
      <c r="C273" s="220" t="s">
        <v>244</v>
      </c>
      <c r="D273" s="243" t="s">
        <v>245</v>
      </c>
      <c r="E273" s="383">
        <f>Electricidad!E318</f>
        <v>2.1563989236228625</v>
      </c>
      <c r="F273" s="383">
        <f>Electricidad!F318</f>
        <v>2.0462580920981668</v>
      </c>
      <c r="G273" s="383">
        <f>Electricidad!G318</f>
        <v>1.9794495433355883</v>
      </c>
      <c r="H273" s="383">
        <f>Electricidad!H318</f>
        <v>2.2084464807170594</v>
      </c>
      <c r="I273" s="218">
        <v>1.9976658035758785</v>
      </c>
      <c r="J273" s="218">
        <v>1.9976658035758785</v>
      </c>
      <c r="K273" s="218">
        <v>1.9976658035758785</v>
      </c>
      <c r="L273" s="218">
        <v>1.9976658035758785</v>
      </c>
      <c r="M273" s="218">
        <v>1.9976658035758785</v>
      </c>
      <c r="N273" s="218">
        <v>1.9976658035758785</v>
      </c>
      <c r="O273" s="218">
        <v>1.9976658035758785</v>
      </c>
      <c r="P273" s="218">
        <v>1.9976658035758785</v>
      </c>
      <c r="Q273" s="218">
        <v>1.9976658035758785</v>
      </c>
      <c r="R273" s="218">
        <v>1.9976658035758785</v>
      </c>
      <c r="S273" s="218">
        <v>1.9976658035758785</v>
      </c>
      <c r="T273" s="218">
        <v>1.9976658035758785</v>
      </c>
      <c r="U273" s="218">
        <v>1.9976658035758785</v>
      </c>
      <c r="V273" s="218">
        <v>1.9976658035758785</v>
      </c>
      <c r="W273" s="218">
        <v>1.9976658035758785</v>
      </c>
      <c r="X273" s="218">
        <v>1.9976658035758785</v>
      </c>
      <c r="Y273" s="218">
        <v>1.9976658035758785</v>
      </c>
      <c r="Z273" s="218">
        <v>1.9976658035758785</v>
      </c>
      <c r="AA273" s="218">
        <v>1.9976658035758785</v>
      </c>
      <c r="AB273" s="218">
        <v>1.9976658035758785</v>
      </c>
      <c r="AC273" s="218">
        <v>1.9976658035758785</v>
      </c>
      <c r="AD273" s="218">
        <v>1.9976658035758785</v>
      </c>
      <c r="AE273" s="218">
        <v>1.9976658035758785</v>
      </c>
      <c r="AF273" s="218">
        <v>1.9976658035758785</v>
      </c>
      <c r="AG273" s="218">
        <v>1.9976658035758785</v>
      </c>
      <c r="AH273" s="218">
        <v>1.9976658035758785</v>
      </c>
      <c r="AI273" s="218">
        <v>1.9976658035758785</v>
      </c>
      <c r="AJ273" s="218">
        <v>1.9976658035758785</v>
      </c>
      <c r="AK273" s="218">
        <v>1.9976658035758785</v>
      </c>
      <c r="AL273" s="218">
        <f t="shared" ref="AL273:BE273" si="182">AK273</f>
        <v>1.9976658035758785</v>
      </c>
      <c r="AM273" s="218">
        <f t="shared" si="182"/>
        <v>1.9976658035758785</v>
      </c>
      <c r="AN273" s="218">
        <f t="shared" si="182"/>
        <v>1.9976658035758785</v>
      </c>
      <c r="AO273" s="218">
        <f t="shared" si="182"/>
        <v>1.9976658035758785</v>
      </c>
      <c r="AP273" s="218">
        <f t="shared" si="182"/>
        <v>1.9976658035758785</v>
      </c>
      <c r="AQ273" s="218">
        <f t="shared" si="182"/>
        <v>1.9976658035758785</v>
      </c>
      <c r="AR273" s="218">
        <f t="shared" si="182"/>
        <v>1.9976658035758785</v>
      </c>
      <c r="AS273" s="218">
        <f t="shared" si="182"/>
        <v>1.9976658035758785</v>
      </c>
      <c r="AT273" s="218">
        <f t="shared" si="182"/>
        <v>1.9976658035758785</v>
      </c>
      <c r="AU273" s="218">
        <f t="shared" si="182"/>
        <v>1.9976658035758785</v>
      </c>
      <c r="AV273" s="218">
        <f t="shared" si="182"/>
        <v>1.9976658035758785</v>
      </c>
      <c r="AW273" s="218">
        <f t="shared" si="182"/>
        <v>1.9976658035758785</v>
      </c>
      <c r="AX273" s="218">
        <f t="shared" si="182"/>
        <v>1.9976658035758785</v>
      </c>
      <c r="AY273" s="218">
        <f t="shared" si="182"/>
        <v>1.9976658035758785</v>
      </c>
      <c r="AZ273" s="218">
        <f t="shared" si="182"/>
        <v>1.9976658035758785</v>
      </c>
      <c r="BA273" s="218">
        <f t="shared" si="182"/>
        <v>1.9976658035758785</v>
      </c>
      <c r="BB273" s="218">
        <f t="shared" si="182"/>
        <v>1.9976658035758785</v>
      </c>
      <c r="BC273" s="218">
        <f t="shared" si="182"/>
        <v>1.9976658035758785</v>
      </c>
      <c r="BD273" s="218">
        <f t="shared" si="182"/>
        <v>1.9976658035758785</v>
      </c>
      <c r="BE273" s="218">
        <f t="shared" si="182"/>
        <v>1.9976658035758785</v>
      </c>
    </row>
    <row r="274" spans="1:57" ht="14.25" customHeight="1" x14ac:dyDescent="0.45">
      <c r="A274" s="618"/>
      <c r="B274" s="215"/>
      <c r="C274" s="220"/>
      <c r="D274" s="228" t="s">
        <v>188</v>
      </c>
      <c r="E274" s="384">
        <f>Electricidad!E319</f>
        <v>1.1462218025423112</v>
      </c>
      <c r="F274" s="384">
        <f>Electricidad!F319</f>
        <v>1.0688304207061539</v>
      </c>
      <c r="G274" s="384">
        <f>Electricidad!G319</f>
        <v>0.98431388780542295</v>
      </c>
      <c r="H274" s="384">
        <f>Electricidad!H319</f>
        <v>1.1415192068003743</v>
      </c>
      <c r="I274" s="230">
        <f t="shared" ref="I274:AK274" si="183">I276+I277+I278</f>
        <v>0.98622459003957852</v>
      </c>
      <c r="J274" s="230">
        <f t="shared" si="183"/>
        <v>0.98622459003957852</v>
      </c>
      <c r="K274" s="230">
        <f t="shared" si="183"/>
        <v>0.98622459003957852</v>
      </c>
      <c r="L274" s="230">
        <f t="shared" si="183"/>
        <v>0.98622459003957852</v>
      </c>
      <c r="M274" s="230">
        <f t="shared" si="183"/>
        <v>0.98622459003957852</v>
      </c>
      <c r="N274" s="230">
        <f t="shared" si="183"/>
        <v>0.98622459003957852</v>
      </c>
      <c r="O274" s="230">
        <f t="shared" si="183"/>
        <v>0.98622459003957852</v>
      </c>
      <c r="P274" s="230">
        <f t="shared" si="183"/>
        <v>0.98622459003957852</v>
      </c>
      <c r="Q274" s="230">
        <f t="shared" si="183"/>
        <v>0.98622459003957852</v>
      </c>
      <c r="R274" s="230">
        <f t="shared" si="183"/>
        <v>0.98622459003957852</v>
      </c>
      <c r="S274" s="230">
        <f t="shared" si="183"/>
        <v>0.98622459003957852</v>
      </c>
      <c r="T274" s="230">
        <f t="shared" si="183"/>
        <v>0.98622459003957852</v>
      </c>
      <c r="U274" s="230">
        <f t="shared" si="183"/>
        <v>0.98622459003957852</v>
      </c>
      <c r="V274" s="230">
        <f t="shared" si="183"/>
        <v>0.98622459003957852</v>
      </c>
      <c r="W274" s="230">
        <f t="shared" si="183"/>
        <v>0.98622459003957852</v>
      </c>
      <c r="X274" s="230">
        <f t="shared" si="183"/>
        <v>0.98622459003957852</v>
      </c>
      <c r="Y274" s="230">
        <f t="shared" si="183"/>
        <v>0.98622459003957852</v>
      </c>
      <c r="Z274" s="230">
        <f t="shared" si="183"/>
        <v>0.98622459003957852</v>
      </c>
      <c r="AA274" s="230">
        <f t="shared" si="183"/>
        <v>0.98622459003957852</v>
      </c>
      <c r="AB274" s="230">
        <f t="shared" si="183"/>
        <v>0.98622459003957852</v>
      </c>
      <c r="AC274" s="230">
        <f t="shared" si="183"/>
        <v>0.98622459003957852</v>
      </c>
      <c r="AD274" s="230">
        <f t="shared" si="183"/>
        <v>0.98622459003957852</v>
      </c>
      <c r="AE274" s="230">
        <f t="shared" si="183"/>
        <v>0.98622459003957852</v>
      </c>
      <c r="AF274" s="230">
        <f t="shared" si="183"/>
        <v>0.98622459003957852</v>
      </c>
      <c r="AG274" s="230">
        <f t="shared" si="183"/>
        <v>0.98622459003957852</v>
      </c>
      <c r="AH274" s="230">
        <f t="shared" si="183"/>
        <v>0.98622459003957852</v>
      </c>
      <c r="AI274" s="230">
        <f t="shared" si="183"/>
        <v>0.98622459003957852</v>
      </c>
      <c r="AJ274" s="230">
        <f t="shared" si="183"/>
        <v>0.98622459003957852</v>
      </c>
      <c r="AK274" s="230">
        <f t="shared" si="183"/>
        <v>0.98622459003957852</v>
      </c>
      <c r="AL274" s="218">
        <f t="shared" ref="AL274:BE274" si="184">AK274</f>
        <v>0.98622459003957852</v>
      </c>
      <c r="AM274" s="218">
        <f t="shared" si="184"/>
        <v>0.98622459003957852</v>
      </c>
      <c r="AN274" s="218">
        <f t="shared" si="184"/>
        <v>0.98622459003957852</v>
      </c>
      <c r="AO274" s="218">
        <f t="shared" si="184"/>
        <v>0.98622459003957852</v>
      </c>
      <c r="AP274" s="218">
        <f t="shared" si="184"/>
        <v>0.98622459003957852</v>
      </c>
      <c r="AQ274" s="218">
        <f t="shared" si="184"/>
        <v>0.98622459003957852</v>
      </c>
      <c r="AR274" s="218">
        <f t="shared" si="184"/>
        <v>0.98622459003957852</v>
      </c>
      <c r="AS274" s="218">
        <f t="shared" si="184"/>
        <v>0.98622459003957852</v>
      </c>
      <c r="AT274" s="218">
        <f t="shared" si="184"/>
        <v>0.98622459003957852</v>
      </c>
      <c r="AU274" s="218">
        <f t="shared" si="184"/>
        <v>0.98622459003957852</v>
      </c>
      <c r="AV274" s="218">
        <f t="shared" si="184"/>
        <v>0.98622459003957852</v>
      </c>
      <c r="AW274" s="218">
        <f t="shared" si="184"/>
        <v>0.98622459003957852</v>
      </c>
      <c r="AX274" s="218">
        <f t="shared" si="184"/>
        <v>0.98622459003957852</v>
      </c>
      <c r="AY274" s="218">
        <f t="shared" si="184"/>
        <v>0.98622459003957852</v>
      </c>
      <c r="AZ274" s="218">
        <f t="shared" si="184"/>
        <v>0.98622459003957852</v>
      </c>
      <c r="BA274" s="218">
        <f t="shared" si="184"/>
        <v>0.98622459003957852</v>
      </c>
      <c r="BB274" s="218">
        <f t="shared" si="184"/>
        <v>0.98622459003957852</v>
      </c>
      <c r="BC274" s="218">
        <f t="shared" si="184"/>
        <v>0.98622459003957852</v>
      </c>
      <c r="BD274" s="218">
        <f t="shared" si="184"/>
        <v>0.98622459003957852</v>
      </c>
      <c r="BE274" s="218">
        <f t="shared" si="184"/>
        <v>0.98622459003957852</v>
      </c>
    </row>
    <row r="275" spans="1:57" ht="14.25" customHeight="1" x14ac:dyDescent="0.45">
      <c r="A275" s="618"/>
      <c r="B275" s="215"/>
      <c r="C275" s="220"/>
      <c r="D275" s="247" t="s">
        <v>238</v>
      </c>
      <c r="E275" s="385">
        <f>Electricidad!E320</f>
        <v>0</v>
      </c>
      <c r="F275" s="385">
        <f>Electricidad!F320</f>
        <v>0</v>
      </c>
      <c r="G275" s="385">
        <f>Electricidad!G320</f>
        <v>0</v>
      </c>
      <c r="H275" s="385">
        <f>Electricidad!H320</f>
        <v>0</v>
      </c>
      <c r="I275" s="248"/>
      <c r="J275" s="248"/>
      <c r="K275" s="248"/>
      <c r="L275" s="248"/>
      <c r="M275" s="248"/>
      <c r="N275" s="248"/>
      <c r="O275" s="248"/>
      <c r="P275" s="248"/>
      <c r="Q275" s="248"/>
      <c r="R275" s="248"/>
      <c r="S275" s="248"/>
      <c r="T275" s="248"/>
      <c r="U275" s="248"/>
      <c r="V275" s="248"/>
      <c r="W275" s="248"/>
      <c r="X275" s="248"/>
      <c r="Y275" s="248"/>
      <c r="Z275" s="248"/>
      <c r="AA275" s="248"/>
      <c r="AB275" s="248"/>
      <c r="AC275" s="248"/>
      <c r="AD275" s="248"/>
      <c r="AE275" s="248"/>
      <c r="AF275" s="248"/>
      <c r="AG275" s="248"/>
      <c r="AH275" s="248"/>
      <c r="AI275" s="248"/>
      <c r="AJ275" s="248"/>
      <c r="AK275" s="248"/>
      <c r="AL275" s="218">
        <f t="shared" ref="AL275:BE275" si="185">AK275</f>
        <v>0</v>
      </c>
      <c r="AM275" s="218">
        <f t="shared" si="185"/>
        <v>0</v>
      </c>
      <c r="AN275" s="218">
        <f t="shared" si="185"/>
        <v>0</v>
      </c>
      <c r="AO275" s="218">
        <f t="shared" si="185"/>
        <v>0</v>
      </c>
      <c r="AP275" s="218">
        <f t="shared" si="185"/>
        <v>0</v>
      </c>
      <c r="AQ275" s="218">
        <f t="shared" si="185"/>
        <v>0</v>
      </c>
      <c r="AR275" s="218">
        <f t="shared" si="185"/>
        <v>0</v>
      </c>
      <c r="AS275" s="218">
        <f t="shared" si="185"/>
        <v>0</v>
      </c>
      <c r="AT275" s="218">
        <f t="shared" si="185"/>
        <v>0</v>
      </c>
      <c r="AU275" s="218">
        <f t="shared" si="185"/>
        <v>0</v>
      </c>
      <c r="AV275" s="218">
        <f t="shared" si="185"/>
        <v>0</v>
      </c>
      <c r="AW275" s="218">
        <f t="shared" si="185"/>
        <v>0</v>
      </c>
      <c r="AX275" s="218">
        <f t="shared" si="185"/>
        <v>0</v>
      </c>
      <c r="AY275" s="218">
        <f t="shared" si="185"/>
        <v>0</v>
      </c>
      <c r="AZ275" s="218">
        <f t="shared" si="185"/>
        <v>0</v>
      </c>
      <c r="BA275" s="218">
        <f t="shared" si="185"/>
        <v>0</v>
      </c>
      <c r="BB275" s="218">
        <f t="shared" si="185"/>
        <v>0</v>
      </c>
      <c r="BC275" s="218">
        <f t="shared" si="185"/>
        <v>0</v>
      </c>
      <c r="BD275" s="218">
        <f t="shared" si="185"/>
        <v>0</v>
      </c>
      <c r="BE275" s="218">
        <f t="shared" si="185"/>
        <v>0</v>
      </c>
    </row>
    <row r="276" spans="1:57" ht="14.25" customHeight="1" x14ac:dyDescent="0.45">
      <c r="A276" s="618"/>
      <c r="B276" s="215"/>
      <c r="C276" s="220" t="s">
        <v>246</v>
      </c>
      <c r="D276" s="243" t="s">
        <v>236</v>
      </c>
      <c r="E276" s="383">
        <f>Electricidad!E321</f>
        <v>0.56457202108179305</v>
      </c>
      <c r="F276" s="383">
        <f>Electricidad!F321</f>
        <v>0.55416591293809569</v>
      </c>
      <c r="G276" s="383">
        <f>Electricidad!G321</f>
        <v>0.49379485713910076</v>
      </c>
      <c r="H276" s="383">
        <f>Electricidad!H321</f>
        <v>0.50357343277808397</v>
      </c>
      <c r="I276" s="29">
        <v>0.49325715305315593</v>
      </c>
      <c r="J276" s="29">
        <v>0.49325715305315593</v>
      </c>
      <c r="K276" s="29">
        <v>0.49325715305315593</v>
      </c>
      <c r="L276" s="29">
        <v>0.49325715305315593</v>
      </c>
      <c r="M276" s="29">
        <v>0.49325715305315593</v>
      </c>
      <c r="N276" s="29">
        <v>0.49325715305315593</v>
      </c>
      <c r="O276" s="29">
        <v>0.49325715305315593</v>
      </c>
      <c r="P276" s="29">
        <v>0.49325715305315593</v>
      </c>
      <c r="Q276" s="29">
        <v>0.49325715305315593</v>
      </c>
      <c r="R276" s="29">
        <v>0.49325715305315593</v>
      </c>
      <c r="S276" s="29">
        <v>0.49325715305315593</v>
      </c>
      <c r="T276" s="29">
        <v>0.49325715305315593</v>
      </c>
      <c r="U276" s="29">
        <v>0.49325715305315593</v>
      </c>
      <c r="V276" s="29">
        <v>0.49325715305315593</v>
      </c>
      <c r="W276" s="29">
        <v>0.49325715305315593</v>
      </c>
      <c r="X276" s="29">
        <v>0.49325715305315593</v>
      </c>
      <c r="Y276" s="29">
        <v>0.49325715305315593</v>
      </c>
      <c r="Z276" s="29">
        <v>0.49325715305315593</v>
      </c>
      <c r="AA276" s="29">
        <v>0.49325715305315593</v>
      </c>
      <c r="AB276" s="29">
        <v>0.49325715305315593</v>
      </c>
      <c r="AC276" s="29">
        <v>0.49325715305315593</v>
      </c>
      <c r="AD276" s="29">
        <v>0.49325715305315593</v>
      </c>
      <c r="AE276" s="29">
        <v>0.49325715305315593</v>
      </c>
      <c r="AF276" s="29">
        <v>0.49325715305315593</v>
      </c>
      <c r="AG276" s="29">
        <v>0.49325715305315593</v>
      </c>
      <c r="AH276" s="29">
        <v>0.49325715305315593</v>
      </c>
      <c r="AI276" s="29">
        <v>0.49325715305315593</v>
      </c>
      <c r="AJ276" s="29">
        <v>0.49325715305315593</v>
      </c>
      <c r="AK276" s="29">
        <v>0.49325715305315593</v>
      </c>
      <c r="AL276" s="218">
        <f t="shared" ref="AL276:BE276" si="186">AK276</f>
        <v>0.49325715305315593</v>
      </c>
      <c r="AM276" s="218">
        <f t="shared" si="186"/>
        <v>0.49325715305315593</v>
      </c>
      <c r="AN276" s="218">
        <f t="shared" si="186"/>
        <v>0.49325715305315593</v>
      </c>
      <c r="AO276" s="218">
        <f t="shared" si="186"/>
        <v>0.49325715305315593</v>
      </c>
      <c r="AP276" s="218">
        <f t="shared" si="186"/>
        <v>0.49325715305315593</v>
      </c>
      <c r="AQ276" s="218">
        <f t="shared" si="186"/>
        <v>0.49325715305315593</v>
      </c>
      <c r="AR276" s="218">
        <f t="shared" si="186"/>
        <v>0.49325715305315593</v>
      </c>
      <c r="AS276" s="218">
        <f t="shared" si="186"/>
        <v>0.49325715305315593</v>
      </c>
      <c r="AT276" s="218">
        <f t="shared" si="186"/>
        <v>0.49325715305315593</v>
      </c>
      <c r="AU276" s="218">
        <f t="shared" si="186"/>
        <v>0.49325715305315593</v>
      </c>
      <c r="AV276" s="218">
        <f t="shared" si="186"/>
        <v>0.49325715305315593</v>
      </c>
      <c r="AW276" s="218">
        <f t="shared" si="186"/>
        <v>0.49325715305315593</v>
      </c>
      <c r="AX276" s="218">
        <f t="shared" si="186"/>
        <v>0.49325715305315593</v>
      </c>
      <c r="AY276" s="218">
        <f t="shared" si="186"/>
        <v>0.49325715305315593</v>
      </c>
      <c r="AZ276" s="218">
        <f t="shared" si="186"/>
        <v>0.49325715305315593</v>
      </c>
      <c r="BA276" s="218">
        <f t="shared" si="186"/>
        <v>0.49325715305315593</v>
      </c>
      <c r="BB276" s="218">
        <f t="shared" si="186"/>
        <v>0.49325715305315593</v>
      </c>
      <c r="BC276" s="218">
        <f t="shared" si="186"/>
        <v>0.49325715305315593</v>
      </c>
      <c r="BD276" s="218">
        <f t="shared" si="186"/>
        <v>0.49325715305315593</v>
      </c>
      <c r="BE276" s="218">
        <f t="shared" si="186"/>
        <v>0.49325715305315593</v>
      </c>
    </row>
    <row r="277" spans="1:57" ht="14.25" customHeight="1" x14ac:dyDescent="0.45">
      <c r="A277" s="618"/>
      <c r="B277" s="215"/>
      <c r="C277" s="220" t="s">
        <v>247</v>
      </c>
      <c r="D277" s="243" t="s">
        <v>245</v>
      </c>
      <c r="E277" s="383">
        <f>Electricidad!E322</f>
        <v>0.53543750866355</v>
      </c>
      <c r="F277" s="383">
        <f>Electricidad!F322</f>
        <v>0.48766237686504016</v>
      </c>
      <c r="G277" s="383">
        <f>Electricidad!G322</f>
        <v>0.46653296939210137</v>
      </c>
      <c r="H277" s="383">
        <f>Electricidad!H322</f>
        <v>0.63096614789726968</v>
      </c>
      <c r="I277" s="29">
        <v>0.44833693723874701</v>
      </c>
      <c r="J277" s="29">
        <v>0.44833693723874701</v>
      </c>
      <c r="K277" s="29">
        <v>0.44833693723874701</v>
      </c>
      <c r="L277" s="29">
        <v>0.44833693723874701</v>
      </c>
      <c r="M277" s="29">
        <v>0.44833693723874701</v>
      </c>
      <c r="N277" s="29">
        <v>0.44833693723874701</v>
      </c>
      <c r="O277" s="29">
        <v>0.44833693723874701</v>
      </c>
      <c r="P277" s="29">
        <v>0.44833693723874701</v>
      </c>
      <c r="Q277" s="29">
        <v>0.44833693723874701</v>
      </c>
      <c r="R277" s="29">
        <v>0.44833693723874701</v>
      </c>
      <c r="S277" s="29">
        <v>0.44833693723874701</v>
      </c>
      <c r="T277" s="29">
        <v>0.44833693723874701</v>
      </c>
      <c r="U277" s="29">
        <v>0.44833693723874701</v>
      </c>
      <c r="V277" s="29">
        <v>0.44833693723874701</v>
      </c>
      <c r="W277" s="29">
        <v>0.44833693723874701</v>
      </c>
      <c r="X277" s="29">
        <v>0.44833693723874701</v>
      </c>
      <c r="Y277" s="29">
        <v>0.44833693723874701</v>
      </c>
      <c r="Z277" s="29">
        <v>0.44833693723874701</v>
      </c>
      <c r="AA277" s="29">
        <v>0.44833693723874701</v>
      </c>
      <c r="AB277" s="29">
        <v>0.44833693723874701</v>
      </c>
      <c r="AC277" s="29">
        <v>0.44833693723874701</v>
      </c>
      <c r="AD277" s="29">
        <v>0.44833693723874701</v>
      </c>
      <c r="AE277" s="29">
        <v>0.44833693723874701</v>
      </c>
      <c r="AF277" s="29">
        <v>0.44833693723874701</v>
      </c>
      <c r="AG277" s="29">
        <v>0.44833693723874701</v>
      </c>
      <c r="AH277" s="29">
        <v>0.44833693723874701</v>
      </c>
      <c r="AI277" s="29">
        <v>0.44833693723874701</v>
      </c>
      <c r="AJ277" s="29">
        <v>0.44833693723874701</v>
      </c>
      <c r="AK277" s="29">
        <v>0.44833693723874701</v>
      </c>
      <c r="AL277" s="218">
        <f t="shared" ref="AL277:BE277" si="187">AK277</f>
        <v>0.44833693723874701</v>
      </c>
      <c r="AM277" s="218">
        <f t="shared" si="187"/>
        <v>0.44833693723874701</v>
      </c>
      <c r="AN277" s="218">
        <f t="shared" si="187"/>
        <v>0.44833693723874701</v>
      </c>
      <c r="AO277" s="218">
        <f t="shared" si="187"/>
        <v>0.44833693723874701</v>
      </c>
      <c r="AP277" s="218">
        <f t="shared" si="187"/>
        <v>0.44833693723874701</v>
      </c>
      <c r="AQ277" s="218">
        <f t="shared" si="187"/>
        <v>0.44833693723874701</v>
      </c>
      <c r="AR277" s="218">
        <f t="shared" si="187"/>
        <v>0.44833693723874701</v>
      </c>
      <c r="AS277" s="218">
        <f t="shared" si="187"/>
        <v>0.44833693723874701</v>
      </c>
      <c r="AT277" s="218">
        <f t="shared" si="187"/>
        <v>0.44833693723874701</v>
      </c>
      <c r="AU277" s="218">
        <f t="shared" si="187"/>
        <v>0.44833693723874701</v>
      </c>
      <c r="AV277" s="218">
        <f t="shared" si="187"/>
        <v>0.44833693723874701</v>
      </c>
      <c r="AW277" s="218">
        <f t="shared" si="187"/>
        <v>0.44833693723874701</v>
      </c>
      <c r="AX277" s="218">
        <f t="shared" si="187"/>
        <v>0.44833693723874701</v>
      </c>
      <c r="AY277" s="218">
        <f t="shared" si="187"/>
        <v>0.44833693723874701</v>
      </c>
      <c r="AZ277" s="218">
        <f t="shared" si="187"/>
        <v>0.44833693723874701</v>
      </c>
      <c r="BA277" s="218">
        <f t="shared" si="187"/>
        <v>0.44833693723874701</v>
      </c>
      <c r="BB277" s="218">
        <f t="shared" si="187"/>
        <v>0.44833693723874701</v>
      </c>
      <c r="BC277" s="218">
        <f t="shared" si="187"/>
        <v>0.44833693723874701</v>
      </c>
      <c r="BD277" s="218">
        <f t="shared" si="187"/>
        <v>0.44833693723874701</v>
      </c>
      <c r="BE277" s="218">
        <f t="shared" si="187"/>
        <v>0.44833693723874701</v>
      </c>
    </row>
    <row r="278" spans="1:57" ht="14.25" customHeight="1" x14ac:dyDescent="0.45">
      <c r="A278" s="618"/>
      <c r="B278" s="215"/>
      <c r="C278" s="220" t="s">
        <v>249</v>
      </c>
      <c r="D278" s="243" t="s">
        <v>240</v>
      </c>
      <c r="E278" s="383">
        <f>Electricidad!E323</f>
        <v>4.6212272796968046E-2</v>
      </c>
      <c r="F278" s="383">
        <f>Electricidad!F323</f>
        <v>2.7002130903017896E-2</v>
      </c>
      <c r="G278" s="383">
        <f>Electricidad!G323</f>
        <v>2.3986061274220826E-2</v>
      </c>
      <c r="H278" s="383">
        <f>Electricidad!H323</f>
        <v>6.9796261250205226E-3</v>
      </c>
      <c r="I278" s="29">
        <v>4.4630499747675641E-2</v>
      </c>
      <c r="J278" s="29">
        <v>4.4630499747675641E-2</v>
      </c>
      <c r="K278" s="29">
        <v>4.4630499747675641E-2</v>
      </c>
      <c r="L278" s="29">
        <v>4.4630499747675641E-2</v>
      </c>
      <c r="M278" s="29">
        <v>4.4630499747675641E-2</v>
      </c>
      <c r="N278" s="29">
        <v>4.4630499747675641E-2</v>
      </c>
      <c r="O278" s="29">
        <v>4.4630499747675641E-2</v>
      </c>
      <c r="P278" s="29">
        <v>4.4630499747675641E-2</v>
      </c>
      <c r="Q278" s="29">
        <v>4.4630499747675641E-2</v>
      </c>
      <c r="R278" s="29">
        <v>4.4630499747675641E-2</v>
      </c>
      <c r="S278" s="29">
        <v>4.4630499747675641E-2</v>
      </c>
      <c r="T278" s="29">
        <v>4.4630499747675641E-2</v>
      </c>
      <c r="U278" s="29">
        <v>4.4630499747675641E-2</v>
      </c>
      <c r="V278" s="29">
        <v>4.4630499747675641E-2</v>
      </c>
      <c r="W278" s="29">
        <v>4.4630499747675641E-2</v>
      </c>
      <c r="X278" s="29">
        <v>4.4630499747675641E-2</v>
      </c>
      <c r="Y278" s="29">
        <v>4.4630499747675641E-2</v>
      </c>
      <c r="Z278" s="29">
        <v>4.4630499747675641E-2</v>
      </c>
      <c r="AA278" s="29">
        <v>4.4630499747675641E-2</v>
      </c>
      <c r="AB278" s="29">
        <v>4.4630499747675641E-2</v>
      </c>
      <c r="AC278" s="29">
        <v>4.4630499747675641E-2</v>
      </c>
      <c r="AD278" s="29">
        <v>4.4630499747675641E-2</v>
      </c>
      <c r="AE278" s="29">
        <v>4.4630499747675641E-2</v>
      </c>
      <c r="AF278" s="29">
        <v>4.4630499747675641E-2</v>
      </c>
      <c r="AG278" s="29">
        <v>4.4630499747675641E-2</v>
      </c>
      <c r="AH278" s="29">
        <v>4.4630499747675641E-2</v>
      </c>
      <c r="AI278" s="29">
        <v>4.4630499747675641E-2</v>
      </c>
      <c r="AJ278" s="29">
        <v>4.4630499747675641E-2</v>
      </c>
      <c r="AK278" s="29">
        <v>4.4630499747675641E-2</v>
      </c>
      <c r="AL278" s="218">
        <f t="shared" ref="AL278:BE278" si="188">AK278</f>
        <v>4.4630499747675641E-2</v>
      </c>
      <c r="AM278" s="218">
        <f t="shared" si="188"/>
        <v>4.4630499747675641E-2</v>
      </c>
      <c r="AN278" s="218">
        <f t="shared" si="188"/>
        <v>4.4630499747675641E-2</v>
      </c>
      <c r="AO278" s="218">
        <f t="shared" si="188"/>
        <v>4.4630499747675641E-2</v>
      </c>
      <c r="AP278" s="218">
        <f t="shared" si="188"/>
        <v>4.4630499747675641E-2</v>
      </c>
      <c r="AQ278" s="218">
        <f t="shared" si="188"/>
        <v>4.4630499747675641E-2</v>
      </c>
      <c r="AR278" s="218">
        <f t="shared" si="188"/>
        <v>4.4630499747675641E-2</v>
      </c>
      <c r="AS278" s="218">
        <f t="shared" si="188"/>
        <v>4.4630499747675641E-2</v>
      </c>
      <c r="AT278" s="218">
        <f t="shared" si="188"/>
        <v>4.4630499747675641E-2</v>
      </c>
      <c r="AU278" s="218">
        <f t="shared" si="188"/>
        <v>4.4630499747675641E-2</v>
      </c>
      <c r="AV278" s="218">
        <f t="shared" si="188"/>
        <v>4.4630499747675641E-2</v>
      </c>
      <c r="AW278" s="218">
        <f t="shared" si="188"/>
        <v>4.4630499747675641E-2</v>
      </c>
      <c r="AX278" s="218">
        <f t="shared" si="188"/>
        <v>4.4630499747675641E-2</v>
      </c>
      <c r="AY278" s="218">
        <f t="shared" si="188"/>
        <v>4.4630499747675641E-2</v>
      </c>
      <c r="AZ278" s="218">
        <f t="shared" si="188"/>
        <v>4.4630499747675641E-2</v>
      </c>
      <c r="BA278" s="218">
        <f t="shared" si="188"/>
        <v>4.4630499747675641E-2</v>
      </c>
      <c r="BB278" s="218">
        <f t="shared" si="188"/>
        <v>4.4630499747675641E-2</v>
      </c>
      <c r="BC278" s="218">
        <f t="shared" si="188"/>
        <v>4.4630499747675641E-2</v>
      </c>
      <c r="BD278" s="218">
        <f t="shared" si="188"/>
        <v>4.4630499747675641E-2</v>
      </c>
      <c r="BE278" s="218">
        <f t="shared" si="188"/>
        <v>4.4630499747675641E-2</v>
      </c>
    </row>
    <row r="279" spans="1:57" ht="14.25" customHeight="1" x14ac:dyDescent="0.45">
      <c r="A279" s="618"/>
      <c r="B279" s="215"/>
      <c r="C279" s="220"/>
      <c r="D279" s="228" t="s">
        <v>193</v>
      </c>
      <c r="E279" s="370">
        <f>Electricidad!E324</f>
        <v>0.10577360645793345</v>
      </c>
      <c r="F279" s="370">
        <f>Electricidad!F324</f>
        <v>9.7462823093381765E-2</v>
      </c>
      <c r="G279" s="370">
        <f>Electricidad!G324</f>
        <v>1.8224792392701895E-2</v>
      </c>
      <c r="H279" s="370">
        <f>Electricidad!H324</f>
        <v>0.10079239619368158</v>
      </c>
      <c r="I279" s="230">
        <f t="shared" ref="I279:AK279" si="189">I281+I283+I285</f>
        <v>1.8204573084255795E-2</v>
      </c>
      <c r="J279" s="230">
        <f t="shared" si="189"/>
        <v>1.8204573084255795E-2</v>
      </c>
      <c r="K279" s="230">
        <f t="shared" si="189"/>
        <v>1.8204573084255795E-2</v>
      </c>
      <c r="L279" s="230">
        <f t="shared" si="189"/>
        <v>1.8204573084255795E-2</v>
      </c>
      <c r="M279" s="230">
        <f t="shared" si="189"/>
        <v>1.8204573084255795E-2</v>
      </c>
      <c r="N279" s="230">
        <f t="shared" si="189"/>
        <v>1.8204573084255795E-2</v>
      </c>
      <c r="O279" s="230">
        <f t="shared" si="189"/>
        <v>1.8204573084255795E-2</v>
      </c>
      <c r="P279" s="230">
        <f t="shared" si="189"/>
        <v>1.8204573084255795E-2</v>
      </c>
      <c r="Q279" s="230">
        <f t="shared" si="189"/>
        <v>1.8204573084255795E-2</v>
      </c>
      <c r="R279" s="230">
        <f t="shared" si="189"/>
        <v>1.8204573084255795E-2</v>
      </c>
      <c r="S279" s="230">
        <f t="shared" si="189"/>
        <v>1.8204573084255795E-2</v>
      </c>
      <c r="T279" s="230">
        <f t="shared" si="189"/>
        <v>1.8204573084255795E-2</v>
      </c>
      <c r="U279" s="230">
        <f t="shared" si="189"/>
        <v>1.8204573084255795E-2</v>
      </c>
      <c r="V279" s="230">
        <f t="shared" si="189"/>
        <v>1.8204573084255795E-2</v>
      </c>
      <c r="W279" s="230">
        <f t="shared" si="189"/>
        <v>1.8204573084255795E-2</v>
      </c>
      <c r="X279" s="230">
        <f t="shared" si="189"/>
        <v>1.8204573084255795E-2</v>
      </c>
      <c r="Y279" s="230">
        <f t="shared" si="189"/>
        <v>1.8204573084255795E-2</v>
      </c>
      <c r="Z279" s="230">
        <f t="shared" si="189"/>
        <v>1.8204573084255795E-2</v>
      </c>
      <c r="AA279" s="230">
        <f t="shared" si="189"/>
        <v>1.8204573084255795E-2</v>
      </c>
      <c r="AB279" s="230">
        <f t="shared" si="189"/>
        <v>1.8204573084255795E-2</v>
      </c>
      <c r="AC279" s="230">
        <f t="shared" si="189"/>
        <v>1.8204573084255795E-2</v>
      </c>
      <c r="AD279" s="230">
        <f t="shared" si="189"/>
        <v>1.8204573084255795E-2</v>
      </c>
      <c r="AE279" s="230">
        <f t="shared" si="189"/>
        <v>1.8204573084255795E-2</v>
      </c>
      <c r="AF279" s="230">
        <f t="shared" si="189"/>
        <v>1.8204573084255795E-2</v>
      </c>
      <c r="AG279" s="230">
        <f t="shared" si="189"/>
        <v>1.8204573084255795E-2</v>
      </c>
      <c r="AH279" s="230">
        <f t="shared" si="189"/>
        <v>1.8204573084255795E-2</v>
      </c>
      <c r="AI279" s="230">
        <f t="shared" si="189"/>
        <v>1.8204573084255795E-2</v>
      </c>
      <c r="AJ279" s="230">
        <f t="shared" si="189"/>
        <v>1.8204573084255795E-2</v>
      </c>
      <c r="AK279" s="230">
        <f t="shared" si="189"/>
        <v>1.8204573084255795E-2</v>
      </c>
      <c r="AL279" s="218">
        <f t="shared" ref="AL279:BE279" si="190">AK279</f>
        <v>1.8204573084255795E-2</v>
      </c>
      <c r="AM279" s="218">
        <f t="shared" si="190"/>
        <v>1.8204573084255795E-2</v>
      </c>
      <c r="AN279" s="218">
        <f t="shared" si="190"/>
        <v>1.8204573084255795E-2</v>
      </c>
      <c r="AO279" s="218">
        <f t="shared" si="190"/>
        <v>1.8204573084255795E-2</v>
      </c>
      <c r="AP279" s="218">
        <f t="shared" si="190"/>
        <v>1.8204573084255795E-2</v>
      </c>
      <c r="AQ279" s="218">
        <f t="shared" si="190"/>
        <v>1.8204573084255795E-2</v>
      </c>
      <c r="AR279" s="218">
        <f t="shared" si="190"/>
        <v>1.8204573084255795E-2</v>
      </c>
      <c r="AS279" s="218">
        <f t="shared" si="190"/>
        <v>1.8204573084255795E-2</v>
      </c>
      <c r="AT279" s="218">
        <f t="shared" si="190"/>
        <v>1.8204573084255795E-2</v>
      </c>
      <c r="AU279" s="218">
        <f t="shared" si="190"/>
        <v>1.8204573084255795E-2</v>
      </c>
      <c r="AV279" s="218">
        <f t="shared" si="190"/>
        <v>1.8204573084255795E-2</v>
      </c>
      <c r="AW279" s="218">
        <f t="shared" si="190"/>
        <v>1.8204573084255795E-2</v>
      </c>
      <c r="AX279" s="218">
        <f t="shared" si="190"/>
        <v>1.8204573084255795E-2</v>
      </c>
      <c r="AY279" s="218">
        <f t="shared" si="190"/>
        <v>1.8204573084255795E-2</v>
      </c>
      <c r="AZ279" s="218">
        <f t="shared" si="190"/>
        <v>1.8204573084255795E-2</v>
      </c>
      <c r="BA279" s="218">
        <f t="shared" si="190"/>
        <v>1.8204573084255795E-2</v>
      </c>
      <c r="BB279" s="218">
        <f t="shared" si="190"/>
        <v>1.8204573084255795E-2</v>
      </c>
      <c r="BC279" s="218">
        <f t="shared" si="190"/>
        <v>1.8204573084255795E-2</v>
      </c>
      <c r="BD279" s="218">
        <f t="shared" si="190"/>
        <v>1.8204573084255795E-2</v>
      </c>
      <c r="BE279" s="218">
        <f t="shared" si="190"/>
        <v>1.8204573084255795E-2</v>
      </c>
    </row>
    <row r="280" spans="1:57" ht="14.25" customHeight="1" x14ac:dyDescent="0.45">
      <c r="A280" s="618"/>
      <c r="B280" s="215"/>
      <c r="C280" s="220"/>
      <c r="D280" s="247" t="s">
        <v>225</v>
      </c>
      <c r="E280" s="380">
        <f>Electricidad!E325</f>
        <v>0</v>
      </c>
      <c r="F280" s="380">
        <f>Electricidad!F325</f>
        <v>0</v>
      </c>
      <c r="G280" s="380">
        <f>Electricidad!G325</f>
        <v>0</v>
      </c>
      <c r="H280" s="380">
        <f>Electricidad!H325</f>
        <v>0</v>
      </c>
      <c r="I280" s="248"/>
      <c r="J280" s="248"/>
      <c r="K280" s="248"/>
      <c r="L280" s="248"/>
      <c r="M280" s="248"/>
      <c r="N280" s="248"/>
      <c r="O280" s="248"/>
      <c r="P280" s="248"/>
      <c r="Q280" s="248"/>
      <c r="R280" s="248"/>
      <c r="S280" s="248"/>
      <c r="T280" s="248"/>
      <c r="U280" s="248"/>
      <c r="V280" s="248"/>
      <c r="W280" s="248"/>
      <c r="X280" s="248"/>
      <c r="Y280" s="248"/>
      <c r="Z280" s="248"/>
      <c r="AA280" s="248"/>
      <c r="AB280" s="248"/>
      <c r="AC280" s="248"/>
      <c r="AD280" s="248"/>
      <c r="AE280" s="248"/>
      <c r="AF280" s="248"/>
      <c r="AG280" s="248"/>
      <c r="AH280" s="248"/>
      <c r="AI280" s="248"/>
      <c r="AJ280" s="248"/>
      <c r="AK280" s="248"/>
      <c r="AL280" s="218">
        <f t="shared" ref="AL280:BE280" si="191">AK280</f>
        <v>0</v>
      </c>
      <c r="AM280" s="218">
        <f t="shared" si="191"/>
        <v>0</v>
      </c>
      <c r="AN280" s="218">
        <f t="shared" si="191"/>
        <v>0</v>
      </c>
      <c r="AO280" s="218">
        <f t="shared" si="191"/>
        <v>0</v>
      </c>
      <c r="AP280" s="218">
        <f t="shared" si="191"/>
        <v>0</v>
      </c>
      <c r="AQ280" s="218">
        <f t="shared" si="191"/>
        <v>0</v>
      </c>
      <c r="AR280" s="218">
        <f t="shared" si="191"/>
        <v>0</v>
      </c>
      <c r="AS280" s="218">
        <f t="shared" si="191"/>
        <v>0</v>
      </c>
      <c r="AT280" s="218">
        <f t="shared" si="191"/>
        <v>0</v>
      </c>
      <c r="AU280" s="218">
        <f t="shared" si="191"/>
        <v>0</v>
      </c>
      <c r="AV280" s="218">
        <f t="shared" si="191"/>
        <v>0</v>
      </c>
      <c r="AW280" s="218">
        <f t="shared" si="191"/>
        <v>0</v>
      </c>
      <c r="AX280" s="218">
        <f t="shared" si="191"/>
        <v>0</v>
      </c>
      <c r="AY280" s="218">
        <f t="shared" si="191"/>
        <v>0</v>
      </c>
      <c r="AZ280" s="218">
        <f t="shared" si="191"/>
        <v>0</v>
      </c>
      <c r="BA280" s="218">
        <f t="shared" si="191"/>
        <v>0</v>
      </c>
      <c r="BB280" s="218">
        <f t="shared" si="191"/>
        <v>0</v>
      </c>
      <c r="BC280" s="218">
        <f t="shared" si="191"/>
        <v>0</v>
      </c>
      <c r="BD280" s="218">
        <f t="shared" si="191"/>
        <v>0</v>
      </c>
      <c r="BE280" s="218">
        <f t="shared" si="191"/>
        <v>0</v>
      </c>
    </row>
    <row r="281" spans="1:57" ht="14.25" customHeight="1" x14ac:dyDescent="0.45">
      <c r="A281" s="618"/>
      <c r="B281" s="215"/>
      <c r="C281" s="220" t="s">
        <v>250</v>
      </c>
      <c r="D281" s="243" t="s">
        <v>236</v>
      </c>
      <c r="E281" s="386">
        <f>Electricidad!E326</f>
        <v>6.0801835004730329E-6</v>
      </c>
      <c r="F281" s="386">
        <f>Electricidad!F326</f>
        <v>0</v>
      </c>
      <c r="G281" s="386">
        <f>Electricidad!G326</f>
        <v>0</v>
      </c>
      <c r="H281" s="386">
        <f>Electricidad!H326</f>
        <v>0</v>
      </c>
      <c r="I281" s="29">
        <v>0</v>
      </c>
      <c r="J281" s="29">
        <v>0</v>
      </c>
      <c r="K281" s="29">
        <v>0</v>
      </c>
      <c r="L281" s="29">
        <v>0</v>
      </c>
      <c r="M281" s="29">
        <v>0</v>
      </c>
      <c r="N281" s="29">
        <v>0</v>
      </c>
      <c r="O281" s="29">
        <v>0</v>
      </c>
      <c r="P281" s="29">
        <v>0</v>
      </c>
      <c r="Q281" s="29">
        <v>0</v>
      </c>
      <c r="R281" s="29">
        <v>0</v>
      </c>
      <c r="S281" s="29">
        <v>0</v>
      </c>
      <c r="T281" s="29">
        <v>0</v>
      </c>
      <c r="U281" s="29">
        <v>0</v>
      </c>
      <c r="V281" s="29">
        <v>0</v>
      </c>
      <c r="W281" s="29">
        <v>0</v>
      </c>
      <c r="X281" s="29">
        <v>0</v>
      </c>
      <c r="Y281" s="29">
        <v>0</v>
      </c>
      <c r="Z281" s="29">
        <v>0</v>
      </c>
      <c r="AA281" s="29">
        <v>0</v>
      </c>
      <c r="AB281" s="29">
        <v>0</v>
      </c>
      <c r="AC281" s="29">
        <v>0</v>
      </c>
      <c r="AD281" s="29">
        <v>0</v>
      </c>
      <c r="AE281" s="29">
        <v>0</v>
      </c>
      <c r="AF281" s="29">
        <v>0</v>
      </c>
      <c r="AG281" s="29">
        <v>0</v>
      </c>
      <c r="AH281" s="29">
        <v>0</v>
      </c>
      <c r="AI281" s="29">
        <v>0</v>
      </c>
      <c r="AJ281" s="29">
        <v>0</v>
      </c>
      <c r="AK281" s="29">
        <v>0</v>
      </c>
      <c r="AL281" s="218">
        <f t="shared" ref="AL281:BE281" si="192">AK281</f>
        <v>0</v>
      </c>
      <c r="AM281" s="218">
        <f t="shared" si="192"/>
        <v>0</v>
      </c>
      <c r="AN281" s="218">
        <f t="shared" si="192"/>
        <v>0</v>
      </c>
      <c r="AO281" s="218">
        <f t="shared" si="192"/>
        <v>0</v>
      </c>
      <c r="AP281" s="218">
        <f t="shared" si="192"/>
        <v>0</v>
      </c>
      <c r="AQ281" s="218">
        <f t="shared" si="192"/>
        <v>0</v>
      </c>
      <c r="AR281" s="218">
        <f t="shared" si="192"/>
        <v>0</v>
      </c>
      <c r="AS281" s="218">
        <f t="shared" si="192"/>
        <v>0</v>
      </c>
      <c r="AT281" s="218">
        <f t="shared" si="192"/>
        <v>0</v>
      </c>
      <c r="AU281" s="218">
        <f t="shared" si="192"/>
        <v>0</v>
      </c>
      <c r="AV281" s="218">
        <f t="shared" si="192"/>
        <v>0</v>
      </c>
      <c r="AW281" s="218">
        <f t="shared" si="192"/>
        <v>0</v>
      </c>
      <c r="AX281" s="218">
        <f t="shared" si="192"/>
        <v>0</v>
      </c>
      <c r="AY281" s="218">
        <f t="shared" si="192"/>
        <v>0</v>
      </c>
      <c r="AZ281" s="218">
        <f t="shared" si="192"/>
        <v>0</v>
      </c>
      <c r="BA281" s="218">
        <f t="shared" si="192"/>
        <v>0</v>
      </c>
      <c r="BB281" s="218">
        <f t="shared" si="192"/>
        <v>0</v>
      </c>
      <c r="BC281" s="218">
        <f t="shared" si="192"/>
        <v>0</v>
      </c>
      <c r="BD281" s="218">
        <f t="shared" si="192"/>
        <v>0</v>
      </c>
      <c r="BE281" s="218">
        <f t="shared" si="192"/>
        <v>0</v>
      </c>
    </row>
    <row r="282" spans="1:57" ht="14.25" customHeight="1" x14ac:dyDescent="0.45">
      <c r="A282" s="618"/>
      <c r="B282" s="215"/>
      <c r="C282" s="220"/>
      <c r="D282" s="247" t="s">
        <v>230</v>
      </c>
      <c r="E282" s="380">
        <f>Electricidad!E327</f>
        <v>0</v>
      </c>
      <c r="F282" s="380">
        <f>Electricidad!F327</f>
        <v>0</v>
      </c>
      <c r="G282" s="380">
        <f>Electricidad!G327</f>
        <v>0</v>
      </c>
      <c r="H282" s="380">
        <f>Electricidad!H327</f>
        <v>0</v>
      </c>
      <c r="I282" s="248"/>
      <c r="J282" s="248"/>
      <c r="K282" s="248"/>
      <c r="L282" s="248"/>
      <c r="M282" s="248"/>
      <c r="N282" s="248"/>
      <c r="O282" s="248"/>
      <c r="P282" s="248"/>
      <c r="Q282" s="248"/>
      <c r="R282" s="248"/>
      <c r="S282" s="248"/>
      <c r="T282" s="248"/>
      <c r="U282" s="248"/>
      <c r="V282" s="248"/>
      <c r="W282" s="248"/>
      <c r="X282" s="248"/>
      <c r="Y282" s="248"/>
      <c r="Z282" s="248"/>
      <c r="AA282" s="248"/>
      <c r="AB282" s="248"/>
      <c r="AC282" s="248"/>
      <c r="AD282" s="248"/>
      <c r="AE282" s="248"/>
      <c r="AF282" s="248"/>
      <c r="AG282" s="248"/>
      <c r="AH282" s="248"/>
      <c r="AI282" s="248"/>
      <c r="AJ282" s="248"/>
      <c r="AK282" s="248"/>
      <c r="AL282" s="218">
        <f t="shared" ref="AL282:BE282" si="193">AK282</f>
        <v>0</v>
      </c>
      <c r="AM282" s="218">
        <f t="shared" si="193"/>
        <v>0</v>
      </c>
      <c r="AN282" s="218">
        <f t="shared" si="193"/>
        <v>0</v>
      </c>
      <c r="AO282" s="218">
        <f t="shared" si="193"/>
        <v>0</v>
      </c>
      <c r="AP282" s="218">
        <f t="shared" si="193"/>
        <v>0</v>
      </c>
      <c r="AQ282" s="218">
        <f t="shared" si="193"/>
        <v>0</v>
      </c>
      <c r="AR282" s="218">
        <f t="shared" si="193"/>
        <v>0</v>
      </c>
      <c r="AS282" s="218">
        <f t="shared" si="193"/>
        <v>0</v>
      </c>
      <c r="AT282" s="218">
        <f t="shared" si="193"/>
        <v>0</v>
      </c>
      <c r="AU282" s="218">
        <f t="shared" si="193"/>
        <v>0</v>
      </c>
      <c r="AV282" s="218">
        <f t="shared" si="193"/>
        <v>0</v>
      </c>
      <c r="AW282" s="218">
        <f t="shared" si="193"/>
        <v>0</v>
      </c>
      <c r="AX282" s="218">
        <f t="shared" si="193"/>
        <v>0</v>
      </c>
      <c r="AY282" s="218">
        <f t="shared" si="193"/>
        <v>0</v>
      </c>
      <c r="AZ282" s="218">
        <f t="shared" si="193"/>
        <v>0</v>
      </c>
      <c r="BA282" s="218">
        <f t="shared" si="193"/>
        <v>0</v>
      </c>
      <c r="BB282" s="218">
        <f t="shared" si="193"/>
        <v>0</v>
      </c>
      <c r="BC282" s="218">
        <f t="shared" si="193"/>
        <v>0</v>
      </c>
      <c r="BD282" s="218">
        <f t="shared" si="193"/>
        <v>0</v>
      </c>
      <c r="BE282" s="218">
        <f t="shared" si="193"/>
        <v>0</v>
      </c>
    </row>
    <row r="283" spans="1:57" ht="14.25" customHeight="1" x14ac:dyDescent="0.45">
      <c r="A283" s="618"/>
      <c r="B283" s="215"/>
      <c r="C283" s="220" t="s">
        <v>251</v>
      </c>
      <c r="D283" s="243" t="s">
        <v>236</v>
      </c>
      <c r="E283" s="360">
        <f>Electricidad!E328</f>
        <v>1.0793225148768695E-4</v>
      </c>
      <c r="F283" s="360">
        <f>Electricidad!F328</f>
        <v>4.3388765098050153E-5</v>
      </c>
      <c r="G283" s="360">
        <f>Electricidad!G328</f>
        <v>4.3172900595074785E-7</v>
      </c>
      <c r="H283" s="360">
        <f>Electricidad!H328</f>
        <v>0</v>
      </c>
      <c r="I283" s="218">
        <v>4.3172900595074785E-7</v>
      </c>
      <c r="J283" s="218">
        <v>4.3172900595074785E-7</v>
      </c>
      <c r="K283" s="218">
        <v>4.3172900595074785E-7</v>
      </c>
      <c r="L283" s="218">
        <v>4.3172900595074785E-7</v>
      </c>
      <c r="M283" s="218">
        <v>4.3172900595074785E-7</v>
      </c>
      <c r="N283" s="218">
        <v>4.3172900595074785E-7</v>
      </c>
      <c r="O283" s="218">
        <v>4.3172900595074785E-7</v>
      </c>
      <c r="P283" s="218">
        <v>4.3172900595074785E-7</v>
      </c>
      <c r="Q283" s="218">
        <v>4.3172900595074785E-7</v>
      </c>
      <c r="R283" s="218">
        <v>4.3172900595074785E-7</v>
      </c>
      <c r="S283" s="218">
        <v>4.3172900595074785E-7</v>
      </c>
      <c r="T283" s="218">
        <v>4.3172900595074785E-7</v>
      </c>
      <c r="U283" s="218">
        <v>4.3172900595074785E-7</v>
      </c>
      <c r="V283" s="218">
        <v>4.3172900595074785E-7</v>
      </c>
      <c r="W283" s="218">
        <v>4.3172900595074785E-7</v>
      </c>
      <c r="X283" s="218">
        <v>4.3172900595074785E-7</v>
      </c>
      <c r="Y283" s="218">
        <v>4.3172900595074785E-7</v>
      </c>
      <c r="Z283" s="218">
        <v>4.3172900595074785E-7</v>
      </c>
      <c r="AA283" s="218">
        <v>4.3172900595074785E-7</v>
      </c>
      <c r="AB283" s="218">
        <v>4.3172900595074785E-7</v>
      </c>
      <c r="AC283" s="218">
        <v>4.3172900595074785E-7</v>
      </c>
      <c r="AD283" s="218">
        <v>4.3172900595074785E-7</v>
      </c>
      <c r="AE283" s="218">
        <v>4.3172900595074785E-7</v>
      </c>
      <c r="AF283" s="218">
        <v>4.3172900595074785E-7</v>
      </c>
      <c r="AG283" s="218">
        <v>4.3172900595074785E-7</v>
      </c>
      <c r="AH283" s="218">
        <v>4.3172900595074785E-7</v>
      </c>
      <c r="AI283" s="218">
        <v>4.3172900595074785E-7</v>
      </c>
      <c r="AJ283" s="218">
        <v>4.3172900595074785E-7</v>
      </c>
      <c r="AK283" s="218">
        <v>4.3172900595074785E-7</v>
      </c>
      <c r="AL283" s="218">
        <f t="shared" ref="AL283:BE283" si="194">AK283</f>
        <v>4.3172900595074785E-7</v>
      </c>
      <c r="AM283" s="218">
        <f t="shared" si="194"/>
        <v>4.3172900595074785E-7</v>
      </c>
      <c r="AN283" s="218">
        <f t="shared" si="194"/>
        <v>4.3172900595074785E-7</v>
      </c>
      <c r="AO283" s="218">
        <f t="shared" si="194"/>
        <v>4.3172900595074785E-7</v>
      </c>
      <c r="AP283" s="218">
        <f t="shared" si="194"/>
        <v>4.3172900595074785E-7</v>
      </c>
      <c r="AQ283" s="218">
        <f t="shared" si="194"/>
        <v>4.3172900595074785E-7</v>
      </c>
      <c r="AR283" s="218">
        <f t="shared" si="194"/>
        <v>4.3172900595074785E-7</v>
      </c>
      <c r="AS283" s="218">
        <f t="shared" si="194"/>
        <v>4.3172900595074785E-7</v>
      </c>
      <c r="AT283" s="218">
        <f t="shared" si="194"/>
        <v>4.3172900595074785E-7</v>
      </c>
      <c r="AU283" s="218">
        <f t="shared" si="194"/>
        <v>4.3172900595074785E-7</v>
      </c>
      <c r="AV283" s="218">
        <f t="shared" si="194"/>
        <v>4.3172900595074785E-7</v>
      </c>
      <c r="AW283" s="218">
        <f t="shared" si="194"/>
        <v>4.3172900595074785E-7</v>
      </c>
      <c r="AX283" s="218">
        <f t="shared" si="194"/>
        <v>4.3172900595074785E-7</v>
      </c>
      <c r="AY283" s="218">
        <f t="shared" si="194"/>
        <v>4.3172900595074785E-7</v>
      </c>
      <c r="AZ283" s="218">
        <f t="shared" si="194"/>
        <v>4.3172900595074785E-7</v>
      </c>
      <c r="BA283" s="218">
        <f t="shared" si="194"/>
        <v>4.3172900595074785E-7</v>
      </c>
      <c r="BB283" s="218">
        <f t="shared" si="194"/>
        <v>4.3172900595074785E-7</v>
      </c>
      <c r="BC283" s="218">
        <f t="shared" si="194"/>
        <v>4.3172900595074785E-7</v>
      </c>
      <c r="BD283" s="218">
        <f t="shared" si="194"/>
        <v>4.3172900595074785E-7</v>
      </c>
      <c r="BE283" s="218">
        <f t="shared" si="194"/>
        <v>4.3172900595074785E-7</v>
      </c>
    </row>
    <row r="284" spans="1:57" ht="14.25" customHeight="1" x14ac:dyDescent="0.45">
      <c r="A284" s="618"/>
      <c r="B284" s="215"/>
      <c r="C284" s="220"/>
      <c r="D284" s="247" t="s">
        <v>238</v>
      </c>
      <c r="E284" s="380">
        <f>Electricidad!E329</f>
        <v>0</v>
      </c>
      <c r="F284" s="380">
        <f>Electricidad!F329</f>
        <v>0</v>
      </c>
      <c r="G284" s="380">
        <f>Electricidad!G329</f>
        <v>0</v>
      </c>
      <c r="H284" s="380">
        <f>Electricidad!H329</f>
        <v>0</v>
      </c>
      <c r="I284" s="248"/>
      <c r="J284" s="248"/>
      <c r="K284" s="248"/>
      <c r="L284" s="248"/>
      <c r="M284" s="248"/>
      <c r="N284" s="248"/>
      <c r="O284" s="248"/>
      <c r="P284" s="248"/>
      <c r="Q284" s="248"/>
      <c r="R284" s="248"/>
      <c r="S284" s="248"/>
      <c r="T284" s="248"/>
      <c r="U284" s="248"/>
      <c r="V284" s="248"/>
      <c r="W284" s="248"/>
      <c r="X284" s="248"/>
      <c r="Y284" s="248"/>
      <c r="Z284" s="248"/>
      <c r="AA284" s="248"/>
      <c r="AB284" s="248"/>
      <c r="AC284" s="248"/>
      <c r="AD284" s="248"/>
      <c r="AE284" s="248"/>
      <c r="AF284" s="248"/>
      <c r="AG284" s="248"/>
      <c r="AH284" s="248"/>
      <c r="AI284" s="248"/>
      <c r="AJ284" s="248"/>
      <c r="AK284" s="248"/>
      <c r="AL284" s="218">
        <f t="shared" ref="AL284:BE284" si="195">AK284</f>
        <v>0</v>
      </c>
      <c r="AM284" s="218">
        <f t="shared" si="195"/>
        <v>0</v>
      </c>
      <c r="AN284" s="218">
        <f t="shared" si="195"/>
        <v>0</v>
      </c>
      <c r="AO284" s="218">
        <f t="shared" si="195"/>
        <v>0</v>
      </c>
      <c r="AP284" s="218">
        <f t="shared" si="195"/>
        <v>0</v>
      </c>
      <c r="AQ284" s="218">
        <f t="shared" si="195"/>
        <v>0</v>
      </c>
      <c r="AR284" s="218">
        <f t="shared" si="195"/>
        <v>0</v>
      </c>
      <c r="AS284" s="218">
        <f t="shared" si="195"/>
        <v>0</v>
      </c>
      <c r="AT284" s="218">
        <f t="shared" si="195"/>
        <v>0</v>
      </c>
      <c r="AU284" s="218">
        <f t="shared" si="195"/>
        <v>0</v>
      </c>
      <c r="AV284" s="218">
        <f t="shared" si="195"/>
        <v>0</v>
      </c>
      <c r="AW284" s="218">
        <f t="shared" si="195"/>
        <v>0</v>
      </c>
      <c r="AX284" s="218">
        <f t="shared" si="195"/>
        <v>0</v>
      </c>
      <c r="AY284" s="218">
        <f t="shared" si="195"/>
        <v>0</v>
      </c>
      <c r="AZ284" s="218">
        <f t="shared" si="195"/>
        <v>0</v>
      </c>
      <c r="BA284" s="218">
        <f t="shared" si="195"/>
        <v>0</v>
      </c>
      <c r="BB284" s="218">
        <f t="shared" si="195"/>
        <v>0</v>
      </c>
      <c r="BC284" s="218">
        <f t="shared" si="195"/>
        <v>0</v>
      </c>
      <c r="BD284" s="218">
        <f t="shared" si="195"/>
        <v>0</v>
      </c>
      <c r="BE284" s="218">
        <f t="shared" si="195"/>
        <v>0</v>
      </c>
    </row>
    <row r="285" spans="1:57" ht="14.25" customHeight="1" x14ac:dyDescent="0.45">
      <c r="A285" s="618"/>
      <c r="B285" s="215"/>
      <c r="C285" s="220" t="s">
        <v>252</v>
      </c>
      <c r="D285" s="243" t="s">
        <v>245</v>
      </c>
      <c r="E285" s="357">
        <f>Electricidad!E330</f>
        <v>0.10565959402294529</v>
      </c>
      <c r="F285" s="357">
        <f>Electricidad!F330</f>
        <v>9.7419434328283719E-2</v>
      </c>
      <c r="G285" s="357">
        <f>Electricidad!G330</f>
        <v>1.8224360663695944E-2</v>
      </c>
      <c r="H285" s="357">
        <f>Electricidad!H330</f>
        <v>0.10079239619368158</v>
      </c>
      <c r="I285" s="218">
        <v>1.8204141355249844E-2</v>
      </c>
      <c r="J285" s="218">
        <v>1.8204141355249844E-2</v>
      </c>
      <c r="K285" s="218">
        <v>1.8204141355249844E-2</v>
      </c>
      <c r="L285" s="218">
        <v>1.8204141355249844E-2</v>
      </c>
      <c r="M285" s="218">
        <v>1.8204141355249844E-2</v>
      </c>
      <c r="N285" s="218">
        <v>1.8204141355249844E-2</v>
      </c>
      <c r="O285" s="218">
        <v>1.8204141355249844E-2</v>
      </c>
      <c r="P285" s="218">
        <v>1.8204141355249844E-2</v>
      </c>
      <c r="Q285" s="218">
        <v>1.8204141355249844E-2</v>
      </c>
      <c r="R285" s="218">
        <v>1.8204141355249844E-2</v>
      </c>
      <c r="S285" s="218">
        <v>1.8204141355249844E-2</v>
      </c>
      <c r="T285" s="218">
        <v>1.8204141355249844E-2</v>
      </c>
      <c r="U285" s="218">
        <v>1.8204141355249844E-2</v>
      </c>
      <c r="V285" s="218">
        <v>1.8204141355249844E-2</v>
      </c>
      <c r="W285" s="218">
        <v>1.8204141355249844E-2</v>
      </c>
      <c r="X285" s="218">
        <v>1.8204141355249844E-2</v>
      </c>
      <c r="Y285" s="218">
        <v>1.8204141355249844E-2</v>
      </c>
      <c r="Z285" s="218">
        <v>1.8204141355249844E-2</v>
      </c>
      <c r="AA285" s="218">
        <v>1.8204141355249844E-2</v>
      </c>
      <c r="AB285" s="218">
        <v>1.8204141355249844E-2</v>
      </c>
      <c r="AC285" s="218">
        <v>1.8204141355249844E-2</v>
      </c>
      <c r="AD285" s="218">
        <v>1.8204141355249844E-2</v>
      </c>
      <c r="AE285" s="218">
        <v>1.8204141355249844E-2</v>
      </c>
      <c r="AF285" s="218">
        <v>1.8204141355249844E-2</v>
      </c>
      <c r="AG285" s="218">
        <v>1.8204141355249844E-2</v>
      </c>
      <c r="AH285" s="218">
        <v>1.8204141355249844E-2</v>
      </c>
      <c r="AI285" s="218">
        <v>1.8204141355249844E-2</v>
      </c>
      <c r="AJ285" s="218">
        <v>1.8204141355249844E-2</v>
      </c>
      <c r="AK285" s="218">
        <v>1.8204141355249844E-2</v>
      </c>
      <c r="AL285" s="218">
        <f t="shared" ref="AL285:BE285" si="196">AK285</f>
        <v>1.8204141355249844E-2</v>
      </c>
      <c r="AM285" s="218">
        <f t="shared" si="196"/>
        <v>1.8204141355249844E-2</v>
      </c>
      <c r="AN285" s="218">
        <f t="shared" si="196"/>
        <v>1.8204141355249844E-2</v>
      </c>
      <c r="AO285" s="218">
        <f t="shared" si="196"/>
        <v>1.8204141355249844E-2</v>
      </c>
      <c r="AP285" s="218">
        <f t="shared" si="196"/>
        <v>1.8204141355249844E-2</v>
      </c>
      <c r="AQ285" s="218">
        <f t="shared" si="196"/>
        <v>1.8204141355249844E-2</v>
      </c>
      <c r="AR285" s="218">
        <f t="shared" si="196"/>
        <v>1.8204141355249844E-2</v>
      </c>
      <c r="AS285" s="218">
        <f t="shared" si="196"/>
        <v>1.8204141355249844E-2</v>
      </c>
      <c r="AT285" s="218">
        <f t="shared" si="196"/>
        <v>1.8204141355249844E-2</v>
      </c>
      <c r="AU285" s="218">
        <f t="shared" si="196"/>
        <v>1.8204141355249844E-2</v>
      </c>
      <c r="AV285" s="218">
        <f t="shared" si="196"/>
        <v>1.8204141355249844E-2</v>
      </c>
      <c r="AW285" s="218">
        <f t="shared" si="196"/>
        <v>1.8204141355249844E-2</v>
      </c>
      <c r="AX285" s="218">
        <f t="shared" si="196"/>
        <v>1.8204141355249844E-2</v>
      </c>
      <c r="AY285" s="218">
        <f t="shared" si="196"/>
        <v>1.8204141355249844E-2</v>
      </c>
      <c r="AZ285" s="218">
        <f t="shared" si="196"/>
        <v>1.8204141355249844E-2</v>
      </c>
      <c r="BA285" s="218">
        <f t="shared" si="196"/>
        <v>1.8204141355249844E-2</v>
      </c>
      <c r="BB285" s="218">
        <f t="shared" si="196"/>
        <v>1.8204141355249844E-2</v>
      </c>
      <c r="BC285" s="218">
        <f t="shared" si="196"/>
        <v>1.8204141355249844E-2</v>
      </c>
      <c r="BD285" s="218">
        <f t="shared" si="196"/>
        <v>1.8204141355249844E-2</v>
      </c>
      <c r="BE285" s="218">
        <f t="shared" si="196"/>
        <v>1.8204141355249844E-2</v>
      </c>
    </row>
    <row r="286" spans="1:57" ht="14.25" customHeight="1" x14ac:dyDescent="0.45">
      <c r="A286" s="618"/>
      <c r="B286" s="215"/>
      <c r="C286" s="220"/>
      <c r="D286" s="314" t="s">
        <v>347</v>
      </c>
      <c r="E286" s="387">
        <f>Electricidad!E331</f>
        <v>0</v>
      </c>
      <c r="F286" s="387">
        <f>Electricidad!F331</f>
        <v>0</v>
      </c>
      <c r="G286" s="387">
        <f>Electricidad!G331</f>
        <v>0</v>
      </c>
      <c r="H286" s="387">
        <f>Electricidad!H331</f>
        <v>0</v>
      </c>
      <c r="I286" s="295"/>
      <c r="J286" s="295"/>
      <c r="K286" s="295"/>
      <c r="L286" s="295"/>
      <c r="M286" s="295"/>
      <c r="N286" s="295"/>
      <c r="O286" s="295"/>
      <c r="P286" s="295"/>
      <c r="Q286" s="295"/>
      <c r="R286" s="295"/>
      <c r="S286" s="295"/>
      <c r="T286" s="295"/>
      <c r="U286" s="295"/>
      <c r="V286" s="295"/>
      <c r="W286" s="295"/>
      <c r="X286" s="295"/>
      <c r="Y286" s="295"/>
      <c r="Z286" s="295"/>
      <c r="AA286" s="295"/>
      <c r="AB286" s="295"/>
      <c r="AC286" s="295"/>
      <c r="AD286" s="295"/>
      <c r="AE286" s="295"/>
      <c r="AF286" s="295"/>
      <c r="AG286" s="295"/>
      <c r="AH286" s="295"/>
      <c r="AI286" s="295"/>
      <c r="AJ286" s="295"/>
      <c r="AK286" s="295"/>
      <c r="AL286" s="618"/>
      <c r="AM286" s="3"/>
      <c r="AN286" s="3"/>
      <c r="AO286" s="3"/>
      <c r="AP286" s="3"/>
      <c r="AQ286" s="3"/>
      <c r="AR286" s="3"/>
      <c r="AS286" s="3"/>
      <c r="AT286" s="3"/>
      <c r="AU286" s="3"/>
      <c r="AV286" s="3"/>
      <c r="AW286" s="3"/>
      <c r="AX286" s="3"/>
      <c r="AY286" s="3"/>
      <c r="AZ286" s="3"/>
      <c r="BA286" s="3"/>
      <c r="BB286" s="3"/>
      <c r="BC286" s="3"/>
      <c r="BD286" s="3"/>
      <c r="BE286" s="3"/>
    </row>
    <row r="287" spans="1:57" ht="14.25" customHeight="1" x14ac:dyDescent="0.45">
      <c r="A287" s="618"/>
      <c r="B287" s="215"/>
      <c r="C287" s="220"/>
      <c r="D287" s="221" t="s">
        <v>59</v>
      </c>
      <c r="E287" s="244">
        <f t="shared" ref="E287:BE287" si="197">SUM(E251+E255+E256+E258+E259+E261+E262+E266+E270+E271+E272+E273+E276+E277+E278+E281+E283+E285+E268)</f>
        <v>13.914417984276238</v>
      </c>
      <c r="F287" s="244">
        <f t="shared" si="197"/>
        <v>14.822050212799954</v>
      </c>
      <c r="G287" s="244">
        <f t="shared" si="197"/>
        <v>14.201998616281607</v>
      </c>
      <c r="H287" s="244">
        <f t="shared" si="197"/>
        <v>14.511030877527384</v>
      </c>
      <c r="I287" s="244">
        <f t="shared" si="197"/>
        <v>14.105113696687317</v>
      </c>
      <c r="J287" s="244">
        <f t="shared" si="197"/>
        <v>14.111620485678243</v>
      </c>
      <c r="K287" s="244">
        <f t="shared" si="197"/>
        <v>14.118150572986853</v>
      </c>
      <c r="L287" s="244">
        <f t="shared" si="197"/>
        <v>14.12482863874774</v>
      </c>
      <c r="M287" s="244">
        <f t="shared" si="197"/>
        <v>14.138663102961283</v>
      </c>
      <c r="N287" s="244">
        <f t="shared" si="197"/>
        <v>14.152559095701468</v>
      </c>
      <c r="O287" s="244">
        <f t="shared" si="197"/>
        <v>14.166567586574045</v>
      </c>
      <c r="P287" s="244">
        <f t="shared" si="197"/>
        <v>14.180642602993432</v>
      </c>
      <c r="Q287" s="244">
        <f t="shared" si="197"/>
        <v>14.194849062769519</v>
      </c>
      <c r="R287" s="244">
        <f t="shared" si="197"/>
        <v>14.205900504538882</v>
      </c>
      <c r="S287" s="244">
        <f t="shared" si="197"/>
        <v>14.217018384950357</v>
      </c>
      <c r="T287" s="244">
        <f t="shared" si="197"/>
        <v>14.228226081367879</v>
      </c>
      <c r="U287" s="244">
        <f t="shared" si="197"/>
        <v>14.239492699171082</v>
      </c>
      <c r="V287" s="244">
        <f t="shared" si="197"/>
        <v>14.25079803301753</v>
      </c>
      <c r="W287" s="244">
        <f t="shared" si="197"/>
        <v>14.26215507515967</v>
      </c>
      <c r="X287" s="244">
        <f t="shared" si="197"/>
        <v>14.27352880300395</v>
      </c>
      <c r="Y287" s="244">
        <f t="shared" si="197"/>
        <v>14.284947026053937</v>
      </c>
      <c r="Z287" s="244">
        <f t="shared" si="197"/>
        <v>14.29641904311238</v>
      </c>
      <c r="AA287" s="244">
        <f t="shared" si="197"/>
        <v>14.307872332208269</v>
      </c>
      <c r="AB287" s="244">
        <f t="shared" si="197"/>
        <v>14.317688365878887</v>
      </c>
      <c r="AC287" s="244">
        <f t="shared" si="197"/>
        <v>14.327439699001365</v>
      </c>
      <c r="AD287" s="244">
        <f t="shared" si="197"/>
        <v>14.337191553552035</v>
      </c>
      <c r="AE287" s="244">
        <f t="shared" si="197"/>
        <v>14.346831127232058</v>
      </c>
      <c r="AF287" s="244">
        <f t="shared" si="197"/>
        <v>14.356367284320697</v>
      </c>
      <c r="AG287" s="244">
        <f t="shared" si="197"/>
        <v>14.365787119470202</v>
      </c>
      <c r="AH287" s="244">
        <f t="shared" si="197"/>
        <v>14.375059651155507</v>
      </c>
      <c r="AI287" s="244">
        <f t="shared" si="197"/>
        <v>14.384180447236981</v>
      </c>
      <c r="AJ287" s="244">
        <f t="shared" si="197"/>
        <v>14.393182792214205</v>
      </c>
      <c r="AK287" s="244">
        <f t="shared" si="197"/>
        <v>14.402024884927132</v>
      </c>
      <c r="AL287" s="244">
        <f t="shared" si="197"/>
        <v>14.423241688356383</v>
      </c>
      <c r="AM287" s="244">
        <f t="shared" si="197"/>
        <v>14.43429663826365</v>
      </c>
      <c r="AN287" s="244">
        <f t="shared" si="197"/>
        <v>14.44535158817092</v>
      </c>
      <c r="AO287" s="244">
        <f t="shared" si="197"/>
        <v>14.456406538078189</v>
      </c>
      <c r="AP287" s="244">
        <f t="shared" si="197"/>
        <v>14.46746148798546</v>
      </c>
      <c r="AQ287" s="244">
        <f t="shared" si="197"/>
        <v>14.478516437892729</v>
      </c>
      <c r="AR287" s="244">
        <f t="shared" si="197"/>
        <v>14.489571387799996</v>
      </c>
      <c r="AS287" s="244">
        <f t="shared" si="197"/>
        <v>14.500626337707267</v>
      </c>
      <c r="AT287" s="244">
        <f t="shared" si="197"/>
        <v>14.511681287614536</v>
      </c>
      <c r="AU287" s="244">
        <f t="shared" si="197"/>
        <v>14.522736237521807</v>
      </c>
      <c r="AV287" s="244">
        <f t="shared" si="197"/>
        <v>14.533791187429076</v>
      </c>
      <c r="AW287" s="244">
        <f t="shared" si="197"/>
        <v>14.544846137336343</v>
      </c>
      <c r="AX287" s="244">
        <f t="shared" si="197"/>
        <v>14.555901087243614</v>
      </c>
      <c r="AY287" s="244">
        <f t="shared" si="197"/>
        <v>14.566956037150884</v>
      </c>
      <c r="AZ287" s="244">
        <f t="shared" si="197"/>
        <v>14.578010987058152</v>
      </c>
      <c r="BA287" s="244">
        <f t="shared" si="197"/>
        <v>14.589065936965422</v>
      </c>
      <c r="BB287" s="244">
        <f t="shared" si="197"/>
        <v>14.600120886872691</v>
      </c>
      <c r="BC287" s="244">
        <f t="shared" si="197"/>
        <v>14.611175836779962</v>
      </c>
      <c r="BD287" s="244">
        <f t="shared" si="197"/>
        <v>14.622230786687231</v>
      </c>
      <c r="BE287" s="244">
        <f t="shared" si="197"/>
        <v>14.633285736594498</v>
      </c>
    </row>
    <row r="288" spans="1:57" ht="14.25" customHeight="1" x14ac:dyDescent="0.45">
      <c r="A288" s="618"/>
      <c r="B288" s="618"/>
      <c r="C288" s="618"/>
      <c r="D288" s="618"/>
      <c r="E288" s="618"/>
      <c r="F288" s="618"/>
      <c r="G288" s="618"/>
      <c r="H288" s="618"/>
      <c r="I288" s="618"/>
      <c r="J288" s="618"/>
      <c r="K288" s="618"/>
      <c r="L288" s="618"/>
      <c r="M288" s="618"/>
      <c r="N288" s="618"/>
      <c r="O288" s="618"/>
      <c r="P288" s="618"/>
      <c r="Q288" s="618"/>
      <c r="R288" s="618"/>
      <c r="S288" s="618"/>
      <c r="T288" s="618"/>
      <c r="U288" s="618"/>
      <c r="V288" s="618"/>
      <c r="W288" s="618"/>
      <c r="X288" s="618"/>
      <c r="Y288" s="618"/>
      <c r="Z288" s="618"/>
      <c r="AA288" s="618"/>
      <c r="AB288" s="618"/>
      <c r="AC288" s="618"/>
      <c r="AD288" s="618"/>
      <c r="AE288" s="618"/>
      <c r="AF288" s="618"/>
      <c r="AG288" s="618"/>
      <c r="AH288" s="618"/>
      <c r="AI288" s="618"/>
      <c r="AJ288" s="618"/>
      <c r="AK288" s="618"/>
      <c r="AL288" s="618"/>
      <c r="AM288" s="3"/>
      <c r="AN288" s="3"/>
      <c r="AO288" s="3"/>
      <c r="AP288" s="3"/>
      <c r="AQ288" s="3"/>
      <c r="AR288" s="3"/>
      <c r="AS288" s="3"/>
      <c r="AT288" s="3"/>
      <c r="AU288" s="3"/>
      <c r="AV288" s="3"/>
      <c r="AW288" s="3"/>
      <c r="AX288" s="3"/>
      <c r="AY288" s="3"/>
      <c r="AZ288" s="3"/>
      <c r="BA288" s="3"/>
      <c r="BB288" s="3"/>
      <c r="BC288" s="3"/>
      <c r="BD288" s="3"/>
      <c r="BE288" s="3"/>
    </row>
    <row r="289" spans="1:57" ht="16.5" customHeight="1" x14ac:dyDescent="0.45">
      <c r="A289" s="1"/>
      <c r="B289" s="1"/>
      <c r="C289" s="1"/>
      <c r="D289" s="55"/>
      <c r="E289" s="60">
        <f>(E$246-E$234-E$235-E$241-E$242)</f>
        <v>86.537372265982683</v>
      </c>
      <c r="F289" s="55"/>
      <c r="G289" s="55"/>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3"/>
      <c r="AN289" s="3"/>
      <c r="AO289" s="3"/>
      <c r="AP289" s="3"/>
      <c r="AQ289" s="3"/>
      <c r="AR289" s="3"/>
      <c r="AS289" s="3"/>
      <c r="AT289" s="3"/>
      <c r="AU289" s="3"/>
      <c r="AV289" s="3"/>
      <c r="AW289" s="3"/>
      <c r="AX289" s="3"/>
      <c r="AY289" s="3"/>
      <c r="AZ289" s="3"/>
      <c r="BA289" s="3"/>
      <c r="BB289" s="3"/>
      <c r="BC289" s="3"/>
      <c r="BD289" s="3"/>
      <c r="BE289" s="3"/>
    </row>
    <row r="290" spans="1:57" ht="14.25" customHeight="1" x14ac:dyDescent="0.45">
      <c r="A290" s="618"/>
      <c r="B290" s="26"/>
      <c r="C290" s="211"/>
      <c r="D290" s="291" t="s">
        <v>466</v>
      </c>
      <c r="E290" s="271"/>
      <c r="F290" s="271"/>
      <c r="G290" s="271"/>
      <c r="H290" s="292"/>
      <c r="I290" s="618"/>
      <c r="J290" s="618"/>
      <c r="K290" s="618"/>
      <c r="L290" s="618"/>
      <c r="M290" s="618"/>
      <c r="N290" s="618"/>
      <c r="O290" s="618"/>
      <c r="P290" s="618"/>
      <c r="Q290" s="618"/>
      <c r="R290" s="618"/>
      <c r="S290" s="618"/>
      <c r="T290" s="618"/>
      <c r="U290" s="618"/>
      <c r="V290" s="618"/>
      <c r="W290" s="618"/>
      <c r="X290" s="618"/>
      <c r="Y290" s="618"/>
      <c r="Z290" s="618"/>
      <c r="AA290" s="618"/>
      <c r="AB290" s="618"/>
      <c r="AC290" s="618"/>
      <c r="AD290" s="618"/>
      <c r="AE290" s="618"/>
      <c r="AF290" s="618"/>
      <c r="AG290" s="618"/>
      <c r="AH290" s="618"/>
      <c r="AI290" s="618"/>
      <c r="AJ290" s="618"/>
      <c r="AK290" s="618"/>
      <c r="AL290" s="618"/>
      <c r="AM290" s="3"/>
    </row>
    <row r="291" spans="1:57" ht="14.25" customHeight="1" x14ac:dyDescent="0.45">
      <c r="A291" s="618"/>
      <c r="B291" s="215"/>
      <c r="C291" s="220"/>
      <c r="D291" s="221"/>
      <c r="E291" s="293"/>
      <c r="F291" s="293"/>
      <c r="G291" s="293"/>
      <c r="H291" s="294"/>
      <c r="I291" s="618"/>
      <c r="J291" s="618"/>
      <c r="K291" s="618"/>
      <c r="L291" s="618"/>
      <c r="M291" s="618"/>
      <c r="N291" s="618"/>
      <c r="O291" s="618"/>
      <c r="P291" s="618"/>
      <c r="Q291" s="618"/>
      <c r="R291" s="618"/>
      <c r="S291" s="618"/>
      <c r="T291" s="618"/>
      <c r="U291" s="618"/>
      <c r="V291" s="618"/>
      <c r="W291" s="618"/>
      <c r="X291" s="618"/>
      <c r="Y291" s="618"/>
      <c r="Z291" s="618"/>
      <c r="AA291" s="618"/>
      <c r="AB291" s="618"/>
      <c r="AC291" s="618"/>
      <c r="AD291" s="618"/>
      <c r="AE291" s="618"/>
      <c r="AF291" s="618"/>
      <c r="AG291" s="618"/>
      <c r="AH291" s="618"/>
      <c r="AI291" s="618"/>
      <c r="AJ291" s="618"/>
      <c r="AK291" s="618"/>
      <c r="AL291" s="618"/>
      <c r="AM291" s="3"/>
    </row>
    <row r="292" spans="1:57" ht="14.25" customHeight="1" x14ac:dyDescent="0.45">
      <c r="A292" s="618"/>
      <c r="B292" s="215"/>
      <c r="C292" s="220"/>
      <c r="D292" s="243" t="s">
        <v>338</v>
      </c>
      <c r="E292" s="222">
        <v>2018</v>
      </c>
      <c r="F292" s="222">
        <v>2019</v>
      </c>
      <c r="G292" s="222">
        <v>2020</v>
      </c>
      <c r="H292" s="222">
        <v>2021</v>
      </c>
      <c r="I292" s="223" t="s">
        <v>467</v>
      </c>
      <c r="J292" s="618"/>
      <c r="K292" s="618"/>
      <c r="L292" s="618"/>
      <c r="M292" s="618"/>
      <c r="N292" s="618"/>
      <c r="O292" s="618"/>
      <c r="P292" s="618"/>
      <c r="Q292" s="618"/>
      <c r="R292" s="618"/>
      <c r="S292" s="618"/>
      <c r="T292" s="618"/>
      <c r="U292" s="618"/>
      <c r="V292" s="618"/>
      <c r="W292" s="618"/>
      <c r="X292" s="618"/>
      <c r="Y292" s="618"/>
      <c r="Z292" s="618"/>
      <c r="AA292" s="618"/>
      <c r="AB292" s="618"/>
      <c r="AC292" s="618"/>
      <c r="AD292" s="618"/>
      <c r="AE292" s="618"/>
      <c r="AF292" s="618"/>
      <c r="AG292" s="618"/>
      <c r="AH292" s="618"/>
      <c r="AI292" s="618"/>
      <c r="AJ292" s="618"/>
      <c r="AK292" s="618"/>
      <c r="AL292" s="618"/>
      <c r="AM292" s="3"/>
    </row>
    <row r="293" spans="1:57" ht="14.25" customHeight="1" x14ac:dyDescent="0.45">
      <c r="A293" s="618"/>
      <c r="B293" s="215"/>
      <c r="C293" s="220"/>
      <c r="D293" s="224" t="s">
        <v>339</v>
      </c>
      <c r="E293" s="224">
        <f t="shared" ref="E293:H318" si="198">E206/(E$246-E$234-E$235-E$241-E$242)</f>
        <v>1.5899724083786392E-2</v>
      </c>
      <c r="F293" s="224">
        <f t="shared" si="198"/>
        <v>1.6155730243287692E-2</v>
      </c>
      <c r="G293" s="224">
        <f t="shared" si="198"/>
        <v>1.7046827819998802E-2</v>
      </c>
      <c r="H293" s="224">
        <f t="shared" si="198"/>
        <v>1.4581831189142179E-2</v>
      </c>
      <c r="I293" s="224">
        <f t="shared" ref="I293:I318" si="199">AVERAGE(E293:H293)</f>
        <v>1.5921028334053768E-2</v>
      </c>
      <c r="J293" s="618"/>
      <c r="K293" s="618"/>
      <c r="L293" s="618"/>
      <c r="M293" s="618"/>
      <c r="N293" s="618"/>
      <c r="O293" s="618"/>
      <c r="P293" s="618"/>
      <c r="Q293" s="618"/>
      <c r="R293" s="618"/>
      <c r="S293" s="618"/>
      <c r="T293" s="618"/>
      <c r="U293" s="618"/>
      <c r="V293" s="618"/>
      <c r="W293" s="618"/>
      <c r="X293" s="618"/>
      <c r="Y293" s="618"/>
      <c r="Z293" s="618"/>
      <c r="AA293" s="618"/>
      <c r="AB293" s="618"/>
      <c r="AC293" s="618"/>
      <c r="AD293" s="618"/>
      <c r="AE293" s="618"/>
      <c r="AF293" s="618"/>
      <c r="AG293" s="618"/>
      <c r="AH293" s="618"/>
      <c r="AI293" s="618"/>
      <c r="AJ293" s="618"/>
      <c r="AK293" s="618"/>
      <c r="AL293" s="618"/>
      <c r="AM293" s="3"/>
    </row>
    <row r="294" spans="1:57" ht="14.25" customHeight="1" x14ac:dyDescent="0.45">
      <c r="A294" s="618"/>
      <c r="B294" s="215"/>
      <c r="C294" s="220"/>
      <c r="D294" s="228" t="s">
        <v>167</v>
      </c>
      <c r="E294" s="228">
        <f t="shared" si="198"/>
        <v>0</v>
      </c>
      <c r="F294" s="228">
        <f t="shared" si="198"/>
        <v>0</v>
      </c>
      <c r="G294" s="228">
        <f t="shared" si="198"/>
        <v>0</v>
      </c>
      <c r="H294" s="228">
        <f t="shared" si="198"/>
        <v>0</v>
      </c>
      <c r="I294" s="228">
        <f t="shared" si="199"/>
        <v>0</v>
      </c>
      <c r="J294" s="618"/>
      <c r="K294" s="618"/>
      <c r="L294" s="618"/>
      <c r="M294" s="618"/>
      <c r="N294" s="618"/>
      <c r="O294" s="618"/>
      <c r="P294" s="618"/>
      <c r="Q294" s="618"/>
      <c r="R294" s="618"/>
      <c r="S294" s="618"/>
      <c r="T294" s="618"/>
      <c r="U294" s="618"/>
      <c r="V294" s="618"/>
      <c r="W294" s="618"/>
      <c r="X294" s="618"/>
      <c r="Y294" s="618"/>
      <c r="Z294" s="618"/>
      <c r="AA294" s="618"/>
      <c r="AB294" s="618"/>
      <c r="AC294" s="618"/>
      <c r="AD294" s="618"/>
      <c r="AE294" s="618"/>
      <c r="AF294" s="618"/>
      <c r="AG294" s="618"/>
      <c r="AH294" s="618"/>
      <c r="AI294" s="618"/>
      <c r="AJ294" s="618"/>
      <c r="AK294" s="618"/>
      <c r="AL294" s="618"/>
      <c r="AM294" s="3"/>
    </row>
    <row r="295" spans="1:57" ht="14.25" customHeight="1" x14ac:dyDescent="0.45">
      <c r="A295" s="618"/>
      <c r="B295" s="215"/>
      <c r="C295" s="220" t="s">
        <v>168</v>
      </c>
      <c r="D295" s="243" t="s">
        <v>169</v>
      </c>
      <c r="E295" s="243">
        <f t="shared" si="198"/>
        <v>1.5899724083786392E-2</v>
      </c>
      <c r="F295" s="243">
        <f t="shared" si="198"/>
        <v>1.6155730243287692E-2</v>
      </c>
      <c r="G295" s="243">
        <f t="shared" si="198"/>
        <v>1.7046827819998802E-2</v>
      </c>
      <c r="H295" s="243">
        <f t="shared" si="198"/>
        <v>1.4581831189142179E-2</v>
      </c>
      <c r="I295" s="243">
        <f t="shared" si="199"/>
        <v>1.5921028334053768E-2</v>
      </c>
      <c r="J295" s="618"/>
      <c r="K295" s="618"/>
      <c r="L295" s="618"/>
      <c r="M295" s="618"/>
      <c r="N295" s="618"/>
      <c r="O295" s="618"/>
      <c r="P295" s="618"/>
      <c r="Q295" s="618"/>
      <c r="R295" s="618"/>
      <c r="S295" s="618"/>
      <c r="T295" s="618"/>
      <c r="U295" s="618"/>
      <c r="V295" s="618"/>
      <c r="W295" s="618"/>
      <c r="X295" s="618"/>
      <c r="Y295" s="618"/>
      <c r="Z295" s="618"/>
      <c r="AA295" s="618"/>
      <c r="AB295" s="618"/>
      <c r="AC295" s="618"/>
      <c r="AD295" s="618"/>
      <c r="AE295" s="618"/>
      <c r="AF295" s="618"/>
      <c r="AG295" s="618"/>
      <c r="AH295" s="618"/>
      <c r="AI295" s="618"/>
      <c r="AJ295" s="618"/>
      <c r="AK295" s="618"/>
      <c r="AL295" s="618"/>
      <c r="AM295" s="3"/>
    </row>
    <row r="296" spans="1:57" ht="14.25" customHeight="1" x14ac:dyDescent="0.45">
      <c r="A296" s="618"/>
      <c r="B296" s="215"/>
      <c r="C296" s="220" t="s">
        <v>170</v>
      </c>
      <c r="D296" s="224" t="s">
        <v>340</v>
      </c>
      <c r="E296" s="224">
        <f t="shared" si="198"/>
        <v>3.0640353126635735E-3</v>
      </c>
      <c r="F296" s="224">
        <f t="shared" si="198"/>
        <v>3.1244233566671306E-3</v>
      </c>
      <c r="G296" s="224">
        <f t="shared" si="198"/>
        <v>2.8628184077609184E-3</v>
      </c>
      <c r="H296" s="224">
        <f t="shared" si="198"/>
        <v>2.3492226899914322E-3</v>
      </c>
      <c r="I296" s="224">
        <f t="shared" si="199"/>
        <v>2.8501249417707637E-3</v>
      </c>
      <c r="J296" s="618"/>
      <c r="K296" s="618"/>
      <c r="L296" s="618"/>
      <c r="M296" s="618"/>
      <c r="N296" s="618"/>
      <c r="O296" s="618"/>
      <c r="P296" s="618"/>
      <c r="Q296" s="618"/>
      <c r="R296" s="618"/>
      <c r="S296" s="618"/>
      <c r="T296" s="618"/>
      <c r="U296" s="618"/>
      <c r="V296" s="618"/>
      <c r="W296" s="618"/>
      <c r="X296" s="618"/>
      <c r="Y296" s="618"/>
      <c r="Z296" s="618"/>
      <c r="AA296" s="618"/>
      <c r="AB296" s="618"/>
      <c r="AC296" s="618"/>
      <c r="AD296" s="618"/>
      <c r="AE296" s="618"/>
      <c r="AF296" s="618"/>
      <c r="AG296" s="618"/>
      <c r="AH296" s="618"/>
      <c r="AI296" s="618"/>
      <c r="AJ296" s="618"/>
      <c r="AK296" s="618"/>
      <c r="AL296" s="618"/>
      <c r="AM296" s="3"/>
    </row>
    <row r="297" spans="1:57" ht="14.25" customHeight="1" x14ac:dyDescent="0.45">
      <c r="A297" s="618"/>
      <c r="B297" s="215"/>
      <c r="C297" s="220"/>
      <c r="D297" s="224" t="s">
        <v>341</v>
      </c>
      <c r="E297" s="224">
        <f t="shared" si="198"/>
        <v>0.85899474832620726</v>
      </c>
      <c r="F297" s="224">
        <f t="shared" si="198"/>
        <v>0.96174785587310241</v>
      </c>
      <c r="G297" s="224">
        <f t="shared" si="198"/>
        <v>0.97156568679116151</v>
      </c>
      <c r="H297" s="224">
        <f t="shared" si="198"/>
        <v>0.99959380779825302</v>
      </c>
      <c r="I297" s="224">
        <f t="shared" si="199"/>
        <v>0.94797552469718105</v>
      </c>
      <c r="J297" s="618"/>
      <c r="K297" s="618"/>
      <c r="L297" s="618"/>
      <c r="M297" s="618"/>
      <c r="N297" s="618"/>
      <c r="O297" s="618"/>
      <c r="P297" s="618"/>
      <c r="Q297" s="618"/>
      <c r="R297" s="618"/>
      <c r="S297" s="618"/>
      <c r="T297" s="618"/>
      <c r="U297" s="618"/>
      <c r="V297" s="618"/>
      <c r="W297" s="618"/>
      <c r="X297" s="618"/>
      <c r="Y297" s="618"/>
      <c r="Z297" s="618"/>
      <c r="AA297" s="618"/>
      <c r="AB297" s="618"/>
      <c r="AC297" s="618"/>
      <c r="AD297" s="618"/>
      <c r="AE297" s="618"/>
      <c r="AF297" s="618"/>
      <c r="AG297" s="618"/>
      <c r="AH297" s="618"/>
      <c r="AI297" s="618"/>
      <c r="AJ297" s="618"/>
      <c r="AK297" s="618"/>
      <c r="AL297" s="618"/>
      <c r="AM297" s="3"/>
    </row>
    <row r="298" spans="1:57" ht="14.25" customHeight="1" x14ac:dyDescent="0.45">
      <c r="A298" s="618"/>
      <c r="B298" s="215"/>
      <c r="C298" s="220"/>
      <c r="D298" s="228" t="s">
        <v>173</v>
      </c>
      <c r="E298" s="228">
        <f t="shared" si="198"/>
        <v>0.32052802729246754</v>
      </c>
      <c r="F298" s="228">
        <f t="shared" si="198"/>
        <v>0.34969916307806814</v>
      </c>
      <c r="G298" s="228">
        <f t="shared" si="198"/>
        <v>0.32270078541000835</v>
      </c>
      <c r="H298" s="228">
        <f t="shared" si="198"/>
        <v>0.34050431515106028</v>
      </c>
      <c r="I298" s="228">
        <f t="shared" si="199"/>
        <v>0.33335807273290108</v>
      </c>
      <c r="J298" s="618"/>
      <c r="K298" s="618"/>
      <c r="L298" s="618"/>
      <c r="M298" s="618"/>
      <c r="N298" s="618"/>
      <c r="O298" s="618"/>
      <c r="P298" s="618"/>
      <c r="Q298" s="618"/>
      <c r="R298" s="618"/>
      <c r="S298" s="618"/>
      <c r="T298" s="618"/>
      <c r="U298" s="618"/>
      <c r="V298" s="618"/>
      <c r="W298" s="618"/>
      <c r="X298" s="618"/>
      <c r="Y298" s="618"/>
      <c r="Z298" s="618"/>
      <c r="AA298" s="618"/>
      <c r="AB298" s="618"/>
      <c r="AC298" s="618"/>
      <c r="AD298" s="618"/>
      <c r="AE298" s="618"/>
      <c r="AF298" s="618"/>
      <c r="AG298" s="618"/>
      <c r="AH298" s="618"/>
      <c r="AI298" s="618"/>
      <c r="AJ298" s="618"/>
      <c r="AK298" s="618"/>
      <c r="AL298" s="618"/>
      <c r="AM298" s="3"/>
    </row>
    <row r="299" spans="1:57" ht="14.25" customHeight="1" x14ac:dyDescent="0.45">
      <c r="A299" s="618"/>
      <c r="B299" s="215"/>
      <c r="C299" s="220"/>
      <c r="D299" s="221" t="s">
        <v>174</v>
      </c>
      <c r="E299" s="221">
        <f t="shared" si="198"/>
        <v>0.27927247557176954</v>
      </c>
      <c r="F299" s="221">
        <f t="shared" si="198"/>
        <v>0.29771677265412061</v>
      </c>
      <c r="G299" s="221">
        <f t="shared" si="198"/>
        <v>0.28188186700509898</v>
      </c>
      <c r="H299" s="221">
        <f t="shared" si="198"/>
        <v>0.29290009620532448</v>
      </c>
      <c r="I299" s="221">
        <f t="shared" si="199"/>
        <v>0.28794280285907842</v>
      </c>
      <c r="J299" s="618"/>
      <c r="K299" s="618"/>
      <c r="L299" s="618"/>
      <c r="M299" s="618"/>
      <c r="N299" s="618"/>
      <c r="O299" s="618"/>
      <c r="P299" s="618"/>
      <c r="Q299" s="618"/>
      <c r="R299" s="618"/>
      <c r="S299" s="618"/>
      <c r="T299" s="618"/>
      <c r="U299" s="618"/>
      <c r="V299" s="618"/>
      <c r="W299" s="618"/>
      <c r="X299" s="618"/>
      <c r="Y299" s="618"/>
      <c r="Z299" s="618"/>
      <c r="AA299" s="618"/>
      <c r="AB299" s="618"/>
      <c r="AC299" s="618"/>
      <c r="AD299" s="618"/>
      <c r="AE299" s="618"/>
      <c r="AF299" s="618"/>
      <c r="AG299" s="618"/>
      <c r="AH299" s="618"/>
      <c r="AI299" s="618"/>
      <c r="AJ299" s="618"/>
      <c r="AK299" s="618"/>
      <c r="AL299" s="618"/>
      <c r="AM299" s="3"/>
    </row>
    <row r="300" spans="1:57" ht="14.25" customHeight="1" x14ac:dyDescent="0.45">
      <c r="A300" s="618"/>
      <c r="B300" s="215"/>
      <c r="C300" s="220"/>
      <c r="D300" s="221" t="s">
        <v>175</v>
      </c>
      <c r="E300" s="221">
        <f t="shared" si="198"/>
        <v>4.1255551720698024E-2</v>
      </c>
      <c r="F300" s="221">
        <f t="shared" si="198"/>
        <v>5.1982390423947526E-2</v>
      </c>
      <c r="G300" s="221">
        <f t="shared" si="198"/>
        <v>4.0818918404909331E-2</v>
      </c>
      <c r="H300" s="221">
        <f t="shared" si="198"/>
        <v>4.7604218945735757E-2</v>
      </c>
      <c r="I300" s="221">
        <f t="shared" si="199"/>
        <v>4.5415269873822661E-2</v>
      </c>
      <c r="J300" s="618"/>
      <c r="K300" s="618"/>
      <c r="L300" s="618"/>
      <c r="M300" s="618"/>
      <c r="N300" s="618"/>
      <c r="O300" s="618"/>
      <c r="P300" s="618"/>
      <c r="Q300" s="618"/>
      <c r="R300" s="618"/>
      <c r="S300" s="618"/>
      <c r="T300" s="618"/>
      <c r="U300" s="618"/>
      <c r="V300" s="618"/>
      <c r="W300" s="618"/>
      <c r="X300" s="618"/>
      <c r="Y300" s="618"/>
      <c r="Z300" s="618"/>
      <c r="AA300" s="618"/>
      <c r="AB300" s="618"/>
      <c r="AC300" s="618"/>
      <c r="AD300" s="618"/>
      <c r="AE300" s="618"/>
      <c r="AF300" s="618"/>
      <c r="AG300" s="618"/>
      <c r="AH300" s="618"/>
      <c r="AI300" s="618"/>
      <c r="AJ300" s="618"/>
      <c r="AK300" s="618"/>
      <c r="AL300" s="618"/>
      <c r="AM300" s="3"/>
    </row>
    <row r="301" spans="1:57" ht="14.25" customHeight="1" x14ac:dyDescent="0.45">
      <c r="A301" s="618"/>
      <c r="B301" s="215"/>
      <c r="C301" s="220"/>
      <c r="D301" s="228" t="s">
        <v>176</v>
      </c>
      <c r="E301" s="228">
        <f t="shared" si="198"/>
        <v>0.5384667210337396</v>
      </c>
      <c r="F301" s="228">
        <f t="shared" si="198"/>
        <v>0.61204869279503438</v>
      </c>
      <c r="G301" s="228">
        <f t="shared" si="198"/>
        <v>0.64886490138115327</v>
      </c>
      <c r="H301" s="228">
        <f t="shared" si="198"/>
        <v>0.65908949264719274</v>
      </c>
      <c r="I301" s="228">
        <f t="shared" si="199"/>
        <v>0.61461745196427997</v>
      </c>
      <c r="J301" s="618"/>
      <c r="K301" s="618"/>
      <c r="L301" s="618"/>
      <c r="M301" s="618"/>
      <c r="N301" s="618"/>
      <c r="O301" s="618"/>
      <c r="P301" s="618"/>
      <c r="Q301" s="618"/>
      <c r="R301" s="618"/>
      <c r="S301" s="618"/>
      <c r="T301" s="618"/>
      <c r="U301" s="618"/>
      <c r="V301" s="618"/>
      <c r="W301" s="618"/>
      <c r="X301" s="618"/>
      <c r="Y301" s="618"/>
      <c r="Z301" s="618"/>
      <c r="AA301" s="618"/>
      <c r="AB301" s="618"/>
      <c r="AC301" s="618"/>
      <c r="AD301" s="618"/>
      <c r="AE301" s="618"/>
      <c r="AF301" s="618"/>
      <c r="AG301" s="618"/>
      <c r="AH301" s="618"/>
      <c r="AI301" s="618"/>
      <c r="AJ301" s="618"/>
      <c r="AK301" s="618"/>
      <c r="AL301" s="618"/>
      <c r="AM301" s="3"/>
    </row>
    <row r="302" spans="1:57" ht="14.25" customHeight="1" x14ac:dyDescent="0.45">
      <c r="A302" s="618"/>
      <c r="B302" s="215"/>
      <c r="C302" s="220"/>
      <c r="D302" s="221" t="s">
        <v>174</v>
      </c>
      <c r="E302" s="221">
        <f t="shared" si="198"/>
        <v>0.51106127952179781</v>
      </c>
      <c r="F302" s="221">
        <f t="shared" si="198"/>
        <v>0.54892221390075402</v>
      </c>
      <c r="G302" s="221">
        <f t="shared" si="198"/>
        <v>0.58268737318350727</v>
      </c>
      <c r="H302" s="221">
        <f t="shared" si="198"/>
        <v>0.58420114878491525</v>
      </c>
      <c r="I302" s="221">
        <f t="shared" si="199"/>
        <v>0.55671800384774361</v>
      </c>
      <c r="J302" s="618"/>
      <c r="K302" s="618"/>
      <c r="L302" s="618"/>
      <c r="M302" s="618"/>
      <c r="N302" s="618"/>
      <c r="O302" s="618"/>
      <c r="P302" s="618"/>
      <c r="Q302" s="618"/>
      <c r="R302" s="618"/>
      <c r="S302" s="618"/>
      <c r="T302" s="618"/>
      <c r="U302" s="618"/>
      <c r="V302" s="618"/>
      <c r="W302" s="618"/>
      <c r="X302" s="618"/>
      <c r="Y302" s="618"/>
      <c r="Z302" s="618"/>
      <c r="AA302" s="618"/>
      <c r="AB302" s="618"/>
      <c r="AC302" s="618"/>
      <c r="AD302" s="618"/>
      <c r="AE302" s="618"/>
      <c r="AF302" s="618"/>
      <c r="AG302" s="618"/>
      <c r="AH302" s="618"/>
      <c r="AI302" s="618"/>
      <c r="AJ302" s="618"/>
      <c r="AK302" s="618"/>
      <c r="AL302" s="618"/>
      <c r="AM302" s="3"/>
    </row>
    <row r="303" spans="1:57" ht="14.25" customHeight="1" x14ac:dyDescent="0.45">
      <c r="A303" s="618"/>
      <c r="B303" s="215"/>
      <c r="C303" s="220"/>
      <c r="D303" s="221" t="s">
        <v>175</v>
      </c>
      <c r="E303" s="221">
        <f t="shared" si="198"/>
        <v>2.7405441511941797E-2</v>
      </c>
      <c r="F303" s="221">
        <f t="shared" si="198"/>
        <v>6.3126478894280399E-2</v>
      </c>
      <c r="G303" s="221">
        <f t="shared" si="198"/>
        <v>6.617752819764601E-2</v>
      </c>
      <c r="H303" s="221">
        <f t="shared" si="198"/>
        <v>7.4888343862277398E-2</v>
      </c>
      <c r="I303" s="221">
        <f t="shared" si="199"/>
        <v>5.7899448116536398E-2</v>
      </c>
      <c r="J303" s="618"/>
      <c r="K303" s="618"/>
      <c r="L303" s="618"/>
      <c r="M303" s="618"/>
      <c r="N303" s="618"/>
      <c r="O303" s="618"/>
      <c r="P303" s="618"/>
      <c r="Q303" s="618"/>
      <c r="R303" s="618"/>
      <c r="S303" s="618"/>
      <c r="T303" s="618"/>
      <c r="U303" s="618"/>
      <c r="V303" s="618"/>
      <c r="W303" s="618"/>
      <c r="X303" s="618"/>
      <c r="Y303" s="618"/>
      <c r="Z303" s="618"/>
      <c r="AA303" s="618"/>
      <c r="AB303" s="618"/>
      <c r="AC303" s="618"/>
      <c r="AD303" s="618"/>
      <c r="AE303" s="618"/>
      <c r="AF303" s="618"/>
      <c r="AG303" s="618"/>
      <c r="AH303" s="618"/>
      <c r="AI303" s="618"/>
      <c r="AJ303" s="618"/>
      <c r="AK303" s="618"/>
      <c r="AL303" s="618"/>
      <c r="AM303" s="3"/>
    </row>
    <row r="304" spans="1:57" ht="14.25" customHeight="1" x14ac:dyDescent="0.45">
      <c r="A304" s="618"/>
      <c r="B304" s="215"/>
      <c r="C304" s="220" t="s">
        <v>177</v>
      </c>
      <c r="D304" s="224" t="s">
        <v>342</v>
      </c>
      <c r="E304" s="224">
        <f t="shared" si="198"/>
        <v>1.4455428469648908E-3</v>
      </c>
      <c r="F304" s="224">
        <f t="shared" si="198"/>
        <v>1.2942253789245068E-3</v>
      </c>
      <c r="G304" s="224">
        <f t="shared" si="198"/>
        <v>1.3513110162268851E-3</v>
      </c>
      <c r="H304" s="224">
        <f t="shared" si="198"/>
        <v>1.3079916848731227E-3</v>
      </c>
      <c r="I304" s="224">
        <f t="shared" si="199"/>
        <v>1.3497677317473515E-3</v>
      </c>
      <c r="J304" s="618"/>
      <c r="K304" s="618"/>
      <c r="L304" s="618"/>
      <c r="M304" s="618"/>
      <c r="N304" s="618"/>
      <c r="O304" s="618"/>
      <c r="P304" s="618"/>
      <c r="Q304" s="618"/>
      <c r="R304" s="618"/>
      <c r="S304" s="618"/>
      <c r="T304" s="618"/>
      <c r="U304" s="618"/>
      <c r="V304" s="618"/>
      <c r="W304" s="618"/>
      <c r="X304" s="618"/>
      <c r="Y304" s="618"/>
      <c r="Z304" s="618"/>
      <c r="AA304" s="618"/>
      <c r="AB304" s="618"/>
      <c r="AC304" s="618"/>
      <c r="AD304" s="618"/>
      <c r="AE304" s="618"/>
      <c r="AF304" s="618"/>
      <c r="AG304" s="618"/>
      <c r="AH304" s="618"/>
      <c r="AI304" s="618"/>
      <c r="AJ304" s="618"/>
      <c r="AK304" s="618"/>
      <c r="AL304" s="618"/>
      <c r="AM304" s="3"/>
    </row>
    <row r="305" spans="1:39" ht="14.25" customHeight="1" x14ac:dyDescent="0.45">
      <c r="A305" s="618"/>
      <c r="B305" s="215"/>
      <c r="C305" s="220"/>
      <c r="D305" s="224" t="s">
        <v>343</v>
      </c>
      <c r="E305" s="224">
        <f t="shared" si="198"/>
        <v>0.17369439259158267</v>
      </c>
      <c r="F305" s="224">
        <f t="shared" si="198"/>
        <v>0.11630355555363232</v>
      </c>
      <c r="G305" s="224">
        <f t="shared" si="198"/>
        <v>9.6371183918054201E-2</v>
      </c>
      <c r="H305" s="224">
        <f t="shared" si="198"/>
        <v>8.2513828532336839E-2</v>
      </c>
      <c r="I305" s="224">
        <f t="shared" si="199"/>
        <v>0.11722074014890152</v>
      </c>
      <c r="J305" s="618"/>
      <c r="K305" s="618"/>
      <c r="L305" s="618"/>
      <c r="M305" s="618"/>
      <c r="N305" s="618"/>
      <c r="O305" s="618"/>
      <c r="P305" s="618"/>
      <c r="Q305" s="618"/>
      <c r="R305" s="618"/>
      <c r="S305" s="618"/>
      <c r="T305" s="618"/>
      <c r="U305" s="618"/>
      <c r="V305" s="618"/>
      <c r="W305" s="618"/>
      <c r="X305" s="618"/>
      <c r="Y305" s="618"/>
      <c r="Z305" s="618"/>
      <c r="AA305" s="618"/>
      <c r="AB305" s="618"/>
      <c r="AC305" s="618"/>
      <c r="AD305" s="618"/>
      <c r="AE305" s="618"/>
      <c r="AF305" s="618"/>
      <c r="AG305" s="618"/>
      <c r="AH305" s="618"/>
      <c r="AI305" s="618"/>
      <c r="AJ305" s="618"/>
      <c r="AK305" s="618"/>
      <c r="AL305" s="618"/>
      <c r="AM305" s="3"/>
    </row>
    <row r="306" spans="1:39" ht="14.25" customHeight="1" x14ac:dyDescent="0.45">
      <c r="A306" s="618"/>
      <c r="B306" s="215"/>
      <c r="C306" s="220"/>
      <c r="D306" s="228" t="s">
        <v>180</v>
      </c>
      <c r="E306" s="228">
        <f t="shared" si="198"/>
        <v>6.02652259149676E-2</v>
      </c>
      <c r="F306" s="228">
        <f t="shared" si="198"/>
        <v>3.3370265963701962E-2</v>
      </c>
      <c r="G306" s="228">
        <f t="shared" si="198"/>
        <v>3.1293624893026444E-2</v>
      </c>
      <c r="H306" s="228">
        <f t="shared" si="198"/>
        <v>2.6283055978850712E-2</v>
      </c>
      <c r="I306" s="228">
        <f t="shared" si="199"/>
        <v>3.7803043187636685E-2</v>
      </c>
      <c r="J306" s="618"/>
      <c r="K306" s="618"/>
      <c r="L306" s="618"/>
      <c r="M306" s="618"/>
      <c r="N306" s="618"/>
      <c r="O306" s="618"/>
      <c r="P306" s="618"/>
      <c r="Q306" s="618"/>
      <c r="R306" s="618"/>
      <c r="S306" s="618"/>
      <c r="T306" s="618"/>
      <c r="U306" s="618"/>
      <c r="V306" s="618"/>
      <c r="W306" s="618"/>
      <c r="X306" s="618"/>
      <c r="Y306" s="618"/>
      <c r="Z306" s="618"/>
      <c r="AA306" s="618"/>
      <c r="AB306" s="618"/>
      <c r="AC306" s="618"/>
      <c r="AD306" s="618"/>
      <c r="AE306" s="618"/>
      <c r="AF306" s="618"/>
      <c r="AG306" s="618"/>
      <c r="AH306" s="618"/>
      <c r="AI306" s="618"/>
      <c r="AJ306" s="618"/>
      <c r="AK306" s="618"/>
      <c r="AL306" s="618"/>
      <c r="AM306" s="3"/>
    </row>
    <row r="307" spans="1:39" ht="14.25" customHeight="1" x14ac:dyDescent="0.45">
      <c r="A307" s="4"/>
      <c r="B307" s="298"/>
      <c r="C307" s="220" t="s">
        <v>181</v>
      </c>
      <c r="D307" s="243" t="s">
        <v>190</v>
      </c>
      <c r="E307" s="243">
        <f t="shared" si="198"/>
        <v>9.1909514161368187E-3</v>
      </c>
      <c r="F307" s="243">
        <f t="shared" si="198"/>
        <v>9.2321469537729503E-4</v>
      </c>
      <c r="G307" s="243">
        <f t="shared" si="198"/>
        <v>3.2050281540423895E-3</v>
      </c>
      <c r="H307" s="243">
        <f t="shared" si="198"/>
        <v>1.4971399810945474E-3</v>
      </c>
      <c r="I307" s="243">
        <f t="shared" si="199"/>
        <v>3.7040835616627627E-3</v>
      </c>
      <c r="J307" s="4"/>
      <c r="K307" s="618"/>
      <c r="L307" s="618"/>
      <c r="M307" s="618"/>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3"/>
    </row>
    <row r="308" spans="1:39" ht="14.25" customHeight="1" x14ac:dyDescent="0.45">
      <c r="A308" s="618"/>
      <c r="B308" s="215"/>
      <c r="C308" s="220" t="s">
        <v>183</v>
      </c>
      <c r="D308" s="243" t="s">
        <v>195</v>
      </c>
      <c r="E308" s="243">
        <f t="shared" si="198"/>
        <v>4.122945004783031E-2</v>
      </c>
      <c r="F308" s="243">
        <f t="shared" si="198"/>
        <v>2.6218801389892958E-2</v>
      </c>
      <c r="G308" s="243">
        <f t="shared" si="198"/>
        <v>2.1890014359592699E-2</v>
      </c>
      <c r="H308" s="243">
        <f t="shared" si="198"/>
        <v>1.728385167458122E-2</v>
      </c>
      <c r="I308" s="243">
        <f t="shared" si="199"/>
        <v>2.6655529367974294E-2</v>
      </c>
      <c r="J308" s="618"/>
      <c r="K308" s="618"/>
      <c r="L308" s="618"/>
      <c r="M308" s="618"/>
      <c r="N308" s="618"/>
      <c r="O308" s="618"/>
      <c r="P308" s="618"/>
      <c r="Q308" s="618"/>
      <c r="R308" s="618"/>
      <c r="S308" s="618"/>
      <c r="T308" s="618"/>
      <c r="U308" s="618"/>
      <c r="V308" s="618"/>
      <c r="W308" s="618"/>
      <c r="X308" s="618"/>
      <c r="Y308" s="618"/>
      <c r="Z308" s="618"/>
      <c r="AA308" s="618"/>
      <c r="AB308" s="618"/>
      <c r="AC308" s="618"/>
      <c r="AD308" s="618"/>
      <c r="AE308" s="618"/>
      <c r="AF308" s="618"/>
      <c r="AG308" s="618"/>
      <c r="AH308" s="618"/>
      <c r="AI308" s="618"/>
      <c r="AJ308" s="618"/>
      <c r="AK308" s="618"/>
      <c r="AL308" s="618"/>
      <c r="AM308" s="3"/>
    </row>
    <row r="309" spans="1:39" ht="14.25" customHeight="1" x14ac:dyDescent="0.45">
      <c r="A309" s="618"/>
      <c r="B309" s="215"/>
      <c r="C309" s="220"/>
      <c r="D309" s="221" t="s">
        <v>344</v>
      </c>
      <c r="E309" s="221">
        <f t="shared" si="198"/>
        <v>1.8292748135304917E-5</v>
      </c>
      <c r="F309" s="221">
        <f t="shared" si="198"/>
        <v>0</v>
      </c>
      <c r="G309" s="221">
        <f t="shared" si="198"/>
        <v>0</v>
      </c>
      <c r="H309" s="221">
        <f t="shared" si="198"/>
        <v>0</v>
      </c>
      <c r="I309" s="221">
        <f t="shared" si="199"/>
        <v>4.5731870338262294E-6</v>
      </c>
      <c r="J309" s="618"/>
      <c r="K309" s="618"/>
      <c r="L309" s="618"/>
      <c r="M309" s="618"/>
      <c r="N309" s="618"/>
      <c r="O309" s="618"/>
      <c r="P309" s="618"/>
      <c r="Q309" s="618"/>
      <c r="R309" s="618"/>
      <c r="S309" s="618"/>
      <c r="T309" s="618"/>
      <c r="U309" s="618"/>
      <c r="V309" s="618"/>
      <c r="W309" s="618"/>
      <c r="X309" s="618"/>
      <c r="Y309" s="618"/>
      <c r="Z309" s="618"/>
      <c r="AA309" s="618"/>
      <c r="AB309" s="618"/>
      <c r="AC309" s="618"/>
      <c r="AD309" s="618"/>
      <c r="AE309" s="618"/>
      <c r="AF309" s="618"/>
      <c r="AG309" s="618"/>
      <c r="AH309" s="618"/>
      <c r="AI309" s="618"/>
      <c r="AJ309" s="618"/>
      <c r="AK309" s="618"/>
      <c r="AL309" s="618"/>
      <c r="AM309" s="3"/>
    </row>
    <row r="310" spans="1:39" ht="14.25" customHeight="1" x14ac:dyDescent="0.45">
      <c r="A310" s="618"/>
      <c r="B310" s="215"/>
      <c r="C310" s="220" t="s">
        <v>186</v>
      </c>
      <c r="D310" s="221" t="s">
        <v>345</v>
      </c>
      <c r="E310" s="221">
        <f t="shared" si="198"/>
        <v>9.8265317028651614E-3</v>
      </c>
      <c r="F310" s="221">
        <f t="shared" si="198"/>
        <v>6.2282498784317049E-3</v>
      </c>
      <c r="G310" s="221">
        <f t="shared" si="198"/>
        <v>6.198582379391358E-3</v>
      </c>
      <c r="H310" s="221">
        <f t="shared" si="198"/>
        <v>7.5020643231749461E-3</v>
      </c>
      <c r="I310" s="221">
        <f t="shared" si="199"/>
        <v>7.4388570709657924E-3</v>
      </c>
      <c r="J310" s="618"/>
      <c r="K310" s="618"/>
      <c r="L310" s="618"/>
      <c r="M310" s="618"/>
      <c r="N310" s="618"/>
      <c r="O310" s="618"/>
      <c r="P310" s="618"/>
      <c r="Q310" s="618"/>
      <c r="R310" s="618"/>
      <c r="S310" s="618"/>
      <c r="T310" s="618"/>
      <c r="U310" s="618"/>
      <c r="V310" s="618"/>
      <c r="W310" s="618"/>
      <c r="X310" s="618"/>
      <c r="Y310" s="618"/>
      <c r="Z310" s="618"/>
      <c r="AA310" s="618"/>
      <c r="AB310" s="618"/>
      <c r="AC310" s="618"/>
      <c r="AD310" s="618"/>
      <c r="AE310" s="618"/>
      <c r="AF310" s="618"/>
      <c r="AG310" s="618"/>
      <c r="AH310" s="618"/>
      <c r="AI310" s="618"/>
      <c r="AJ310" s="618"/>
      <c r="AK310" s="618"/>
      <c r="AL310" s="618"/>
      <c r="AM310" s="3"/>
    </row>
    <row r="311" spans="1:39" ht="14.25" customHeight="1" x14ac:dyDescent="0.45">
      <c r="A311" s="618"/>
      <c r="B311" s="215"/>
      <c r="C311" s="220"/>
      <c r="D311" s="228" t="s">
        <v>188</v>
      </c>
      <c r="E311" s="228">
        <f t="shared" si="198"/>
        <v>4.2398009922950286E-2</v>
      </c>
      <c r="F311" s="228">
        <f t="shared" si="198"/>
        <v>3.471518294371205E-2</v>
      </c>
      <c r="G311" s="228">
        <f t="shared" si="198"/>
        <v>2.8298846350211699E-2</v>
      </c>
      <c r="H311" s="228">
        <f t="shared" si="198"/>
        <v>2.3254981722483244E-2</v>
      </c>
      <c r="I311" s="228">
        <f t="shared" si="199"/>
        <v>3.216675523483932E-2</v>
      </c>
      <c r="J311" s="618"/>
      <c r="K311" s="618"/>
      <c r="L311" s="618"/>
      <c r="M311" s="618"/>
      <c r="N311" s="618"/>
      <c r="O311" s="618"/>
      <c r="P311" s="618"/>
      <c r="Q311" s="618"/>
      <c r="R311" s="618"/>
      <c r="S311" s="618"/>
      <c r="T311" s="618"/>
      <c r="U311" s="618"/>
      <c r="V311" s="618"/>
      <c r="W311" s="618"/>
      <c r="X311" s="618"/>
      <c r="Y311" s="618"/>
      <c r="Z311" s="618"/>
      <c r="AA311" s="618"/>
      <c r="AB311" s="618"/>
      <c r="AC311" s="618"/>
      <c r="AD311" s="618"/>
      <c r="AE311" s="618"/>
      <c r="AF311" s="618"/>
      <c r="AG311" s="618"/>
      <c r="AH311" s="618"/>
      <c r="AI311" s="618"/>
      <c r="AJ311" s="618"/>
      <c r="AK311" s="618"/>
      <c r="AL311" s="618"/>
      <c r="AM311" s="3"/>
    </row>
    <row r="312" spans="1:39" ht="14.25" customHeight="1" x14ac:dyDescent="0.45">
      <c r="A312" s="618"/>
      <c r="B312" s="215"/>
      <c r="C312" s="220" t="s">
        <v>189</v>
      </c>
      <c r="D312" s="243" t="s">
        <v>190</v>
      </c>
      <c r="E312" s="243">
        <f t="shared" si="198"/>
        <v>4.9822723335630863E-3</v>
      </c>
      <c r="F312" s="243">
        <f t="shared" si="198"/>
        <v>2.6747801604928541E-3</v>
      </c>
      <c r="G312" s="243">
        <f t="shared" si="198"/>
        <v>9.2168149128452417E-4</v>
      </c>
      <c r="H312" s="243">
        <f t="shared" si="198"/>
        <v>6.069558169828342E-4</v>
      </c>
      <c r="I312" s="243">
        <f t="shared" si="199"/>
        <v>2.296422450580825E-3</v>
      </c>
      <c r="J312" s="618"/>
      <c r="K312" s="618"/>
      <c r="L312" s="618"/>
      <c r="M312" s="618"/>
      <c r="N312" s="618"/>
      <c r="O312" s="618"/>
      <c r="P312" s="618"/>
      <c r="Q312" s="618"/>
      <c r="R312" s="618"/>
      <c r="S312" s="618"/>
      <c r="T312" s="618"/>
      <c r="U312" s="618"/>
      <c r="V312" s="618"/>
      <c r="W312" s="618"/>
      <c r="X312" s="618"/>
      <c r="Y312" s="618"/>
      <c r="Z312" s="618"/>
      <c r="AA312" s="618"/>
      <c r="AB312" s="618"/>
      <c r="AC312" s="618"/>
      <c r="AD312" s="618"/>
      <c r="AE312" s="618"/>
      <c r="AF312" s="618"/>
      <c r="AG312" s="618"/>
      <c r="AH312" s="618"/>
      <c r="AI312" s="618"/>
      <c r="AJ312" s="618"/>
      <c r="AK312" s="618"/>
      <c r="AL312" s="618"/>
      <c r="AM312" s="3"/>
    </row>
    <row r="313" spans="1:39" ht="14.25" customHeight="1" x14ac:dyDescent="0.45">
      <c r="A313" s="618"/>
      <c r="B313" s="215"/>
      <c r="C313" s="220" t="s">
        <v>191</v>
      </c>
      <c r="D313" s="243" t="s">
        <v>411</v>
      </c>
      <c r="E313" s="243">
        <f t="shared" si="198"/>
        <v>3.7415737589387196E-2</v>
      </c>
      <c r="F313" s="243">
        <f t="shared" si="198"/>
        <v>3.2040402783219193E-2</v>
      </c>
      <c r="G313" s="243">
        <f t="shared" si="198"/>
        <v>2.7377164858927175E-2</v>
      </c>
      <c r="H313" s="243">
        <f t="shared" si="198"/>
        <v>2.2648025905500409E-2</v>
      </c>
      <c r="I313" s="243">
        <f t="shared" si="199"/>
        <v>2.9870332784258494E-2</v>
      </c>
      <c r="J313" s="618"/>
      <c r="K313" s="618"/>
      <c r="L313" s="618"/>
      <c r="M313" s="618"/>
      <c r="N313" s="618"/>
      <c r="O313" s="618"/>
      <c r="P313" s="618"/>
      <c r="Q313" s="618"/>
      <c r="R313" s="618"/>
      <c r="S313" s="618"/>
      <c r="T313" s="618"/>
      <c r="U313" s="618"/>
      <c r="V313" s="618"/>
      <c r="W313" s="618"/>
      <c r="X313" s="618"/>
      <c r="Y313" s="618"/>
      <c r="Z313" s="618"/>
      <c r="AA313" s="618"/>
      <c r="AB313" s="618"/>
      <c r="AC313" s="618"/>
      <c r="AD313" s="618"/>
      <c r="AE313" s="618"/>
      <c r="AF313" s="618"/>
      <c r="AG313" s="618"/>
      <c r="AH313" s="618"/>
      <c r="AI313" s="618"/>
      <c r="AJ313" s="618"/>
      <c r="AK313" s="618"/>
      <c r="AL313" s="618"/>
      <c r="AM313" s="3"/>
    </row>
    <row r="314" spans="1:39" ht="14.25" customHeight="1" x14ac:dyDescent="0.45">
      <c r="A314" s="618"/>
      <c r="B314" s="215"/>
      <c r="C314" s="220"/>
      <c r="D314" s="228" t="s">
        <v>193</v>
      </c>
      <c r="E314" s="228">
        <f t="shared" si="198"/>
        <v>7.1031156753664781E-2</v>
      </c>
      <c r="F314" s="228">
        <f t="shared" si="198"/>
        <v>4.8218106646218319E-2</v>
      </c>
      <c r="G314" s="228">
        <f t="shared" si="198"/>
        <v>3.6778712674816062E-2</v>
      </c>
      <c r="H314" s="228">
        <f t="shared" si="198"/>
        <v>3.2975790831002889E-2</v>
      </c>
      <c r="I314" s="228">
        <f t="shared" si="199"/>
        <v>4.7250941726425508E-2</v>
      </c>
      <c r="J314" s="618"/>
      <c r="K314" s="618"/>
      <c r="L314" s="618"/>
      <c r="M314" s="618"/>
      <c r="N314" s="618"/>
      <c r="O314" s="618"/>
      <c r="P314" s="618"/>
      <c r="Q314" s="618"/>
      <c r="R314" s="618"/>
      <c r="S314" s="618"/>
      <c r="T314" s="618"/>
      <c r="U314" s="618"/>
      <c r="V314" s="618"/>
      <c r="W314" s="618"/>
      <c r="X314" s="618"/>
      <c r="Y314" s="618"/>
      <c r="Z314" s="618"/>
      <c r="AA314" s="618"/>
      <c r="AB314" s="618"/>
      <c r="AC314" s="618"/>
      <c r="AD314" s="618"/>
      <c r="AE314" s="618"/>
      <c r="AF314" s="618"/>
      <c r="AG314" s="618"/>
      <c r="AH314" s="618"/>
      <c r="AI314" s="618"/>
      <c r="AJ314" s="618"/>
      <c r="AK314" s="618"/>
      <c r="AL314" s="618"/>
      <c r="AM314" s="3"/>
    </row>
    <row r="315" spans="1:39" ht="14.25" customHeight="1" x14ac:dyDescent="0.45">
      <c r="A315" s="618"/>
      <c r="B315" s="215"/>
      <c r="C315" s="220" t="s">
        <v>194</v>
      </c>
      <c r="D315" s="243" t="s">
        <v>195</v>
      </c>
      <c r="E315" s="243">
        <f t="shared" si="198"/>
        <v>7.1031156753664781E-2</v>
      </c>
      <c r="F315" s="243">
        <f t="shared" si="198"/>
        <v>4.8218106646218319E-2</v>
      </c>
      <c r="G315" s="243">
        <f t="shared" si="198"/>
        <v>3.6778712674816062E-2</v>
      </c>
      <c r="H315" s="243">
        <f t="shared" si="198"/>
        <v>3.2975790831002889E-2</v>
      </c>
      <c r="I315" s="243">
        <f t="shared" si="199"/>
        <v>4.7250941726425508E-2</v>
      </c>
      <c r="J315" s="618"/>
      <c r="K315" s="618"/>
      <c r="L315" s="618"/>
      <c r="M315" s="618"/>
      <c r="N315" s="618"/>
      <c r="O315" s="618"/>
      <c r="P315" s="618"/>
      <c r="Q315" s="618"/>
      <c r="R315" s="618"/>
      <c r="S315" s="618"/>
      <c r="T315" s="618"/>
      <c r="U315" s="618"/>
      <c r="V315" s="618"/>
      <c r="W315" s="618"/>
      <c r="X315" s="618"/>
      <c r="Y315" s="618"/>
      <c r="Z315" s="618"/>
      <c r="AA315" s="618"/>
      <c r="AB315" s="618"/>
      <c r="AC315" s="618"/>
      <c r="AD315" s="618"/>
      <c r="AE315" s="618"/>
      <c r="AF315" s="618"/>
      <c r="AG315" s="618"/>
      <c r="AH315" s="618"/>
      <c r="AI315" s="618"/>
      <c r="AJ315" s="618"/>
      <c r="AK315" s="618"/>
      <c r="AL315" s="618"/>
      <c r="AM315" s="3"/>
    </row>
    <row r="316" spans="1:39" ht="14.25" customHeight="1" x14ac:dyDescent="0.45">
      <c r="A316" s="618"/>
      <c r="B316" s="215"/>
      <c r="C316" s="220"/>
      <c r="D316" s="224" t="s">
        <v>347</v>
      </c>
      <c r="E316" s="224">
        <f t="shared" si="198"/>
        <v>1.8928836877282564E-3</v>
      </c>
      <c r="F316" s="224">
        <f t="shared" si="198"/>
        <v>1.6079177964543523E-3</v>
      </c>
      <c r="G316" s="224">
        <f t="shared" si="198"/>
        <v>1.7578841322512632E-3</v>
      </c>
      <c r="H316" s="224">
        <f t="shared" si="198"/>
        <v>1.6478974187710727E-3</v>
      </c>
      <c r="I316" s="224">
        <f t="shared" si="199"/>
        <v>1.726645758801236E-3</v>
      </c>
      <c r="J316" s="618"/>
      <c r="K316" s="618"/>
      <c r="L316" s="618"/>
      <c r="M316" s="618"/>
      <c r="N316" s="618"/>
      <c r="O316" s="618"/>
      <c r="P316" s="618"/>
      <c r="Q316" s="618"/>
      <c r="R316" s="618"/>
      <c r="S316" s="618"/>
      <c r="T316" s="618"/>
      <c r="U316" s="618"/>
      <c r="V316" s="618"/>
      <c r="W316" s="618"/>
      <c r="X316" s="618"/>
      <c r="Y316" s="618"/>
      <c r="Z316" s="618"/>
      <c r="AA316" s="618"/>
      <c r="AB316" s="618"/>
      <c r="AC316" s="618"/>
      <c r="AD316" s="618"/>
      <c r="AE316" s="618"/>
      <c r="AF316" s="618"/>
      <c r="AG316" s="618"/>
      <c r="AH316" s="618"/>
      <c r="AI316" s="618"/>
      <c r="AJ316" s="618"/>
      <c r="AK316" s="618"/>
      <c r="AL316" s="618"/>
      <c r="AM316" s="3"/>
    </row>
    <row r="317" spans="1:39" ht="14.25" customHeight="1" x14ac:dyDescent="0.45">
      <c r="A317" s="618"/>
      <c r="B317" s="215"/>
      <c r="C317" s="220"/>
      <c r="D317" s="228" t="s">
        <v>197</v>
      </c>
      <c r="E317" s="228">
        <f t="shared" si="198"/>
        <v>0</v>
      </c>
      <c r="F317" s="228">
        <f t="shared" si="198"/>
        <v>0</v>
      </c>
      <c r="G317" s="228">
        <f t="shared" si="198"/>
        <v>0</v>
      </c>
      <c r="H317" s="228">
        <f t="shared" si="198"/>
        <v>0</v>
      </c>
      <c r="I317" s="228">
        <f t="shared" si="199"/>
        <v>0</v>
      </c>
      <c r="J317" s="618"/>
      <c r="K317" s="618"/>
      <c r="L317" s="618"/>
      <c r="M317" s="618"/>
      <c r="N317" s="618"/>
      <c r="O317" s="618"/>
      <c r="P317" s="618"/>
      <c r="Q317" s="618"/>
      <c r="R317" s="618"/>
      <c r="S317" s="618"/>
      <c r="T317" s="618"/>
      <c r="U317" s="618"/>
      <c r="V317" s="618"/>
      <c r="W317" s="618"/>
      <c r="X317" s="618"/>
      <c r="Y317" s="618"/>
      <c r="Z317" s="618"/>
      <c r="AA317" s="618"/>
      <c r="AB317" s="618"/>
      <c r="AC317" s="618"/>
      <c r="AD317" s="618"/>
      <c r="AE317" s="618"/>
      <c r="AF317" s="618"/>
      <c r="AG317" s="618"/>
      <c r="AH317" s="618"/>
      <c r="AI317" s="618"/>
      <c r="AJ317" s="618"/>
      <c r="AK317" s="618"/>
      <c r="AL317" s="618"/>
      <c r="AM317" s="3"/>
    </row>
    <row r="318" spans="1:39" ht="14.25" customHeight="1" x14ac:dyDescent="0.45">
      <c r="A318" s="618"/>
      <c r="B318" s="215"/>
      <c r="C318" s="220" t="s">
        <v>198</v>
      </c>
      <c r="D318" s="243" t="s">
        <v>196</v>
      </c>
      <c r="E318" s="243">
        <f t="shared" si="198"/>
        <v>1.8928836877282564E-3</v>
      </c>
      <c r="F318" s="243">
        <f t="shared" si="198"/>
        <v>1.6079177964543523E-3</v>
      </c>
      <c r="G318" s="243">
        <f t="shared" si="198"/>
        <v>1.7578841322512632E-3</v>
      </c>
      <c r="H318" s="243">
        <f t="shared" si="198"/>
        <v>1.6478974187710727E-3</v>
      </c>
      <c r="I318" s="243">
        <f t="shared" si="199"/>
        <v>1.726645758801236E-3</v>
      </c>
      <c r="J318" s="618"/>
      <c r="K318" s="618"/>
      <c r="L318" s="618"/>
      <c r="M318" s="618"/>
      <c r="N318" s="618"/>
      <c r="O318" s="618"/>
      <c r="P318" s="618"/>
      <c r="Q318" s="618"/>
      <c r="R318" s="618"/>
      <c r="S318" s="618"/>
      <c r="T318" s="618"/>
      <c r="U318" s="618"/>
      <c r="V318" s="618"/>
      <c r="W318" s="618"/>
      <c r="X318" s="618"/>
      <c r="Y318" s="618"/>
      <c r="Z318" s="618"/>
      <c r="AA318" s="618"/>
      <c r="AB318" s="618"/>
      <c r="AC318" s="618"/>
      <c r="AD318" s="618"/>
      <c r="AE318" s="618"/>
      <c r="AF318" s="618"/>
      <c r="AG318" s="618"/>
      <c r="AH318" s="618"/>
      <c r="AI318" s="618"/>
      <c r="AJ318" s="618"/>
      <c r="AK318" s="618"/>
      <c r="AL318" s="618"/>
      <c r="AM318" s="3"/>
    </row>
    <row r="319" spans="1:39" ht="14.25" customHeight="1" x14ac:dyDescent="0.45">
      <c r="A319" s="618"/>
      <c r="B319" s="215"/>
      <c r="C319" s="220"/>
      <c r="D319" s="234" t="s">
        <v>348</v>
      </c>
      <c r="E319" s="388">
        <f>SUM(E320:E325)/(SUM(E327:E332)+SUM(E320:E325))</f>
        <v>0.5</v>
      </c>
      <c r="F319" s="388">
        <v>20</v>
      </c>
      <c r="G319" s="388"/>
      <c r="H319" s="3"/>
      <c r="I319" s="388"/>
      <c r="J319" s="623" t="s">
        <v>468</v>
      </c>
      <c r="K319" s="622"/>
      <c r="L319" s="622"/>
      <c r="M319" s="618"/>
      <c r="N319" s="618"/>
      <c r="O319" s="618"/>
      <c r="P319" s="618"/>
      <c r="Q319" s="3"/>
      <c r="R319" s="618">
        <f>SUM(Q319:Q331)</f>
        <v>0.85636214344130557</v>
      </c>
      <c r="S319" s="618"/>
      <c r="T319" s="618"/>
      <c r="U319" s="618"/>
      <c r="V319" s="618"/>
      <c r="W319" s="618"/>
      <c r="X319" s="618"/>
      <c r="Y319" s="618"/>
      <c r="Z319" s="618"/>
      <c r="AA319" s="618"/>
      <c r="AB319" s="618"/>
      <c r="AC319" s="618"/>
      <c r="AD319" s="618"/>
      <c r="AE319" s="618"/>
      <c r="AF319" s="618"/>
      <c r="AG319" s="618"/>
      <c r="AH319" s="618"/>
      <c r="AI319" s="618"/>
      <c r="AJ319" s="618"/>
      <c r="AK319" s="618"/>
      <c r="AL319" s="618"/>
      <c r="AM319" s="3"/>
    </row>
    <row r="320" spans="1:39" ht="14.25" customHeight="1" x14ac:dyDescent="0.45">
      <c r="A320" s="618"/>
      <c r="B320" s="215"/>
      <c r="C320" s="220" t="s">
        <v>200</v>
      </c>
      <c r="D320" s="304" t="s">
        <v>201</v>
      </c>
      <c r="E320" s="346">
        <f>E233/(E$236+E$237+E$238+E$233)</f>
        <v>1.5296638990524438E-2</v>
      </c>
      <c r="F320" s="346">
        <f>F233/(F$236+F$237+F$238+F$233)</f>
        <v>1.9368029201657817E-2</v>
      </c>
      <c r="G320" s="346">
        <f>G233/(G$236+G$237+G$238+G$233)</f>
        <v>1.9827376389912849E-2</v>
      </c>
      <c r="H320" s="346">
        <f>H233/(H$236+H$237+H$238+H$233)</f>
        <v>1.9685634312882588E-2</v>
      </c>
      <c r="I320" s="346">
        <f>AVERAGE(E320:H320)</f>
        <v>1.8544419723744422E-2</v>
      </c>
      <c r="J320" s="622"/>
      <c r="K320" s="622"/>
      <c r="L320" s="622"/>
      <c r="M320" s="618">
        <f t="shared" ref="M320:P325" si="200">E234/E$246</f>
        <v>3.5055849187167545E-2</v>
      </c>
      <c r="N320" s="618">
        <f t="shared" si="200"/>
        <v>4.1963549566905886E-2</v>
      </c>
      <c r="O320" s="618">
        <f t="shared" si="200"/>
        <v>3.2241087458825257E-2</v>
      </c>
      <c r="P320" s="618">
        <f t="shared" si="200"/>
        <v>3.7860902735071686E-2</v>
      </c>
      <c r="Q320" s="618">
        <f t="shared" ref="Q320:Q325" si="201">AVERAGE(M320:P320)</f>
        <v>3.6780347236992597E-2</v>
      </c>
      <c r="R320" s="618"/>
      <c r="S320" s="618"/>
      <c r="T320" s="618"/>
      <c r="U320" s="618"/>
      <c r="V320" s="618"/>
      <c r="W320" s="618"/>
      <c r="X320" s="618"/>
      <c r="Y320" s="618"/>
      <c r="Z320" s="618"/>
      <c r="AA320" s="618"/>
      <c r="AB320" s="618"/>
      <c r="AC320" s="618"/>
      <c r="AD320" s="618"/>
      <c r="AE320" s="618"/>
      <c r="AF320" s="618"/>
      <c r="AG320" s="618"/>
      <c r="AH320" s="618"/>
      <c r="AI320" s="618"/>
      <c r="AJ320" s="618"/>
      <c r="AK320" s="618"/>
      <c r="AL320" s="618"/>
      <c r="AM320" s="3"/>
    </row>
    <row r="321" spans="1:39" ht="14.25" customHeight="1" x14ac:dyDescent="0.45">
      <c r="A321" s="618"/>
      <c r="B321" s="215"/>
      <c r="C321" s="220" t="s">
        <v>202</v>
      </c>
      <c r="D321" s="389" t="s">
        <v>203</v>
      </c>
      <c r="E321" s="390"/>
      <c r="F321" s="390"/>
      <c r="G321" s="390"/>
      <c r="H321" s="390"/>
      <c r="I321" s="390"/>
      <c r="J321" s="622"/>
      <c r="K321" s="622"/>
      <c r="L321" s="622"/>
      <c r="M321" s="618">
        <f t="shared" si="200"/>
        <v>0</v>
      </c>
      <c r="N321" s="618">
        <f t="shared" si="200"/>
        <v>0</v>
      </c>
      <c r="O321" s="618">
        <f t="shared" si="200"/>
        <v>0</v>
      </c>
      <c r="P321" s="618">
        <f t="shared" si="200"/>
        <v>0</v>
      </c>
      <c r="Q321" s="618">
        <f t="shared" si="201"/>
        <v>0</v>
      </c>
      <c r="R321" s="618"/>
      <c r="S321" s="618"/>
      <c r="T321" s="618"/>
      <c r="U321" s="618"/>
      <c r="V321" s="618"/>
      <c r="W321" s="618"/>
      <c r="X321" s="618"/>
      <c r="Y321" s="618"/>
      <c r="Z321" s="618"/>
      <c r="AA321" s="618"/>
      <c r="AB321" s="618"/>
      <c r="AC321" s="618"/>
      <c r="AD321" s="618"/>
      <c r="AE321" s="618"/>
      <c r="AF321" s="618"/>
      <c r="AG321" s="618"/>
      <c r="AH321" s="618"/>
      <c r="AI321" s="618"/>
      <c r="AJ321" s="618"/>
      <c r="AK321" s="618"/>
      <c r="AL321" s="618"/>
      <c r="AM321" s="3"/>
    </row>
    <row r="322" spans="1:39" ht="14.25" customHeight="1" x14ac:dyDescent="0.45">
      <c r="A322" s="618"/>
      <c r="B322" s="215"/>
      <c r="C322" s="220" t="s">
        <v>204</v>
      </c>
      <c r="D322" s="389" t="s">
        <v>205</v>
      </c>
      <c r="E322" s="390"/>
      <c r="F322" s="390"/>
      <c r="G322" s="390"/>
      <c r="H322" s="390"/>
      <c r="I322" s="390"/>
      <c r="J322" s="622"/>
      <c r="K322" s="622"/>
      <c r="L322" s="622"/>
      <c r="M322" s="618">
        <f t="shared" si="200"/>
        <v>0</v>
      </c>
      <c r="N322" s="618">
        <f t="shared" si="200"/>
        <v>0</v>
      </c>
      <c r="O322" s="618">
        <f t="shared" si="200"/>
        <v>0</v>
      </c>
      <c r="P322" s="618">
        <f t="shared" si="200"/>
        <v>0</v>
      </c>
      <c r="Q322" s="618">
        <f t="shared" si="201"/>
        <v>0</v>
      </c>
      <c r="R322" s="618"/>
      <c r="S322" s="618"/>
      <c r="T322" s="618"/>
      <c r="U322" s="618"/>
      <c r="V322" s="618"/>
      <c r="W322" s="618"/>
      <c r="X322" s="618"/>
      <c r="Y322" s="618"/>
      <c r="Z322" s="618"/>
      <c r="AA322" s="618"/>
      <c r="AB322" s="618"/>
      <c r="AC322" s="618"/>
      <c r="AD322" s="618"/>
      <c r="AE322" s="618"/>
      <c r="AF322" s="618"/>
      <c r="AG322" s="618"/>
      <c r="AH322" s="618"/>
      <c r="AI322" s="618"/>
      <c r="AJ322" s="618"/>
      <c r="AK322" s="618"/>
      <c r="AL322" s="618"/>
      <c r="AM322" s="3"/>
    </row>
    <row r="323" spans="1:39" ht="14.25" customHeight="1" x14ac:dyDescent="0.45">
      <c r="A323" s="618"/>
      <c r="B323" s="215"/>
      <c r="C323" s="220" t="s">
        <v>206</v>
      </c>
      <c r="D323" s="304" t="s">
        <v>207</v>
      </c>
      <c r="E323" s="346">
        <f t="shared" ref="E323:H325" si="202">E236/(E$236+E$237+E$238+E$233)</f>
        <v>0</v>
      </c>
      <c r="F323" s="346">
        <f t="shared" si="202"/>
        <v>0</v>
      </c>
      <c r="G323" s="346">
        <f t="shared" si="202"/>
        <v>0</v>
      </c>
      <c r="H323" s="346">
        <f t="shared" si="202"/>
        <v>0</v>
      </c>
      <c r="I323" s="346">
        <f>AVERAGE(E323:H323)</f>
        <v>0</v>
      </c>
      <c r="J323" s="622"/>
      <c r="K323" s="622"/>
      <c r="L323" s="622"/>
      <c r="M323" s="618">
        <f t="shared" si="200"/>
        <v>7.1596078573706146E-2</v>
      </c>
      <c r="N323" s="618">
        <f t="shared" si="200"/>
        <v>7.1553792907604413E-2</v>
      </c>
      <c r="O323" s="618">
        <f t="shared" si="200"/>
        <v>6.8061340194654124E-2</v>
      </c>
      <c r="P323" s="618">
        <f t="shared" si="200"/>
        <v>7.1013050693901028E-2</v>
      </c>
      <c r="Q323" s="618">
        <f t="shared" si="201"/>
        <v>7.0556065592466424E-2</v>
      </c>
      <c r="R323" s="618"/>
      <c r="S323" s="618"/>
      <c r="T323" s="618"/>
      <c r="U323" s="618"/>
      <c r="V323" s="618"/>
      <c r="W323" s="618"/>
      <c r="X323" s="618"/>
      <c r="Y323" s="618"/>
      <c r="Z323" s="618"/>
      <c r="AA323" s="618"/>
      <c r="AB323" s="618"/>
      <c r="AC323" s="618"/>
      <c r="AD323" s="618"/>
      <c r="AE323" s="618"/>
      <c r="AF323" s="618"/>
      <c r="AG323" s="618"/>
      <c r="AH323" s="618"/>
      <c r="AI323" s="618"/>
      <c r="AJ323" s="618"/>
      <c r="AK323" s="618"/>
      <c r="AL323" s="618"/>
      <c r="AM323" s="3"/>
    </row>
    <row r="324" spans="1:39" ht="14.25" customHeight="1" x14ac:dyDescent="0.45">
      <c r="A324" s="618"/>
      <c r="B324" s="215"/>
      <c r="C324" s="220" t="s">
        <v>208</v>
      </c>
      <c r="D324" s="304" t="s">
        <v>209</v>
      </c>
      <c r="E324" s="346">
        <f t="shared" si="202"/>
        <v>0.26584928229665072</v>
      </c>
      <c r="F324" s="346">
        <f t="shared" si="202"/>
        <v>0.25893168367159164</v>
      </c>
      <c r="G324" s="346">
        <f t="shared" si="202"/>
        <v>0.25777612579511716</v>
      </c>
      <c r="H324" s="346">
        <f t="shared" si="202"/>
        <v>0.2619168753469685</v>
      </c>
      <c r="I324" s="346">
        <f>AVERAGE(E324:H324)</f>
        <v>0.26111849177758201</v>
      </c>
      <c r="J324" s="622"/>
      <c r="K324" s="622"/>
      <c r="L324" s="622"/>
      <c r="M324" s="618">
        <f t="shared" si="200"/>
        <v>0.19359515533738553</v>
      </c>
      <c r="N324" s="618">
        <f t="shared" si="200"/>
        <v>0.19943636156911071</v>
      </c>
      <c r="O324" s="618">
        <f t="shared" si="200"/>
        <v>0.19073633619697575</v>
      </c>
      <c r="P324" s="618">
        <f t="shared" si="200"/>
        <v>0.19477781770385927</v>
      </c>
      <c r="Q324" s="618">
        <f t="shared" si="201"/>
        <v>0.19463641770183282</v>
      </c>
      <c r="R324" s="618"/>
      <c r="S324" s="618"/>
      <c r="T324" s="618"/>
      <c r="U324" s="618"/>
      <c r="V324" s="618"/>
      <c r="W324" s="618"/>
      <c r="X324" s="618"/>
      <c r="Y324" s="618"/>
      <c r="Z324" s="618"/>
      <c r="AA324" s="618"/>
      <c r="AB324" s="618"/>
      <c r="AC324" s="618"/>
      <c r="AD324" s="618"/>
      <c r="AE324" s="618"/>
      <c r="AF324" s="618"/>
      <c r="AG324" s="618"/>
      <c r="AH324" s="618"/>
      <c r="AI324" s="618"/>
      <c r="AJ324" s="618"/>
      <c r="AK324" s="618"/>
      <c r="AL324" s="618"/>
      <c r="AM324" s="3"/>
    </row>
    <row r="325" spans="1:39" ht="14.25" customHeight="1" x14ac:dyDescent="0.45">
      <c r="A325" s="618"/>
      <c r="B325" s="215"/>
      <c r="C325" s="220" t="s">
        <v>210</v>
      </c>
      <c r="D325" s="304" t="s">
        <v>211</v>
      </c>
      <c r="E325" s="346">
        <f t="shared" si="202"/>
        <v>0.71885407871282481</v>
      </c>
      <c r="F325" s="346">
        <f t="shared" si="202"/>
        <v>0.72170028712675049</v>
      </c>
      <c r="G325" s="346">
        <f t="shared" si="202"/>
        <v>0.72239649781496995</v>
      </c>
      <c r="H325" s="346">
        <f t="shared" si="202"/>
        <v>0.71839749034014888</v>
      </c>
      <c r="I325" s="346">
        <f>AVERAGE(E325:H325)</f>
        <v>0.72033708849867351</v>
      </c>
      <c r="J325" s="622"/>
      <c r="K325" s="622"/>
      <c r="L325" s="622"/>
      <c r="M325" s="618">
        <f t="shared" si="200"/>
        <v>0</v>
      </c>
      <c r="N325" s="618">
        <f t="shared" si="200"/>
        <v>0</v>
      </c>
      <c r="O325" s="618">
        <f t="shared" si="200"/>
        <v>0</v>
      </c>
      <c r="P325" s="618">
        <f t="shared" si="200"/>
        <v>0</v>
      </c>
      <c r="Q325" s="618">
        <f t="shared" si="201"/>
        <v>0</v>
      </c>
      <c r="R325" s="618"/>
      <c r="S325" s="618"/>
      <c r="T325" s="618"/>
      <c r="U325" s="618"/>
      <c r="V325" s="618"/>
      <c r="W325" s="618"/>
      <c r="X325" s="618"/>
      <c r="Y325" s="618"/>
      <c r="Z325" s="618"/>
      <c r="AA325" s="618"/>
      <c r="AB325" s="618"/>
      <c r="AC325" s="618"/>
      <c r="AD325" s="618"/>
      <c r="AE325" s="618"/>
      <c r="AF325" s="618"/>
      <c r="AG325" s="618"/>
      <c r="AH325" s="618"/>
      <c r="AI325" s="618"/>
      <c r="AJ325" s="618"/>
      <c r="AK325" s="618"/>
      <c r="AL325" s="618"/>
      <c r="AM325" s="3"/>
    </row>
    <row r="326" spans="1:39" ht="14.25" customHeight="1" x14ac:dyDescent="0.45">
      <c r="A326" s="618"/>
      <c r="B326" s="215"/>
      <c r="C326" s="220"/>
      <c r="D326" s="234" t="s">
        <v>349</v>
      </c>
      <c r="E326" s="388">
        <f>SUM(E327:E332)/(SUM(E327:E332)+SUM(E320:E325))</f>
        <v>0.5</v>
      </c>
      <c r="F326" s="388">
        <v>80</v>
      </c>
      <c r="G326" s="388"/>
      <c r="H326" s="388"/>
      <c r="I326" s="388"/>
      <c r="J326" s="623" t="s">
        <v>469</v>
      </c>
      <c r="K326" s="622"/>
      <c r="L326" s="622"/>
      <c r="M326" s="618"/>
      <c r="N326" s="618"/>
      <c r="O326" s="618"/>
      <c r="P326" s="618"/>
      <c r="Q326" s="618"/>
      <c r="R326" s="618"/>
      <c r="S326" s="618"/>
      <c r="T326" s="618"/>
      <c r="U326" s="618"/>
      <c r="V326" s="618"/>
      <c r="W326" s="618"/>
      <c r="X326" s="618"/>
      <c r="Y326" s="618"/>
      <c r="Z326" s="618"/>
      <c r="AA326" s="618"/>
      <c r="AB326" s="618"/>
      <c r="AC326" s="618"/>
      <c r="AD326" s="618"/>
      <c r="AE326" s="618"/>
      <c r="AF326" s="618"/>
      <c r="AG326" s="618"/>
      <c r="AH326" s="618"/>
      <c r="AI326" s="618"/>
      <c r="AJ326" s="618"/>
      <c r="AK326" s="618"/>
      <c r="AL326" s="618"/>
      <c r="AM326" s="3"/>
    </row>
    <row r="327" spans="1:39" ht="14.25" customHeight="1" x14ac:dyDescent="0.45">
      <c r="A327" s="618"/>
      <c r="B327" s="215"/>
      <c r="C327" s="220" t="s">
        <v>213</v>
      </c>
      <c r="D327" s="304" t="s">
        <v>201</v>
      </c>
      <c r="E327" s="346">
        <f>E240/(E$240+E$243+E$244+E$245)</f>
        <v>2.1490655465593877E-2</v>
      </c>
      <c r="F327" s="346">
        <f>F240/(F$240+F$243+F$244+F$245)</f>
        <v>1.894986165425875E-2</v>
      </c>
      <c r="G327" s="346">
        <f>G240/(G$240+G$243+G$244+G$245)</f>
        <v>2.0337826015844385E-2</v>
      </c>
      <c r="H327" s="346">
        <f>H240/(H$240+H$243+H$244+H$245)</f>
        <v>2.4408565234624185E-2</v>
      </c>
      <c r="I327" s="346">
        <f>AVERAGE(E327:H327)</f>
        <v>2.1296727092580299E-2</v>
      </c>
      <c r="J327" s="622"/>
      <c r="K327" s="622"/>
      <c r="L327" s="622"/>
      <c r="M327" s="618">
        <f t="shared" ref="M327:P331" si="203">E241/E$246</f>
        <v>1.5365308973329897E-2</v>
      </c>
      <c r="N327" s="618">
        <f t="shared" si="203"/>
        <v>4.7808410336931215E-2</v>
      </c>
      <c r="O327" s="618">
        <f t="shared" si="203"/>
        <v>4.9652050467111457E-2</v>
      </c>
      <c r="P327" s="618">
        <f t="shared" si="203"/>
        <v>5.469361724897262E-2</v>
      </c>
      <c r="Q327" s="618">
        <f>AVERAGE(M327:P327)</f>
        <v>4.1879846756586299E-2</v>
      </c>
      <c r="R327" s="618"/>
      <c r="S327" s="618"/>
      <c r="T327" s="618"/>
      <c r="U327" s="618"/>
      <c r="V327" s="618"/>
      <c r="W327" s="618"/>
      <c r="X327" s="618"/>
      <c r="Y327" s="618"/>
      <c r="Z327" s="618"/>
      <c r="AA327" s="618"/>
      <c r="AB327" s="618"/>
      <c r="AC327" s="618"/>
      <c r="AD327" s="618"/>
      <c r="AE327" s="618"/>
      <c r="AF327" s="618"/>
      <c r="AG327" s="618"/>
      <c r="AH327" s="618"/>
      <c r="AI327" s="618"/>
      <c r="AJ327" s="618"/>
      <c r="AK327" s="618"/>
      <c r="AL327" s="618"/>
      <c r="AM327" s="3"/>
    </row>
    <row r="328" spans="1:39" ht="14.25" customHeight="1" x14ac:dyDescent="0.45">
      <c r="A328" s="618"/>
      <c r="B328" s="215"/>
      <c r="C328" s="220" t="s">
        <v>214</v>
      </c>
      <c r="D328" s="391" t="s">
        <v>203</v>
      </c>
      <c r="E328" s="392"/>
      <c r="F328" s="392"/>
      <c r="G328" s="392"/>
      <c r="H328" s="392"/>
      <c r="I328" s="392"/>
      <c r="J328" s="622"/>
      <c r="K328" s="622"/>
      <c r="L328" s="622"/>
      <c r="M328" s="618">
        <f t="shared" si="203"/>
        <v>0</v>
      </c>
      <c r="N328" s="618">
        <f t="shared" si="203"/>
        <v>0</v>
      </c>
      <c r="O328" s="618">
        <f t="shared" si="203"/>
        <v>0</v>
      </c>
      <c r="P328" s="618">
        <f t="shared" si="203"/>
        <v>0</v>
      </c>
      <c r="Q328" s="618">
        <f>AVERAGE(M328:P328)</f>
        <v>0</v>
      </c>
      <c r="R328" s="618"/>
      <c r="S328" s="618"/>
      <c r="T328" s="618"/>
      <c r="U328" s="618"/>
      <c r="V328" s="618"/>
      <c r="W328" s="618"/>
      <c r="X328" s="618"/>
      <c r="Y328" s="618"/>
      <c r="Z328" s="618"/>
      <c r="AA328" s="618"/>
      <c r="AB328" s="618"/>
      <c r="AC328" s="618"/>
      <c r="AD328" s="618"/>
      <c r="AE328" s="618"/>
      <c r="AF328" s="618"/>
      <c r="AG328" s="618"/>
      <c r="AH328" s="618"/>
      <c r="AI328" s="618"/>
      <c r="AJ328" s="618"/>
      <c r="AK328" s="618"/>
      <c r="AL328" s="618"/>
      <c r="AM328" s="3"/>
    </row>
    <row r="329" spans="1:39" ht="14.25" customHeight="1" x14ac:dyDescent="0.45">
      <c r="A329" s="618"/>
      <c r="B329" s="215"/>
      <c r="C329" s="220" t="s">
        <v>215</v>
      </c>
      <c r="D329" s="391" t="s">
        <v>205</v>
      </c>
      <c r="E329" s="392"/>
      <c r="F329" s="392"/>
      <c r="G329" s="392"/>
      <c r="H329" s="392"/>
      <c r="I329" s="392"/>
      <c r="J329" s="622"/>
      <c r="K329" s="622"/>
      <c r="L329" s="622"/>
      <c r="M329" s="618">
        <f t="shared" si="203"/>
        <v>0.10739030781978687</v>
      </c>
      <c r="N329" s="618">
        <f t="shared" si="203"/>
        <v>0.11840997732013214</v>
      </c>
      <c r="O329" s="618">
        <f t="shared" si="203"/>
        <v>0.1050322467989632</v>
      </c>
      <c r="P329" s="618">
        <f t="shared" si="203"/>
        <v>0.10955434674999087</v>
      </c>
      <c r="Q329" s="618">
        <f>AVERAGE(M329:P329)</f>
        <v>0.11009671967221826</v>
      </c>
      <c r="R329" s="618"/>
      <c r="S329" s="618"/>
      <c r="T329" s="618"/>
      <c r="U329" s="618"/>
      <c r="V329" s="618"/>
      <c r="W329" s="618"/>
      <c r="X329" s="618"/>
      <c r="Y329" s="618"/>
      <c r="Z329" s="618"/>
      <c r="AA329" s="618"/>
      <c r="AB329" s="618"/>
      <c r="AC329" s="618"/>
      <c r="AD329" s="618"/>
      <c r="AE329" s="618"/>
      <c r="AF329" s="618"/>
      <c r="AG329" s="618"/>
      <c r="AH329" s="618"/>
      <c r="AI329" s="618"/>
      <c r="AJ329" s="618"/>
      <c r="AK329" s="618"/>
      <c r="AL329" s="618"/>
      <c r="AM329" s="3"/>
    </row>
    <row r="330" spans="1:39" ht="14.25" customHeight="1" x14ac:dyDescent="0.45">
      <c r="A330" s="618"/>
      <c r="B330" s="215"/>
      <c r="C330" s="220" t="s">
        <v>216</v>
      </c>
      <c r="D330" s="304" t="s">
        <v>207</v>
      </c>
      <c r="E330" s="346">
        <f t="shared" ref="E330:H332" si="204">E243/(E$240+E$243+E$244+E$245)</f>
        <v>0.21653397946341213</v>
      </c>
      <c r="F330" s="346">
        <f t="shared" si="204"/>
        <v>0.23249755435119709</v>
      </c>
      <c r="G330" s="346">
        <f t="shared" si="204"/>
        <v>0.19234009050193213</v>
      </c>
      <c r="H330" s="346">
        <f t="shared" si="204"/>
        <v>0.20161119506318334</v>
      </c>
      <c r="I330" s="346">
        <f>AVERAGE(E330:H330)</f>
        <v>0.21074570484493119</v>
      </c>
      <c r="J330" s="622"/>
      <c r="K330" s="622"/>
      <c r="L330" s="622"/>
      <c r="M330" s="618">
        <f t="shared" si="203"/>
        <v>4.8718463532867851E-2</v>
      </c>
      <c r="N330" s="618">
        <f t="shared" si="203"/>
        <v>6.8364035789157118E-2</v>
      </c>
      <c r="O330" s="618">
        <f t="shared" si="203"/>
        <v>9.0561857310596891E-2</v>
      </c>
      <c r="P330" s="618">
        <f t="shared" si="203"/>
        <v>9.3765854370681856E-2</v>
      </c>
      <c r="Q330" s="618">
        <f>AVERAGE(M330:P330)</f>
        <v>7.5352552750825932E-2</v>
      </c>
      <c r="R330" s="618"/>
      <c r="S330" s="618"/>
      <c r="T330" s="618"/>
      <c r="U330" s="618"/>
      <c r="V330" s="618"/>
      <c r="W330" s="618"/>
      <c r="X330" s="618"/>
      <c r="Y330" s="618"/>
      <c r="Z330" s="618"/>
      <c r="AA330" s="618"/>
      <c r="AB330" s="618"/>
      <c r="AC330" s="618"/>
      <c r="AD330" s="618"/>
      <c r="AE330" s="618"/>
      <c r="AF330" s="618"/>
      <c r="AG330" s="618"/>
      <c r="AH330" s="618"/>
      <c r="AI330" s="618"/>
      <c r="AJ330" s="618"/>
      <c r="AK330" s="618"/>
      <c r="AL330" s="618"/>
      <c r="AM330" s="3"/>
    </row>
    <row r="331" spans="1:39" ht="14.25" customHeight="1" x14ac:dyDescent="0.45">
      <c r="A331" s="618"/>
      <c r="B331" s="215"/>
      <c r="C331" s="220" t="s">
        <v>217</v>
      </c>
      <c r="D331" s="304" t="s">
        <v>209</v>
      </c>
      <c r="E331" s="346">
        <f t="shared" si="204"/>
        <v>9.8232354448762368E-2</v>
      </c>
      <c r="F331" s="346">
        <f t="shared" si="204"/>
        <v>0.13423253247979763</v>
      </c>
      <c r="G331" s="346">
        <f t="shared" si="204"/>
        <v>0.16584121888283948</v>
      </c>
      <c r="H331" s="346">
        <f t="shared" si="204"/>
        <v>0.1725558731040962</v>
      </c>
      <c r="I331" s="346">
        <f>AVERAGE(E331:H331)</f>
        <v>0.1427154947288739</v>
      </c>
      <c r="J331" s="622"/>
      <c r="K331" s="622"/>
      <c r="L331" s="622"/>
      <c r="M331" s="618">
        <f t="shared" si="203"/>
        <v>0.32918420656466835</v>
      </c>
      <c r="N331" s="618">
        <f t="shared" si="203"/>
        <v>0.31287048833762932</v>
      </c>
      <c r="O331" s="618">
        <f t="shared" si="203"/>
        <v>0.33937558925490785</v>
      </c>
      <c r="P331" s="618">
        <f t="shared" si="203"/>
        <v>0.32681049076432728</v>
      </c>
      <c r="Q331" s="618">
        <f>AVERAGE(M331:P331)</f>
        <v>0.3270601937303832</v>
      </c>
      <c r="R331" s="618"/>
      <c r="S331" s="618"/>
      <c r="T331" s="618"/>
      <c r="U331" s="618"/>
      <c r="V331" s="618"/>
      <c r="W331" s="618"/>
      <c r="X331" s="618"/>
      <c r="Y331" s="618"/>
      <c r="Z331" s="618"/>
      <c r="AA331" s="618"/>
      <c r="AB331" s="618"/>
      <c r="AC331" s="618"/>
      <c r="AD331" s="618"/>
      <c r="AE331" s="618"/>
      <c r="AF331" s="618"/>
      <c r="AG331" s="618"/>
      <c r="AH331" s="618"/>
      <c r="AI331" s="618"/>
      <c r="AJ331" s="618"/>
      <c r="AK331" s="618"/>
      <c r="AL331" s="618"/>
      <c r="AM331" s="3"/>
    </row>
    <row r="332" spans="1:39" ht="14.25" customHeight="1" x14ac:dyDescent="0.45">
      <c r="A332" s="618"/>
      <c r="B332" s="215"/>
      <c r="C332" s="220" t="s">
        <v>218</v>
      </c>
      <c r="D332" s="304" t="s">
        <v>211</v>
      </c>
      <c r="E332" s="346">
        <f t="shared" si="204"/>
        <v>0.66374301062223162</v>
      </c>
      <c r="F332" s="346">
        <f t="shared" si="204"/>
        <v>0.61432005151474656</v>
      </c>
      <c r="G332" s="346">
        <f t="shared" si="204"/>
        <v>0.6214808645993839</v>
      </c>
      <c r="H332" s="346">
        <f t="shared" si="204"/>
        <v>0.60142436659809628</v>
      </c>
      <c r="I332" s="346">
        <f>AVERAGE(E332:H332)</f>
        <v>0.62524207333361459</v>
      </c>
      <c r="J332" s="622"/>
      <c r="K332" s="622"/>
      <c r="L332" s="622"/>
      <c r="M332" s="618"/>
      <c r="N332" s="618"/>
      <c r="O332" s="618"/>
      <c r="P332" s="618"/>
      <c r="Q332" s="618"/>
      <c r="R332" s="618"/>
      <c r="S332" s="618"/>
      <c r="T332" s="618"/>
      <c r="U332" s="618"/>
      <c r="V332" s="618"/>
      <c r="W332" s="618"/>
      <c r="X332" s="618"/>
      <c r="Y332" s="618"/>
      <c r="Z332" s="618"/>
      <c r="AA332" s="618"/>
      <c r="AB332" s="618"/>
      <c r="AC332" s="618"/>
      <c r="AD332" s="618"/>
      <c r="AE332" s="618"/>
      <c r="AF332" s="618"/>
      <c r="AG332" s="618"/>
      <c r="AH332" s="618"/>
      <c r="AI332" s="618"/>
      <c r="AJ332" s="618"/>
      <c r="AK332" s="618"/>
      <c r="AL332" s="618"/>
      <c r="AM332" s="3"/>
    </row>
    <row r="333" spans="1:39" ht="14.25" customHeight="1" x14ac:dyDescent="0.45">
      <c r="A333" s="618"/>
      <c r="B333" s="215"/>
      <c r="C333" s="220"/>
      <c r="D333" s="221" t="s">
        <v>470</v>
      </c>
      <c r="E333" s="346">
        <f>E210-(E234+E241)</f>
        <v>69.740148567843804</v>
      </c>
      <c r="F333" s="346">
        <f>F210-(F234+F241)</f>
        <v>79.490224830477985</v>
      </c>
      <c r="G333" s="346">
        <f>G210-(G234+G241)</f>
        <v>79.440757746024147</v>
      </c>
      <c r="H333" s="346">
        <f>H210-(H234+H241)</f>
        <v>82.560770654998265</v>
      </c>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346"/>
      <c r="AL333" s="618"/>
      <c r="AM333" s="3"/>
    </row>
    <row r="334" spans="1:39" ht="14.25" customHeight="1" x14ac:dyDescent="0.45">
      <c r="A334" s="618"/>
      <c r="B334" s="215"/>
      <c r="C334" s="220"/>
      <c r="D334" s="221"/>
      <c r="E334" s="232"/>
      <c r="F334" s="232"/>
      <c r="G334" s="232"/>
      <c r="H334" s="294"/>
      <c r="I334" s="618"/>
      <c r="J334" s="618"/>
      <c r="K334" s="618"/>
      <c r="L334" s="618"/>
      <c r="M334" s="618"/>
      <c r="N334" s="618"/>
      <c r="O334" s="618"/>
      <c r="P334" s="618"/>
      <c r="Q334" s="618"/>
      <c r="R334" s="618"/>
      <c r="S334" s="618"/>
      <c r="T334" s="618"/>
      <c r="U334" s="618"/>
      <c r="V334" s="618"/>
      <c r="W334" s="618"/>
      <c r="X334" s="618"/>
      <c r="Y334" s="618"/>
      <c r="Z334" s="618"/>
      <c r="AA334" s="618"/>
      <c r="AB334" s="618"/>
      <c r="AC334" s="618"/>
      <c r="AD334" s="618"/>
      <c r="AE334" s="618"/>
      <c r="AF334" s="618"/>
      <c r="AG334" s="618"/>
      <c r="AH334" s="618"/>
      <c r="AI334" s="618"/>
      <c r="AJ334" s="618"/>
      <c r="AK334" s="618"/>
      <c r="AL334" s="618"/>
      <c r="AM334" s="3"/>
    </row>
    <row r="335" spans="1:39" ht="14.25" customHeight="1" x14ac:dyDescent="0.45">
      <c r="A335" s="618"/>
      <c r="B335" s="215"/>
      <c r="C335" s="220"/>
      <c r="D335" s="243" t="s">
        <v>351</v>
      </c>
      <c r="E335" s="222">
        <v>2018</v>
      </c>
      <c r="F335" s="222">
        <v>2019</v>
      </c>
      <c r="G335" s="222">
        <v>2020</v>
      </c>
      <c r="H335" s="223">
        <v>2021</v>
      </c>
      <c r="I335" s="618"/>
      <c r="J335" s="618"/>
      <c r="K335" s="618"/>
      <c r="L335" s="618"/>
      <c r="M335" s="618"/>
      <c r="N335" s="618"/>
      <c r="O335" s="618"/>
      <c r="P335" s="618"/>
      <c r="Q335" s="618"/>
      <c r="R335" s="618"/>
      <c r="S335" s="618"/>
      <c r="T335" s="618"/>
      <c r="U335" s="618"/>
      <c r="V335" s="618"/>
      <c r="W335" s="618"/>
      <c r="X335" s="618"/>
      <c r="Y335" s="618"/>
      <c r="Z335" s="618"/>
      <c r="AA335" s="618"/>
      <c r="AB335" s="618"/>
      <c r="AC335" s="618"/>
      <c r="AD335" s="618"/>
      <c r="AE335" s="618"/>
      <c r="AF335" s="618"/>
      <c r="AG335" s="618"/>
      <c r="AH335" s="618"/>
      <c r="AI335" s="618"/>
      <c r="AJ335" s="618"/>
      <c r="AK335" s="618"/>
      <c r="AL335" s="618"/>
      <c r="AM335" s="3"/>
    </row>
    <row r="336" spans="1:39" ht="14.25" customHeight="1" x14ac:dyDescent="0.45">
      <c r="A336" s="618"/>
      <c r="B336" s="215"/>
      <c r="C336" s="220"/>
      <c r="D336" s="224" t="s">
        <v>339</v>
      </c>
      <c r="E336" s="346">
        <f t="shared" ref="E336:H355" si="205">E249/E$287</f>
        <v>0</v>
      </c>
      <c r="F336" s="346">
        <f t="shared" si="205"/>
        <v>0</v>
      </c>
      <c r="G336" s="346">
        <f t="shared" si="205"/>
        <v>0</v>
      </c>
      <c r="H336" s="346">
        <f t="shared" si="205"/>
        <v>0</v>
      </c>
      <c r="I336" s="618"/>
      <c r="J336" s="618"/>
      <c r="K336" s="618"/>
      <c r="L336" s="618"/>
      <c r="M336" s="618"/>
      <c r="N336" s="618"/>
      <c r="O336" s="618"/>
      <c r="P336" s="618"/>
      <c r="Q336" s="618"/>
      <c r="R336" s="618"/>
      <c r="S336" s="618"/>
      <c r="T336" s="618"/>
      <c r="U336" s="618"/>
      <c r="V336" s="618"/>
      <c r="W336" s="618"/>
      <c r="X336" s="618"/>
      <c r="Y336" s="618"/>
      <c r="Z336" s="618"/>
      <c r="AA336" s="618"/>
      <c r="AB336" s="618"/>
      <c r="AC336" s="618"/>
      <c r="AD336" s="618"/>
      <c r="AE336" s="618"/>
      <c r="AF336" s="618"/>
      <c r="AG336" s="618"/>
      <c r="AH336" s="618"/>
      <c r="AI336" s="618"/>
      <c r="AJ336" s="618"/>
      <c r="AK336" s="618"/>
      <c r="AL336" s="618"/>
      <c r="AM336" s="3"/>
    </row>
    <row r="337" spans="1:39" ht="14.25" customHeight="1" x14ac:dyDescent="0.45">
      <c r="A337" s="618"/>
      <c r="B337" s="215"/>
      <c r="C337" s="220"/>
      <c r="D337" s="224" t="s">
        <v>171</v>
      </c>
      <c r="E337" s="346">
        <f t="shared" si="205"/>
        <v>1.6950765181304216E-3</v>
      </c>
      <c r="F337" s="346">
        <f t="shared" si="205"/>
        <v>1.3462843706262039E-3</v>
      </c>
      <c r="G337" s="346">
        <f t="shared" si="205"/>
        <v>1.3840261924457089E-3</v>
      </c>
      <c r="H337" s="346">
        <f t="shared" si="205"/>
        <v>4.8346643363321679E-4</v>
      </c>
      <c r="I337" s="618"/>
      <c r="J337" s="618"/>
      <c r="K337" s="618"/>
      <c r="L337" s="618"/>
      <c r="M337" s="618"/>
      <c r="N337" s="618"/>
      <c r="O337" s="618"/>
      <c r="P337" s="618"/>
      <c r="Q337" s="618"/>
      <c r="R337" s="618"/>
      <c r="S337" s="618"/>
      <c r="T337" s="618"/>
      <c r="U337" s="618"/>
      <c r="V337" s="618"/>
      <c r="W337" s="618"/>
      <c r="X337" s="618"/>
      <c r="Y337" s="618"/>
      <c r="Z337" s="618"/>
      <c r="AA337" s="618"/>
      <c r="AB337" s="618"/>
      <c r="AC337" s="618"/>
      <c r="AD337" s="618"/>
      <c r="AE337" s="618"/>
      <c r="AF337" s="618"/>
      <c r="AG337" s="618"/>
      <c r="AH337" s="618"/>
      <c r="AI337" s="618"/>
      <c r="AJ337" s="618"/>
      <c r="AK337" s="618"/>
      <c r="AL337" s="618"/>
      <c r="AM337" s="3"/>
    </row>
    <row r="338" spans="1:39" ht="14.25" customHeight="1" x14ac:dyDescent="0.45">
      <c r="A338" s="618"/>
      <c r="B338" s="215"/>
      <c r="C338" s="220" t="s">
        <v>222</v>
      </c>
      <c r="D338" s="247" t="s">
        <v>223</v>
      </c>
      <c r="E338" s="346">
        <f t="shared" si="205"/>
        <v>1.6950765181304216E-3</v>
      </c>
      <c r="F338" s="346">
        <f t="shared" si="205"/>
        <v>1.3462843706262039E-3</v>
      </c>
      <c r="G338" s="346">
        <f t="shared" si="205"/>
        <v>1.3840261924457089E-3</v>
      </c>
      <c r="H338" s="346">
        <f t="shared" si="205"/>
        <v>4.8346643363321679E-4</v>
      </c>
      <c r="I338" s="618"/>
      <c r="J338" s="618"/>
      <c r="K338" s="618"/>
      <c r="L338" s="618"/>
      <c r="M338" s="618"/>
      <c r="N338" s="618"/>
      <c r="O338" s="618"/>
      <c r="P338" s="618"/>
      <c r="Q338" s="618"/>
      <c r="R338" s="618"/>
      <c r="S338" s="618"/>
      <c r="T338" s="618"/>
      <c r="U338" s="618"/>
      <c r="V338" s="618"/>
      <c r="W338" s="618"/>
      <c r="X338" s="618"/>
      <c r="Y338" s="618"/>
      <c r="Z338" s="618"/>
      <c r="AA338" s="618"/>
      <c r="AB338" s="618"/>
      <c r="AC338" s="618"/>
      <c r="AD338" s="618"/>
      <c r="AE338" s="618"/>
      <c r="AF338" s="618"/>
      <c r="AG338" s="618"/>
      <c r="AH338" s="618"/>
      <c r="AI338" s="618"/>
      <c r="AJ338" s="618"/>
      <c r="AK338" s="618"/>
      <c r="AL338" s="618"/>
      <c r="AM338" s="3"/>
    </row>
    <row r="339" spans="1:39" ht="14.25" customHeight="1" x14ac:dyDescent="0.45">
      <c r="A339" s="618"/>
      <c r="B339" s="215"/>
      <c r="C339" s="220"/>
      <c r="D339" s="224" t="s">
        <v>172</v>
      </c>
      <c r="E339" s="346">
        <f t="shared" si="205"/>
        <v>4.2439898691008998E-3</v>
      </c>
      <c r="F339" s="346">
        <f t="shared" si="205"/>
        <v>5.2042606716973206E-3</v>
      </c>
      <c r="G339" s="346">
        <f t="shared" si="205"/>
        <v>5.1693995517712449E-3</v>
      </c>
      <c r="H339" s="346">
        <f t="shared" si="205"/>
        <v>4.7306439298551847E-3</v>
      </c>
      <c r="I339" s="618"/>
      <c r="J339" s="618"/>
      <c r="K339" s="618"/>
      <c r="L339" s="618"/>
      <c r="M339" s="618"/>
      <c r="N339" s="618"/>
      <c r="O339" s="618"/>
      <c r="P339" s="618"/>
      <c r="Q339" s="618"/>
      <c r="R339" s="618"/>
      <c r="S339" s="618"/>
      <c r="T339" s="618"/>
      <c r="U339" s="618"/>
      <c r="V339" s="618"/>
      <c r="W339" s="618"/>
      <c r="X339" s="618"/>
      <c r="Y339" s="618"/>
      <c r="Z339" s="618"/>
      <c r="AA339" s="618"/>
      <c r="AB339" s="618"/>
      <c r="AC339" s="618"/>
      <c r="AD339" s="618"/>
      <c r="AE339" s="618"/>
      <c r="AF339" s="618"/>
      <c r="AG339" s="618"/>
      <c r="AH339" s="618"/>
      <c r="AI339" s="618"/>
      <c r="AJ339" s="618"/>
      <c r="AK339" s="618"/>
      <c r="AL339" s="618"/>
      <c r="AM339" s="3"/>
    </row>
    <row r="340" spans="1:39" ht="14.25" customHeight="1" x14ac:dyDescent="0.45">
      <c r="A340" s="618"/>
      <c r="B340" s="215"/>
      <c r="C340" s="220"/>
      <c r="D340" s="228" t="s">
        <v>224</v>
      </c>
      <c r="E340" s="346">
        <f t="shared" si="205"/>
        <v>4.2439898691008998E-3</v>
      </c>
      <c r="F340" s="346">
        <f t="shared" si="205"/>
        <v>5.2042606716973206E-3</v>
      </c>
      <c r="G340" s="346">
        <f t="shared" si="205"/>
        <v>5.1693995517712449E-3</v>
      </c>
      <c r="H340" s="346">
        <f t="shared" si="205"/>
        <v>4.7306439298551847E-3</v>
      </c>
      <c r="I340" s="618"/>
      <c r="J340" s="618"/>
      <c r="K340" s="618"/>
      <c r="L340" s="618"/>
      <c r="M340" s="618"/>
      <c r="N340" s="618"/>
      <c r="O340" s="618"/>
      <c r="P340" s="618"/>
      <c r="Q340" s="618"/>
      <c r="R340" s="618"/>
      <c r="S340" s="618"/>
      <c r="T340" s="618"/>
      <c r="U340" s="618"/>
      <c r="V340" s="618"/>
      <c r="W340" s="618"/>
      <c r="X340" s="618"/>
      <c r="Y340" s="618"/>
      <c r="Z340" s="618"/>
      <c r="AA340" s="618"/>
      <c r="AB340" s="618"/>
      <c r="AC340" s="618"/>
      <c r="AD340" s="618"/>
      <c r="AE340" s="618"/>
      <c r="AF340" s="618"/>
      <c r="AG340" s="618"/>
      <c r="AH340" s="618"/>
      <c r="AI340" s="618"/>
      <c r="AJ340" s="618"/>
      <c r="AK340" s="618"/>
      <c r="AL340" s="618"/>
      <c r="AM340" s="3"/>
    </row>
    <row r="341" spans="1:39" ht="14.25" customHeight="1" x14ac:dyDescent="0.45">
      <c r="A341" s="618"/>
      <c r="B341" s="215"/>
      <c r="C341" s="220"/>
      <c r="D341" s="247" t="s">
        <v>225</v>
      </c>
      <c r="E341" s="346">
        <f t="shared" si="205"/>
        <v>0</v>
      </c>
      <c r="F341" s="346">
        <f t="shared" si="205"/>
        <v>0</v>
      </c>
      <c r="G341" s="346">
        <f t="shared" si="205"/>
        <v>0</v>
      </c>
      <c r="H341" s="346">
        <f t="shared" si="205"/>
        <v>0</v>
      </c>
      <c r="I341" s="618"/>
      <c r="J341" s="618"/>
      <c r="K341" s="618"/>
      <c r="L341" s="618"/>
      <c r="M341" s="618"/>
      <c r="N341" s="618"/>
      <c r="O341" s="618"/>
      <c r="P341" s="618"/>
      <c r="Q341" s="618"/>
      <c r="R341" s="618"/>
      <c r="S341" s="618"/>
      <c r="T341" s="618"/>
      <c r="U341" s="618"/>
      <c r="V341" s="618"/>
      <c r="W341" s="618"/>
      <c r="X341" s="618"/>
      <c r="Y341" s="618"/>
      <c r="Z341" s="618"/>
      <c r="AA341" s="618"/>
      <c r="AB341" s="618"/>
      <c r="AC341" s="618"/>
      <c r="AD341" s="618"/>
      <c r="AE341" s="618"/>
      <c r="AF341" s="618"/>
      <c r="AG341" s="618"/>
      <c r="AH341" s="618"/>
      <c r="AI341" s="618"/>
      <c r="AJ341" s="618"/>
      <c r="AK341" s="618"/>
      <c r="AL341" s="618"/>
      <c r="AM341" s="3"/>
    </row>
    <row r="342" spans="1:39" ht="14.25" customHeight="1" x14ac:dyDescent="0.45">
      <c r="A342" s="618"/>
      <c r="B342" s="215"/>
      <c r="C342" s="220" t="s">
        <v>226</v>
      </c>
      <c r="D342" s="221" t="s">
        <v>227</v>
      </c>
      <c r="E342" s="346">
        <f t="shared" si="205"/>
        <v>1.2358520549001276E-3</v>
      </c>
      <c r="F342" s="346">
        <f t="shared" si="205"/>
        <v>1.3666444807882221E-3</v>
      </c>
      <c r="G342" s="346">
        <f t="shared" si="205"/>
        <v>1.2358124935993456E-3</v>
      </c>
      <c r="H342" s="346">
        <f t="shared" si="205"/>
        <v>8.9007410089397344E-4</v>
      </c>
      <c r="I342" s="618"/>
      <c r="J342" s="618"/>
      <c r="K342" s="618"/>
      <c r="L342" s="618"/>
      <c r="M342" s="618"/>
      <c r="N342" s="618"/>
      <c r="O342" s="618"/>
      <c r="P342" s="618"/>
      <c r="Q342" s="618"/>
      <c r="R342" s="618"/>
      <c r="S342" s="618"/>
      <c r="T342" s="618"/>
      <c r="U342" s="618"/>
      <c r="V342" s="618"/>
      <c r="W342" s="618"/>
      <c r="X342" s="618"/>
      <c r="Y342" s="618"/>
      <c r="Z342" s="618"/>
      <c r="AA342" s="618"/>
      <c r="AB342" s="618"/>
      <c r="AC342" s="618"/>
      <c r="AD342" s="618"/>
      <c r="AE342" s="618"/>
      <c r="AF342" s="618"/>
      <c r="AG342" s="618"/>
      <c r="AH342" s="618"/>
      <c r="AI342" s="618"/>
      <c r="AJ342" s="618"/>
      <c r="AK342" s="618"/>
      <c r="AL342" s="618"/>
      <c r="AM342" s="3"/>
    </row>
    <row r="343" spans="1:39" ht="14.25" customHeight="1" x14ac:dyDescent="0.45">
      <c r="A343" s="618"/>
      <c r="B343" s="215"/>
      <c r="C343" s="220" t="s">
        <v>228</v>
      </c>
      <c r="D343" s="221" t="s">
        <v>229</v>
      </c>
      <c r="E343" s="346">
        <f t="shared" si="205"/>
        <v>2.6513220584829197E-3</v>
      </c>
      <c r="F343" s="346">
        <f t="shared" si="205"/>
        <v>2.7941386994939019E-3</v>
      </c>
      <c r="G343" s="346">
        <f t="shared" si="205"/>
        <v>3.9036590728338885E-3</v>
      </c>
      <c r="H343" s="346">
        <f t="shared" si="205"/>
        <v>3.7809554425161825E-3</v>
      </c>
      <c r="I343" s="618"/>
      <c r="J343" s="618"/>
      <c r="K343" s="618"/>
      <c r="L343" s="618"/>
      <c r="M343" s="618"/>
      <c r="N343" s="618"/>
      <c r="O343" s="618"/>
      <c r="P343" s="618"/>
      <c r="Q343" s="618"/>
      <c r="R343" s="618"/>
      <c r="S343" s="618"/>
      <c r="T343" s="618"/>
      <c r="U343" s="618"/>
      <c r="V343" s="618"/>
      <c r="W343" s="618"/>
      <c r="X343" s="618"/>
      <c r="Y343" s="618"/>
      <c r="Z343" s="618"/>
      <c r="AA343" s="618"/>
      <c r="AB343" s="618"/>
      <c r="AC343" s="618"/>
      <c r="AD343" s="618"/>
      <c r="AE343" s="618"/>
      <c r="AF343" s="618"/>
      <c r="AG343" s="618"/>
      <c r="AH343" s="618"/>
      <c r="AI343" s="618"/>
      <c r="AJ343" s="618"/>
      <c r="AK343" s="618"/>
      <c r="AL343" s="618"/>
      <c r="AM343" s="3"/>
    </row>
    <row r="344" spans="1:39" ht="14.25" customHeight="1" x14ac:dyDescent="0.45">
      <c r="A344" s="618"/>
      <c r="B344" s="215"/>
      <c r="C344" s="220"/>
      <c r="D344" s="247" t="s">
        <v>230</v>
      </c>
      <c r="E344" s="346">
        <f t="shared" si="205"/>
        <v>0</v>
      </c>
      <c r="F344" s="346">
        <f t="shared" si="205"/>
        <v>0</v>
      </c>
      <c r="G344" s="346">
        <f t="shared" si="205"/>
        <v>0</v>
      </c>
      <c r="H344" s="346">
        <f t="shared" si="205"/>
        <v>0</v>
      </c>
      <c r="I344" s="618"/>
      <c r="J344" s="618"/>
      <c r="K344" s="618"/>
      <c r="L344" s="618"/>
      <c r="M344" s="618"/>
      <c r="N344" s="618"/>
      <c r="O344" s="618"/>
      <c r="P344" s="618"/>
      <c r="Q344" s="618"/>
      <c r="R344" s="618"/>
      <c r="S344" s="618"/>
      <c r="T344" s="618"/>
      <c r="U344" s="618"/>
      <c r="V344" s="618"/>
      <c r="W344" s="618"/>
      <c r="X344" s="618"/>
      <c r="Y344" s="618"/>
      <c r="Z344" s="618"/>
      <c r="AA344" s="618"/>
      <c r="AB344" s="618"/>
      <c r="AC344" s="618"/>
      <c r="AD344" s="618"/>
      <c r="AE344" s="618"/>
      <c r="AF344" s="618"/>
      <c r="AG344" s="618"/>
      <c r="AH344" s="618"/>
      <c r="AI344" s="618"/>
      <c r="AJ344" s="618"/>
      <c r="AK344" s="618"/>
      <c r="AL344" s="618"/>
      <c r="AM344" s="3"/>
    </row>
    <row r="345" spans="1:39" ht="14.25" customHeight="1" x14ac:dyDescent="0.45">
      <c r="A345" s="618"/>
      <c r="B345" s="215"/>
      <c r="C345" s="220" t="s">
        <v>231</v>
      </c>
      <c r="D345" s="221" t="s">
        <v>227</v>
      </c>
      <c r="E345" s="346">
        <f t="shared" si="205"/>
        <v>3.5681575571785225E-4</v>
      </c>
      <c r="F345" s="346">
        <f t="shared" si="205"/>
        <v>1.0434774914151958E-3</v>
      </c>
      <c r="G345" s="346">
        <f t="shared" si="205"/>
        <v>2.992798533800979E-5</v>
      </c>
      <c r="H345" s="346">
        <f t="shared" si="205"/>
        <v>5.9614386445028757E-5</v>
      </c>
      <c r="I345" s="618"/>
      <c r="J345" s="618"/>
      <c r="K345" s="618"/>
      <c r="L345" s="618"/>
      <c r="M345" s="618"/>
      <c r="N345" s="618"/>
      <c r="O345" s="618"/>
      <c r="P345" s="618"/>
      <c r="Q345" s="618"/>
      <c r="R345" s="618"/>
      <c r="S345" s="618"/>
      <c r="T345" s="618"/>
      <c r="U345" s="618"/>
      <c r="V345" s="618"/>
      <c r="W345" s="618"/>
      <c r="X345" s="618"/>
      <c r="Y345" s="618"/>
      <c r="Z345" s="618"/>
      <c r="AA345" s="618"/>
      <c r="AB345" s="618"/>
      <c r="AC345" s="618"/>
      <c r="AD345" s="618"/>
      <c r="AE345" s="618"/>
      <c r="AF345" s="618"/>
      <c r="AG345" s="618"/>
      <c r="AH345" s="618"/>
      <c r="AI345" s="618"/>
      <c r="AJ345" s="618"/>
      <c r="AK345" s="618"/>
      <c r="AL345" s="618"/>
      <c r="AM345" s="3"/>
    </row>
    <row r="346" spans="1:39" ht="14.25" customHeight="1" x14ac:dyDescent="0.45">
      <c r="A346" s="618"/>
      <c r="B346" s="215"/>
      <c r="C346" s="220" t="s">
        <v>232</v>
      </c>
      <c r="D346" s="221" t="s">
        <v>229</v>
      </c>
      <c r="E346" s="346">
        <f t="shared" si="205"/>
        <v>0</v>
      </c>
      <c r="F346" s="346">
        <f t="shared" si="205"/>
        <v>0</v>
      </c>
      <c r="G346" s="346">
        <f t="shared" si="205"/>
        <v>0</v>
      </c>
      <c r="H346" s="346">
        <f t="shared" si="205"/>
        <v>0</v>
      </c>
      <c r="I346" s="618"/>
      <c r="J346" s="618"/>
      <c r="K346" s="618"/>
      <c r="L346" s="618"/>
      <c r="M346" s="618"/>
      <c r="N346" s="618"/>
      <c r="O346" s="618"/>
      <c r="P346" s="618"/>
      <c r="Q346" s="618"/>
      <c r="R346" s="618"/>
      <c r="S346" s="618"/>
      <c r="T346" s="618"/>
      <c r="U346" s="618"/>
      <c r="V346" s="618"/>
      <c r="W346" s="618"/>
      <c r="X346" s="618"/>
      <c r="Y346" s="618"/>
      <c r="Z346" s="618"/>
      <c r="AA346" s="618"/>
      <c r="AB346" s="618"/>
      <c r="AC346" s="618"/>
      <c r="AD346" s="618"/>
      <c r="AE346" s="618"/>
      <c r="AF346" s="618"/>
      <c r="AG346" s="618"/>
      <c r="AH346" s="618"/>
      <c r="AI346" s="618"/>
      <c r="AJ346" s="618"/>
      <c r="AK346" s="618"/>
      <c r="AL346" s="618"/>
      <c r="AM346" s="3"/>
    </row>
    <row r="347" spans="1:39" ht="14.25" customHeight="1" x14ac:dyDescent="0.45">
      <c r="A347" s="618"/>
      <c r="B347" s="215"/>
      <c r="C347" s="220"/>
      <c r="D347" s="224" t="s">
        <v>178</v>
      </c>
      <c r="E347" s="346">
        <f t="shared" si="205"/>
        <v>8.560837378525114E-4</v>
      </c>
      <c r="F347" s="346">
        <f t="shared" si="205"/>
        <v>1.0903484650952829E-3</v>
      </c>
      <c r="G347" s="346">
        <f t="shared" si="205"/>
        <v>1.000368369229956E-3</v>
      </c>
      <c r="H347" s="346">
        <f t="shared" si="205"/>
        <v>8.490529756434729E-4</v>
      </c>
      <c r="I347" s="618"/>
      <c r="J347" s="618"/>
      <c r="K347" s="618"/>
      <c r="L347" s="618"/>
      <c r="M347" s="618"/>
      <c r="N347" s="618"/>
      <c r="O347" s="618"/>
      <c r="P347" s="618"/>
      <c r="Q347" s="618"/>
      <c r="R347" s="618"/>
      <c r="S347" s="618"/>
      <c r="T347" s="618"/>
      <c r="U347" s="618"/>
      <c r="V347" s="618"/>
      <c r="W347" s="618"/>
      <c r="X347" s="618"/>
      <c r="Y347" s="618"/>
      <c r="Z347" s="618"/>
      <c r="AA347" s="618"/>
      <c r="AB347" s="618"/>
      <c r="AC347" s="618"/>
      <c r="AD347" s="618"/>
      <c r="AE347" s="618"/>
      <c r="AF347" s="618"/>
      <c r="AG347" s="618"/>
      <c r="AH347" s="618"/>
      <c r="AI347" s="618"/>
      <c r="AJ347" s="618"/>
      <c r="AK347" s="618"/>
      <c r="AL347" s="618"/>
      <c r="AM347" s="3"/>
    </row>
    <row r="348" spans="1:39" ht="14.25" customHeight="1" x14ac:dyDescent="0.45">
      <c r="A348" s="618"/>
      <c r="B348" s="215"/>
      <c r="C348" s="220" t="s">
        <v>233</v>
      </c>
      <c r="D348" s="247" t="s">
        <v>223</v>
      </c>
      <c r="E348" s="346">
        <f t="shared" si="205"/>
        <v>1.9503342357824344E-4</v>
      </c>
      <c r="F348" s="346">
        <f t="shared" si="205"/>
        <v>1.7599067564343484E-4</v>
      </c>
      <c r="G348" s="346">
        <f t="shared" si="205"/>
        <v>1.8741089853614054E-4</v>
      </c>
      <c r="H348" s="346">
        <f t="shared" si="205"/>
        <v>1.8313485367672268E-4</v>
      </c>
      <c r="I348" s="618"/>
      <c r="J348" s="618"/>
      <c r="K348" s="618"/>
      <c r="L348" s="618"/>
      <c r="M348" s="618"/>
      <c r="N348" s="618"/>
      <c r="O348" s="618"/>
      <c r="P348" s="618"/>
      <c r="Q348" s="618"/>
      <c r="R348" s="618"/>
      <c r="S348" s="618"/>
      <c r="T348" s="618"/>
      <c r="U348" s="618"/>
      <c r="V348" s="618"/>
      <c r="W348" s="618"/>
      <c r="X348" s="618"/>
      <c r="Y348" s="618"/>
      <c r="Z348" s="618"/>
      <c r="AA348" s="618"/>
      <c r="AB348" s="618"/>
      <c r="AC348" s="618"/>
      <c r="AD348" s="618"/>
      <c r="AE348" s="618"/>
      <c r="AF348" s="618"/>
      <c r="AG348" s="618"/>
      <c r="AH348" s="618"/>
      <c r="AI348" s="618"/>
      <c r="AJ348" s="618"/>
      <c r="AK348" s="618"/>
      <c r="AL348" s="618"/>
      <c r="AM348" s="3"/>
    </row>
    <row r="349" spans="1:39" ht="14.25" customHeight="1" x14ac:dyDescent="0.45">
      <c r="A349" s="618"/>
      <c r="B349" s="215"/>
      <c r="C349" s="220" t="s">
        <v>234</v>
      </c>
      <c r="D349" s="247" t="s">
        <v>225</v>
      </c>
      <c r="E349" s="346">
        <f t="shared" si="205"/>
        <v>6.610503142742679E-4</v>
      </c>
      <c r="F349" s="346">
        <f t="shared" si="205"/>
        <v>9.1435778945184827E-4</v>
      </c>
      <c r="G349" s="346">
        <f t="shared" si="205"/>
        <v>8.1295747069381542E-4</v>
      </c>
      <c r="H349" s="346">
        <f t="shared" si="205"/>
        <v>6.6591812196675022E-4</v>
      </c>
      <c r="I349" s="618"/>
      <c r="J349" s="618"/>
      <c r="K349" s="618"/>
      <c r="L349" s="618"/>
      <c r="M349" s="618"/>
      <c r="N349" s="618"/>
      <c r="O349" s="618"/>
      <c r="P349" s="618"/>
      <c r="Q349" s="618"/>
      <c r="R349" s="618"/>
      <c r="S349" s="618"/>
      <c r="T349" s="618"/>
      <c r="U349" s="618"/>
      <c r="V349" s="618"/>
      <c r="W349" s="618"/>
      <c r="X349" s="618"/>
      <c r="Y349" s="618"/>
      <c r="Z349" s="618"/>
      <c r="AA349" s="618"/>
      <c r="AB349" s="618"/>
      <c r="AC349" s="618"/>
      <c r="AD349" s="618"/>
      <c r="AE349" s="618"/>
      <c r="AF349" s="618"/>
      <c r="AG349" s="618"/>
      <c r="AH349" s="618"/>
      <c r="AI349" s="618"/>
      <c r="AJ349" s="618"/>
      <c r="AK349" s="618"/>
      <c r="AL349" s="618"/>
      <c r="AM349" s="3"/>
    </row>
    <row r="350" spans="1:39" ht="14.25" customHeight="1" x14ac:dyDescent="0.45">
      <c r="A350" s="618"/>
      <c r="B350" s="215"/>
      <c r="C350" s="220"/>
      <c r="D350" s="224" t="s">
        <v>179</v>
      </c>
      <c r="E350" s="346">
        <f t="shared" si="205"/>
        <v>0.99320484987491608</v>
      </c>
      <c r="F350" s="346">
        <f t="shared" si="205"/>
        <v>0.99235910649258119</v>
      </c>
      <c r="G350" s="346">
        <f t="shared" si="205"/>
        <v>0.99244620588655308</v>
      </c>
      <c r="H350" s="346">
        <f t="shared" si="205"/>
        <v>0.99393683666086818</v>
      </c>
      <c r="I350" s="618"/>
      <c r="J350" s="618"/>
      <c r="K350" s="618"/>
      <c r="L350" s="618"/>
      <c r="M350" s="618"/>
      <c r="N350" s="618"/>
      <c r="O350" s="618"/>
      <c r="P350" s="618"/>
      <c r="Q350" s="618"/>
      <c r="R350" s="618"/>
      <c r="S350" s="618"/>
      <c r="T350" s="618"/>
      <c r="U350" s="618"/>
      <c r="V350" s="618"/>
      <c r="W350" s="618"/>
      <c r="X350" s="618"/>
      <c r="Y350" s="618"/>
      <c r="Z350" s="618"/>
      <c r="AA350" s="618"/>
      <c r="AB350" s="618"/>
      <c r="AC350" s="618"/>
      <c r="AD350" s="618"/>
      <c r="AE350" s="618"/>
      <c r="AF350" s="618"/>
      <c r="AG350" s="618"/>
      <c r="AH350" s="618"/>
      <c r="AI350" s="618"/>
      <c r="AJ350" s="618"/>
      <c r="AK350" s="618"/>
      <c r="AL350" s="618"/>
      <c r="AM350" s="3"/>
    </row>
    <row r="351" spans="1:39" ht="14.25" customHeight="1" x14ac:dyDescent="0.45">
      <c r="A351" s="618"/>
      <c r="B351" s="215"/>
      <c r="C351" s="220"/>
      <c r="D351" s="228" t="s">
        <v>180</v>
      </c>
      <c r="E351" s="346">
        <f t="shared" si="205"/>
        <v>0.90322656904311693</v>
      </c>
      <c r="F351" s="346">
        <f t="shared" si="205"/>
        <v>0.91367274211956384</v>
      </c>
      <c r="G351" s="346">
        <f t="shared" si="205"/>
        <v>0.92185482594874746</v>
      </c>
      <c r="H351" s="346">
        <f t="shared" si="205"/>
        <v>0.90832530337428619</v>
      </c>
      <c r="I351" s="618"/>
      <c r="J351" s="618"/>
      <c r="K351" s="618"/>
      <c r="L351" s="618"/>
      <c r="M351" s="618"/>
      <c r="N351" s="618"/>
      <c r="O351" s="618"/>
      <c r="P351" s="618"/>
      <c r="Q351" s="618"/>
      <c r="R351" s="618"/>
      <c r="S351" s="618"/>
      <c r="T351" s="618"/>
      <c r="U351" s="618"/>
      <c r="V351" s="618"/>
      <c r="W351" s="618"/>
      <c r="X351" s="618"/>
      <c r="Y351" s="618"/>
      <c r="Z351" s="618"/>
      <c r="AA351" s="618"/>
      <c r="AB351" s="618"/>
      <c r="AC351" s="618"/>
      <c r="AD351" s="618"/>
      <c r="AE351" s="618"/>
      <c r="AF351" s="618"/>
      <c r="AG351" s="618"/>
      <c r="AH351" s="618"/>
      <c r="AI351" s="618"/>
      <c r="AJ351" s="618"/>
      <c r="AK351" s="618"/>
      <c r="AL351" s="618"/>
      <c r="AM351" s="3"/>
    </row>
    <row r="352" spans="1:39" ht="14.25" customHeight="1" x14ac:dyDescent="0.45">
      <c r="A352" s="618"/>
      <c r="B352" s="215"/>
      <c r="C352" s="220"/>
      <c r="D352" s="247" t="s">
        <v>225</v>
      </c>
      <c r="E352" s="346">
        <f t="shared" si="205"/>
        <v>0</v>
      </c>
      <c r="F352" s="346">
        <f t="shared" si="205"/>
        <v>0</v>
      </c>
      <c r="G352" s="346">
        <f t="shared" si="205"/>
        <v>0</v>
      </c>
      <c r="H352" s="346">
        <f t="shared" si="205"/>
        <v>0</v>
      </c>
      <c r="I352" s="618"/>
      <c r="J352" s="618"/>
      <c r="K352" s="618"/>
      <c r="L352" s="618"/>
      <c r="M352" s="618"/>
      <c r="N352" s="618"/>
      <c r="O352" s="618"/>
      <c r="P352" s="618"/>
      <c r="Q352" s="618"/>
      <c r="R352" s="618"/>
      <c r="S352" s="618"/>
      <c r="T352" s="618"/>
      <c r="U352" s="618"/>
      <c r="V352" s="618"/>
      <c r="W352" s="618"/>
      <c r="X352" s="618"/>
      <c r="Y352" s="618"/>
      <c r="Z352" s="618"/>
      <c r="AA352" s="618"/>
      <c r="AB352" s="618"/>
      <c r="AC352" s="618"/>
      <c r="AD352" s="618"/>
      <c r="AE352" s="618"/>
      <c r="AF352" s="618"/>
      <c r="AG352" s="618"/>
      <c r="AH352" s="618"/>
      <c r="AI352" s="618"/>
      <c r="AJ352" s="618"/>
      <c r="AK352" s="618"/>
      <c r="AL352" s="618"/>
      <c r="AM352" s="3"/>
    </row>
    <row r="353" spans="1:39" ht="14.25" customHeight="1" x14ac:dyDescent="0.45">
      <c r="A353" s="618"/>
      <c r="B353" s="215"/>
      <c r="C353" s="220" t="s">
        <v>235</v>
      </c>
      <c r="D353" s="243" t="s">
        <v>236</v>
      </c>
      <c r="E353" s="346">
        <f t="shared" si="205"/>
        <v>3.1097268797236299E-2</v>
      </c>
      <c r="F353" s="346">
        <f t="shared" si="205"/>
        <v>2.6374935267106586E-2</v>
      </c>
      <c r="G353" s="346">
        <f t="shared" si="205"/>
        <v>3.0300375201281118E-2</v>
      </c>
      <c r="H353" s="346">
        <f t="shared" si="205"/>
        <v>3.729788254987319E-3</v>
      </c>
      <c r="I353" s="618"/>
      <c r="J353" s="618"/>
      <c r="K353" s="618"/>
      <c r="L353" s="618"/>
      <c r="M353" s="618"/>
      <c r="N353" s="618"/>
      <c r="O353" s="618"/>
      <c r="P353" s="618"/>
      <c r="Q353" s="618"/>
      <c r="R353" s="618"/>
      <c r="S353" s="618"/>
      <c r="T353" s="618"/>
      <c r="U353" s="618"/>
      <c r="V353" s="618"/>
      <c r="W353" s="618"/>
      <c r="X353" s="618"/>
      <c r="Y353" s="618"/>
      <c r="Z353" s="618"/>
      <c r="AA353" s="618"/>
      <c r="AB353" s="618"/>
      <c r="AC353" s="618"/>
      <c r="AD353" s="618"/>
      <c r="AE353" s="618"/>
      <c r="AF353" s="618"/>
      <c r="AG353" s="618"/>
      <c r="AH353" s="618"/>
      <c r="AI353" s="618"/>
      <c r="AJ353" s="618"/>
      <c r="AK353" s="618"/>
      <c r="AL353" s="618"/>
      <c r="AM353" s="3"/>
    </row>
    <row r="354" spans="1:39" ht="14.25" customHeight="1" x14ac:dyDescent="0.45">
      <c r="A354" s="618"/>
      <c r="B354" s="215"/>
      <c r="C354" s="220"/>
      <c r="D354" s="247" t="s">
        <v>223</v>
      </c>
      <c r="E354" s="346">
        <f t="shared" si="205"/>
        <v>0</v>
      </c>
      <c r="F354" s="346">
        <f t="shared" si="205"/>
        <v>0</v>
      </c>
      <c r="G354" s="346">
        <f t="shared" si="205"/>
        <v>0</v>
      </c>
      <c r="H354" s="346">
        <f t="shared" si="205"/>
        <v>0</v>
      </c>
      <c r="I354" s="618"/>
      <c r="J354" s="618"/>
      <c r="K354" s="618"/>
      <c r="L354" s="618"/>
      <c r="M354" s="618"/>
      <c r="N354" s="618"/>
      <c r="O354" s="618"/>
      <c r="P354" s="618"/>
      <c r="Q354" s="618"/>
      <c r="R354" s="618"/>
      <c r="S354" s="618"/>
      <c r="T354" s="618"/>
      <c r="U354" s="618"/>
      <c r="V354" s="618"/>
      <c r="W354" s="618"/>
      <c r="X354" s="618"/>
      <c r="Y354" s="618"/>
      <c r="Z354" s="618"/>
      <c r="AA354" s="618"/>
      <c r="AB354" s="618"/>
      <c r="AC354" s="618"/>
      <c r="AD354" s="618"/>
      <c r="AE354" s="618"/>
      <c r="AF354" s="618"/>
      <c r="AG354" s="618"/>
      <c r="AH354" s="618"/>
      <c r="AI354" s="618"/>
      <c r="AJ354" s="618"/>
      <c r="AK354" s="618"/>
      <c r="AL354" s="618"/>
      <c r="AM354" s="3"/>
    </row>
    <row r="355" spans="1:39" ht="14.25" customHeight="1" x14ac:dyDescent="0.45">
      <c r="A355" s="618"/>
      <c r="B355" s="215"/>
      <c r="C355" s="220" t="s">
        <v>237</v>
      </c>
      <c r="D355" s="243" t="s">
        <v>236</v>
      </c>
      <c r="E355" s="346">
        <f t="shared" si="205"/>
        <v>1.2023139594840674E-2</v>
      </c>
      <c r="F355" s="346">
        <f t="shared" si="205"/>
        <v>1.1645578259364259E-2</v>
      </c>
      <c r="G355" s="346">
        <f t="shared" si="205"/>
        <v>1.0672642816068667E-2</v>
      </c>
      <c r="H355" s="346">
        <f t="shared" si="205"/>
        <v>1.1531246106251648E-2</v>
      </c>
      <c r="I355" s="618"/>
      <c r="J355" s="618"/>
      <c r="K355" s="618"/>
      <c r="L355" s="618"/>
      <c r="M355" s="618"/>
      <c r="N355" s="618"/>
      <c r="O355" s="618"/>
      <c r="P355" s="618"/>
      <c r="Q355" s="618"/>
      <c r="R355" s="618"/>
      <c r="S355" s="618"/>
      <c r="T355" s="618"/>
      <c r="U355" s="618"/>
      <c r="V355" s="618"/>
      <c r="W355" s="618"/>
      <c r="X355" s="618"/>
      <c r="Y355" s="618"/>
      <c r="Z355" s="618"/>
      <c r="AA355" s="618"/>
      <c r="AB355" s="618"/>
      <c r="AC355" s="618"/>
      <c r="AD355" s="618"/>
      <c r="AE355" s="618"/>
      <c r="AF355" s="618"/>
      <c r="AG355" s="618"/>
      <c r="AH355" s="618"/>
      <c r="AI355" s="618"/>
      <c r="AJ355" s="618"/>
      <c r="AK355" s="618"/>
      <c r="AL355" s="618"/>
      <c r="AM355" s="3"/>
    </row>
    <row r="356" spans="1:39" ht="14.25" customHeight="1" x14ac:dyDescent="0.45">
      <c r="A356" s="618"/>
      <c r="B356" s="215"/>
      <c r="C356" s="220"/>
      <c r="D356" s="247" t="s">
        <v>238</v>
      </c>
      <c r="E356" s="346">
        <f t="shared" ref="E356:H374" si="206">E269/E$287</f>
        <v>0</v>
      </c>
      <c r="F356" s="346">
        <f t="shared" si="206"/>
        <v>0</v>
      </c>
      <c r="G356" s="346">
        <f t="shared" si="206"/>
        <v>0</v>
      </c>
      <c r="H356" s="346">
        <f t="shared" si="206"/>
        <v>0</v>
      </c>
      <c r="I356" s="618"/>
      <c r="J356" s="618"/>
      <c r="K356" s="618"/>
      <c r="L356" s="618"/>
      <c r="M356" s="618"/>
      <c r="N356" s="618"/>
      <c r="O356" s="618"/>
      <c r="P356" s="618"/>
      <c r="Q356" s="618"/>
      <c r="R356" s="618"/>
      <c r="S356" s="618"/>
      <c r="T356" s="618"/>
      <c r="U356" s="618"/>
      <c r="V356" s="618"/>
      <c r="W356" s="618"/>
      <c r="X356" s="618"/>
      <c r="Y356" s="618"/>
      <c r="Z356" s="618"/>
      <c r="AA356" s="618"/>
      <c r="AB356" s="618"/>
      <c r="AC356" s="618"/>
      <c r="AD356" s="618"/>
      <c r="AE356" s="618"/>
      <c r="AF356" s="618"/>
      <c r="AG356" s="618"/>
      <c r="AH356" s="618"/>
      <c r="AI356" s="618"/>
      <c r="AJ356" s="618"/>
      <c r="AK356" s="618"/>
      <c r="AL356" s="618"/>
      <c r="AM356" s="3"/>
    </row>
    <row r="357" spans="1:39" ht="14.25" customHeight="1" x14ac:dyDescent="0.45">
      <c r="A357" s="618"/>
      <c r="B357" s="215"/>
      <c r="C357" s="220" t="s">
        <v>239</v>
      </c>
      <c r="D357" s="243" t="s">
        <v>240</v>
      </c>
      <c r="E357" s="346">
        <f t="shared" si="206"/>
        <v>0.44366553805843129</v>
      </c>
      <c r="F357" s="346">
        <f t="shared" si="206"/>
        <v>0.41042345750734488</v>
      </c>
      <c r="G357" s="346">
        <f t="shared" si="206"/>
        <v>0.41463804849856994</v>
      </c>
      <c r="H357" s="346">
        <f t="shared" si="206"/>
        <v>0.43021822703390056</v>
      </c>
      <c r="I357" s="618"/>
      <c r="J357" s="618"/>
      <c r="K357" s="618"/>
      <c r="L357" s="618"/>
      <c r="M357" s="618"/>
      <c r="N357" s="618"/>
      <c r="O357" s="618"/>
      <c r="P357" s="618"/>
      <c r="Q357" s="618"/>
      <c r="R357" s="618"/>
      <c r="S357" s="618"/>
      <c r="T357" s="618"/>
      <c r="U357" s="618"/>
      <c r="V357" s="618"/>
      <c r="W357" s="618"/>
      <c r="X357" s="618"/>
      <c r="Y357" s="618"/>
      <c r="Z357" s="618"/>
      <c r="AA357" s="618"/>
      <c r="AB357" s="618"/>
      <c r="AC357" s="618"/>
      <c r="AD357" s="618"/>
      <c r="AE357" s="618"/>
      <c r="AF357" s="618"/>
      <c r="AG357" s="618"/>
      <c r="AH357" s="618"/>
      <c r="AI357" s="618"/>
      <c r="AJ357" s="618"/>
      <c r="AK357" s="618"/>
      <c r="AL357" s="618"/>
      <c r="AM357" s="3"/>
    </row>
    <row r="358" spans="1:39" ht="14.25" customHeight="1" x14ac:dyDescent="0.45">
      <c r="A358" s="618"/>
      <c r="B358" s="215"/>
      <c r="C358" s="220" t="s">
        <v>241</v>
      </c>
      <c r="D358" s="243" t="s">
        <v>236</v>
      </c>
      <c r="E358" s="346">
        <f t="shared" si="206"/>
        <v>0.24295688231685283</v>
      </c>
      <c r="F358" s="346">
        <f t="shared" si="206"/>
        <v>0.31112628441845464</v>
      </c>
      <c r="G358" s="346">
        <f t="shared" si="206"/>
        <v>0.30927775844302946</v>
      </c>
      <c r="H358" s="346">
        <f t="shared" si="206"/>
        <v>0.29305759568669043</v>
      </c>
      <c r="I358" s="618"/>
      <c r="J358" s="618"/>
      <c r="K358" s="618"/>
      <c r="L358" s="618"/>
      <c r="M358" s="618"/>
      <c r="N358" s="618"/>
      <c r="O358" s="618"/>
      <c r="P358" s="618"/>
      <c r="Q358" s="618"/>
      <c r="R358" s="618"/>
      <c r="S358" s="618"/>
      <c r="T358" s="618"/>
      <c r="U358" s="618"/>
      <c r="V358" s="618"/>
      <c r="W358" s="618"/>
      <c r="X358" s="618"/>
      <c r="Y358" s="618"/>
      <c r="Z358" s="618"/>
      <c r="AA358" s="618"/>
      <c r="AB358" s="618"/>
      <c r="AC358" s="618"/>
      <c r="AD358" s="618"/>
      <c r="AE358" s="618"/>
      <c r="AF358" s="618"/>
      <c r="AG358" s="618"/>
      <c r="AH358" s="618"/>
      <c r="AI358" s="618"/>
      <c r="AJ358" s="618"/>
      <c r="AK358" s="618"/>
      <c r="AL358" s="618"/>
      <c r="AM358" s="3"/>
    </row>
    <row r="359" spans="1:39" ht="14.25" customHeight="1" x14ac:dyDescent="0.45">
      <c r="A359" s="618"/>
      <c r="B359" s="215"/>
      <c r="C359" s="220" t="s">
        <v>242</v>
      </c>
      <c r="D359" s="243" t="s">
        <v>243</v>
      </c>
      <c r="E359" s="346">
        <f t="shared" si="206"/>
        <v>1.8507878111799901E-2</v>
      </c>
      <c r="F359" s="346">
        <f t="shared" si="206"/>
        <v>1.6047490042665372E-2</v>
      </c>
      <c r="G359" s="346">
        <f t="shared" si="206"/>
        <v>1.7587762981361492E-2</v>
      </c>
      <c r="H359" s="346">
        <f t="shared" si="206"/>
        <v>1.7597571684285707E-2</v>
      </c>
      <c r="I359" s="618"/>
      <c r="J359" s="618"/>
      <c r="K359" s="618"/>
      <c r="L359" s="618"/>
      <c r="M359" s="618"/>
      <c r="N359" s="618"/>
      <c r="O359" s="618"/>
      <c r="P359" s="618"/>
      <c r="Q359" s="618"/>
      <c r="R359" s="618"/>
      <c r="S359" s="618"/>
      <c r="T359" s="618"/>
      <c r="U359" s="618"/>
      <c r="V359" s="618"/>
      <c r="W359" s="618"/>
      <c r="X359" s="618"/>
      <c r="Y359" s="618"/>
      <c r="Z359" s="618"/>
      <c r="AA359" s="618"/>
      <c r="AB359" s="618"/>
      <c r="AC359" s="618"/>
      <c r="AD359" s="618"/>
      <c r="AE359" s="618"/>
      <c r="AF359" s="618"/>
      <c r="AG359" s="618"/>
      <c r="AH359" s="618"/>
      <c r="AI359" s="618"/>
      <c r="AJ359" s="618"/>
      <c r="AK359" s="618"/>
      <c r="AL359" s="618"/>
      <c r="AM359" s="3"/>
    </row>
    <row r="360" spans="1:39" ht="14.25" customHeight="1" x14ac:dyDescent="0.45">
      <c r="A360" s="618"/>
      <c r="B360" s="215"/>
      <c r="C360" s="220" t="s">
        <v>244</v>
      </c>
      <c r="D360" s="243" t="s">
        <v>245</v>
      </c>
      <c r="E360" s="346">
        <f t="shared" si="206"/>
        <v>0.15497586216395584</v>
      </c>
      <c r="F360" s="346">
        <f t="shared" si="206"/>
        <v>0.13805499662462817</v>
      </c>
      <c r="G360" s="346">
        <f t="shared" si="206"/>
        <v>0.13937823800843682</v>
      </c>
      <c r="H360" s="346">
        <f t="shared" si="206"/>
        <v>0.15219087460817043</v>
      </c>
      <c r="I360" s="618"/>
      <c r="J360" s="618"/>
      <c r="K360" s="618"/>
      <c r="L360" s="618"/>
      <c r="M360" s="618"/>
      <c r="N360" s="618"/>
      <c r="O360" s="618"/>
      <c r="P360" s="618"/>
      <c r="Q360" s="618"/>
      <c r="R360" s="618"/>
      <c r="S360" s="618"/>
      <c r="T360" s="618"/>
      <c r="U360" s="618"/>
      <c r="V360" s="618"/>
      <c r="W360" s="618"/>
      <c r="X360" s="618"/>
      <c r="Y360" s="618"/>
      <c r="Z360" s="618"/>
      <c r="AA360" s="618"/>
      <c r="AB360" s="618"/>
      <c r="AC360" s="618"/>
      <c r="AD360" s="618"/>
      <c r="AE360" s="618"/>
      <c r="AF360" s="618"/>
      <c r="AG360" s="618"/>
      <c r="AH360" s="618"/>
      <c r="AI360" s="618"/>
      <c r="AJ360" s="618"/>
      <c r="AK360" s="618"/>
      <c r="AL360" s="618"/>
      <c r="AM360" s="3"/>
    </row>
    <row r="361" spans="1:39" ht="14.25" customHeight="1" x14ac:dyDescent="0.45">
      <c r="A361" s="618"/>
      <c r="B361" s="215"/>
      <c r="C361" s="220"/>
      <c r="D361" s="228" t="s">
        <v>188</v>
      </c>
      <c r="E361" s="346">
        <f t="shared" si="206"/>
        <v>8.2376553862157989E-2</v>
      </c>
      <c r="F361" s="346">
        <f t="shared" si="206"/>
        <v>7.2110835232708795E-2</v>
      </c>
      <c r="G361" s="346">
        <f t="shared" si="206"/>
        <v>6.9308124468972651E-2</v>
      </c>
      <c r="H361" s="346">
        <f t="shared" si="206"/>
        <v>7.8665617655613737E-2</v>
      </c>
      <c r="I361" s="618"/>
      <c r="J361" s="618"/>
      <c r="K361" s="618"/>
      <c r="L361" s="618"/>
      <c r="M361" s="618"/>
      <c r="N361" s="618"/>
      <c r="O361" s="618"/>
      <c r="P361" s="618"/>
      <c r="Q361" s="618"/>
      <c r="R361" s="618"/>
      <c r="S361" s="618"/>
      <c r="T361" s="618"/>
      <c r="U361" s="618"/>
      <c r="V361" s="618"/>
      <c r="W361" s="618"/>
      <c r="X361" s="618"/>
      <c r="Y361" s="618"/>
      <c r="Z361" s="618"/>
      <c r="AA361" s="618"/>
      <c r="AB361" s="618"/>
      <c r="AC361" s="618"/>
      <c r="AD361" s="618"/>
      <c r="AE361" s="618"/>
      <c r="AF361" s="618"/>
      <c r="AG361" s="618"/>
      <c r="AH361" s="618"/>
      <c r="AI361" s="618"/>
      <c r="AJ361" s="618"/>
      <c r="AK361" s="618"/>
      <c r="AL361" s="618"/>
      <c r="AM361" s="3"/>
    </row>
    <row r="362" spans="1:39" ht="14.25" customHeight="1" x14ac:dyDescent="0.45">
      <c r="A362" s="618"/>
      <c r="B362" s="215"/>
      <c r="C362" s="220"/>
      <c r="D362" s="247" t="s">
        <v>238</v>
      </c>
      <c r="E362" s="346">
        <f t="shared" si="206"/>
        <v>0</v>
      </c>
      <c r="F362" s="346">
        <f t="shared" si="206"/>
        <v>0</v>
      </c>
      <c r="G362" s="346">
        <f t="shared" si="206"/>
        <v>0</v>
      </c>
      <c r="H362" s="346">
        <f t="shared" si="206"/>
        <v>0</v>
      </c>
      <c r="I362" s="618"/>
      <c r="J362" s="618"/>
      <c r="K362" s="618"/>
      <c r="L362" s="618"/>
      <c r="M362" s="618"/>
      <c r="N362" s="618"/>
      <c r="O362" s="618"/>
      <c r="P362" s="618"/>
      <c r="Q362" s="618"/>
      <c r="R362" s="618"/>
      <c r="S362" s="618"/>
      <c r="T362" s="618"/>
      <c r="U362" s="618"/>
      <c r="V362" s="618"/>
      <c r="W362" s="618"/>
      <c r="X362" s="618"/>
      <c r="Y362" s="618"/>
      <c r="Z362" s="618"/>
      <c r="AA362" s="618"/>
      <c r="AB362" s="618"/>
      <c r="AC362" s="618"/>
      <c r="AD362" s="618"/>
      <c r="AE362" s="618"/>
      <c r="AF362" s="618"/>
      <c r="AG362" s="618"/>
      <c r="AH362" s="618"/>
      <c r="AI362" s="618"/>
      <c r="AJ362" s="618"/>
      <c r="AK362" s="618"/>
      <c r="AL362" s="618"/>
      <c r="AM362" s="3"/>
    </row>
    <row r="363" spans="1:39" ht="14.25" customHeight="1" x14ac:dyDescent="0.45">
      <c r="A363" s="618"/>
      <c r="B363" s="215"/>
      <c r="C363" s="220" t="s">
        <v>246</v>
      </c>
      <c r="D363" s="243" t="s">
        <v>236</v>
      </c>
      <c r="E363" s="346">
        <f t="shared" si="206"/>
        <v>4.0574605543672648E-2</v>
      </c>
      <c r="F363" s="346">
        <f t="shared" si="206"/>
        <v>3.7387939251449287E-2</v>
      </c>
      <c r="G363" s="346">
        <f t="shared" si="206"/>
        <v>3.4769392004657652E-2</v>
      </c>
      <c r="H363" s="346">
        <f t="shared" si="206"/>
        <v>3.4702802097812825E-2</v>
      </c>
      <c r="I363" s="618"/>
      <c r="J363" s="618"/>
      <c r="K363" s="618"/>
      <c r="L363" s="618"/>
      <c r="M363" s="618"/>
      <c r="N363" s="618"/>
      <c r="O363" s="618"/>
      <c r="P363" s="618"/>
      <c r="Q363" s="618"/>
      <c r="R363" s="618"/>
      <c r="S363" s="618"/>
      <c r="T363" s="618"/>
      <c r="U363" s="618"/>
      <c r="V363" s="618"/>
      <c r="W363" s="618"/>
      <c r="X363" s="618"/>
      <c r="Y363" s="618"/>
      <c r="Z363" s="618"/>
      <c r="AA363" s="618"/>
      <c r="AB363" s="618"/>
      <c r="AC363" s="618"/>
      <c r="AD363" s="618"/>
      <c r="AE363" s="618"/>
      <c r="AF363" s="618"/>
      <c r="AG363" s="618"/>
      <c r="AH363" s="618"/>
      <c r="AI363" s="618"/>
      <c r="AJ363" s="618"/>
      <c r="AK363" s="618"/>
      <c r="AL363" s="618"/>
      <c r="AM363" s="3"/>
    </row>
    <row r="364" spans="1:39" ht="14.25" customHeight="1" x14ac:dyDescent="0.45">
      <c r="A364" s="618"/>
      <c r="B364" s="215"/>
      <c r="C364" s="220" t="s">
        <v>247</v>
      </c>
      <c r="D364" s="243" t="s">
        <v>245</v>
      </c>
      <c r="E364" s="346">
        <f t="shared" si="206"/>
        <v>3.8480769319177592E-2</v>
      </c>
      <c r="F364" s="346">
        <f t="shared" si="206"/>
        <v>3.2901141870637238E-2</v>
      </c>
      <c r="G364" s="346">
        <f t="shared" si="206"/>
        <v>3.2849810931346923E-2</v>
      </c>
      <c r="H364" s="346">
        <f t="shared" si="206"/>
        <v>4.3481827943348955E-2</v>
      </c>
      <c r="I364" s="618"/>
      <c r="J364" s="618"/>
      <c r="K364" s="618"/>
      <c r="L364" s="618"/>
      <c r="M364" s="618"/>
      <c r="N364" s="618"/>
      <c r="O364" s="618"/>
      <c r="P364" s="618"/>
      <c r="Q364" s="618"/>
      <c r="R364" s="618"/>
      <c r="S364" s="618"/>
      <c r="T364" s="618"/>
      <c r="U364" s="618"/>
      <c r="V364" s="618"/>
      <c r="W364" s="618"/>
      <c r="X364" s="618"/>
      <c r="Y364" s="618"/>
      <c r="Z364" s="618"/>
      <c r="AA364" s="618"/>
      <c r="AB364" s="618"/>
      <c r="AC364" s="618"/>
      <c r="AD364" s="618"/>
      <c r="AE364" s="618"/>
      <c r="AF364" s="618"/>
      <c r="AG364" s="618"/>
      <c r="AH364" s="618"/>
      <c r="AI364" s="618"/>
      <c r="AJ364" s="618"/>
      <c r="AK364" s="618"/>
      <c r="AL364" s="618"/>
      <c r="AM364" s="3"/>
    </row>
    <row r="365" spans="1:39" ht="14.25" customHeight="1" x14ac:dyDescent="0.45">
      <c r="A365" s="618"/>
      <c r="B365" s="215"/>
      <c r="C365" s="220" t="s">
        <v>249</v>
      </c>
      <c r="D365" s="243" t="s">
        <v>240</v>
      </c>
      <c r="E365" s="346">
        <f t="shared" si="206"/>
        <v>3.3211789993077305E-3</v>
      </c>
      <c r="F365" s="346">
        <f t="shared" si="206"/>
        <v>1.8217541106222623E-3</v>
      </c>
      <c r="G365" s="346">
        <f t="shared" si="206"/>
        <v>1.6889215329680761E-3</v>
      </c>
      <c r="H365" s="346">
        <f t="shared" si="206"/>
        <v>4.8098761445195275E-4</v>
      </c>
      <c r="I365" s="618"/>
      <c r="J365" s="618"/>
      <c r="K365" s="618"/>
      <c r="L365" s="618"/>
      <c r="M365" s="618"/>
      <c r="N365" s="618"/>
      <c r="O365" s="618"/>
      <c r="P365" s="618"/>
      <c r="Q365" s="618"/>
      <c r="R365" s="618"/>
      <c r="S365" s="618"/>
      <c r="T365" s="618"/>
      <c r="U365" s="618"/>
      <c r="V365" s="618"/>
      <c r="W365" s="618"/>
      <c r="X365" s="618"/>
      <c r="Y365" s="618"/>
      <c r="Z365" s="618"/>
      <c r="AA365" s="618"/>
      <c r="AB365" s="618"/>
      <c r="AC365" s="618"/>
      <c r="AD365" s="618"/>
      <c r="AE365" s="618"/>
      <c r="AF365" s="618"/>
      <c r="AG365" s="618"/>
      <c r="AH365" s="618"/>
      <c r="AI365" s="618"/>
      <c r="AJ365" s="618"/>
      <c r="AK365" s="618"/>
      <c r="AL365" s="618"/>
      <c r="AM365" s="3"/>
    </row>
    <row r="366" spans="1:39" ht="14.25" customHeight="1" x14ac:dyDescent="0.45">
      <c r="A366" s="618"/>
      <c r="B366" s="215"/>
      <c r="C366" s="220"/>
      <c r="D366" s="228" t="s">
        <v>193</v>
      </c>
      <c r="E366" s="346">
        <f t="shared" si="206"/>
        <v>7.6017269696412168E-3</v>
      </c>
      <c r="F366" s="346">
        <f t="shared" si="206"/>
        <v>6.5755291403084906E-3</v>
      </c>
      <c r="G366" s="346">
        <f t="shared" si="206"/>
        <v>1.2832554688329877E-3</v>
      </c>
      <c r="H366" s="346">
        <f t="shared" si="206"/>
        <v>6.9459156309683327E-3</v>
      </c>
      <c r="I366" s="618"/>
      <c r="J366" s="618"/>
      <c r="K366" s="618"/>
      <c r="L366" s="618"/>
      <c r="M366" s="618"/>
      <c r="N366" s="618"/>
      <c r="O366" s="618"/>
      <c r="P366" s="618"/>
      <c r="Q366" s="618"/>
      <c r="R366" s="618"/>
      <c r="S366" s="618"/>
      <c r="T366" s="618"/>
      <c r="U366" s="618"/>
      <c r="V366" s="618"/>
      <c r="W366" s="618"/>
      <c r="X366" s="618"/>
      <c r="Y366" s="618"/>
      <c r="Z366" s="618"/>
      <c r="AA366" s="618"/>
      <c r="AB366" s="618"/>
      <c r="AC366" s="618"/>
      <c r="AD366" s="618"/>
      <c r="AE366" s="618"/>
      <c r="AF366" s="618"/>
      <c r="AG366" s="618"/>
      <c r="AH366" s="618"/>
      <c r="AI366" s="618"/>
      <c r="AJ366" s="618"/>
      <c r="AK366" s="618"/>
      <c r="AL366" s="618"/>
      <c r="AM366" s="3"/>
    </row>
    <row r="367" spans="1:39" ht="14.25" customHeight="1" x14ac:dyDescent="0.45">
      <c r="A367" s="618"/>
      <c r="B367" s="215"/>
      <c r="C367" s="220"/>
      <c r="D367" s="247" t="s">
        <v>225</v>
      </c>
      <c r="E367" s="346">
        <f t="shared" si="206"/>
        <v>0</v>
      </c>
      <c r="F367" s="346">
        <f t="shared" si="206"/>
        <v>0</v>
      </c>
      <c r="G367" s="346">
        <f t="shared" si="206"/>
        <v>0</v>
      </c>
      <c r="H367" s="346">
        <f t="shared" si="206"/>
        <v>0</v>
      </c>
      <c r="I367" s="618"/>
      <c r="J367" s="618"/>
      <c r="K367" s="618"/>
      <c r="L367" s="618"/>
      <c r="M367" s="618"/>
      <c r="N367" s="618"/>
      <c r="O367" s="618"/>
      <c r="P367" s="618"/>
      <c r="Q367" s="618"/>
      <c r="R367" s="618"/>
      <c r="S367" s="618"/>
      <c r="T367" s="618"/>
      <c r="U367" s="618"/>
      <c r="V367" s="618"/>
      <c r="W367" s="618"/>
      <c r="X367" s="618"/>
      <c r="Y367" s="618"/>
      <c r="Z367" s="618"/>
      <c r="AA367" s="618"/>
      <c r="AB367" s="618"/>
      <c r="AC367" s="618"/>
      <c r="AD367" s="618"/>
      <c r="AE367" s="618"/>
      <c r="AF367" s="618"/>
      <c r="AG367" s="618"/>
      <c r="AH367" s="618"/>
      <c r="AI367" s="618"/>
      <c r="AJ367" s="618"/>
      <c r="AK367" s="618"/>
      <c r="AL367" s="618"/>
      <c r="AM367" s="3"/>
    </row>
    <row r="368" spans="1:39" ht="14.25" customHeight="1" x14ac:dyDescent="0.45">
      <c r="A368" s="618"/>
      <c r="B368" s="215"/>
      <c r="C368" s="220" t="s">
        <v>250</v>
      </c>
      <c r="D368" s="243" t="s">
        <v>236</v>
      </c>
      <c r="E368" s="346">
        <f t="shared" si="206"/>
        <v>4.3697001968345679E-7</v>
      </c>
      <c r="F368" s="346">
        <f t="shared" si="206"/>
        <v>0</v>
      </c>
      <c r="G368" s="346">
        <f t="shared" si="206"/>
        <v>0</v>
      </c>
      <c r="H368" s="346">
        <f t="shared" si="206"/>
        <v>0</v>
      </c>
      <c r="I368" s="618"/>
      <c r="J368" s="618"/>
      <c r="K368" s="618"/>
      <c r="L368" s="618"/>
      <c r="M368" s="618"/>
      <c r="N368" s="618"/>
      <c r="O368" s="618"/>
      <c r="P368" s="618"/>
      <c r="Q368" s="618"/>
      <c r="R368" s="618"/>
      <c r="S368" s="618"/>
      <c r="T368" s="618"/>
      <c r="U368" s="618"/>
      <c r="V368" s="618"/>
      <c r="W368" s="618"/>
      <c r="X368" s="618"/>
      <c r="Y368" s="618"/>
      <c r="Z368" s="618"/>
      <c r="AA368" s="618"/>
      <c r="AB368" s="618"/>
      <c r="AC368" s="618"/>
      <c r="AD368" s="618"/>
      <c r="AE368" s="618"/>
      <c r="AF368" s="618"/>
      <c r="AG368" s="618"/>
      <c r="AH368" s="618"/>
      <c r="AI368" s="618"/>
      <c r="AJ368" s="618"/>
      <c r="AK368" s="618"/>
      <c r="AL368" s="618"/>
      <c r="AM368" s="3"/>
    </row>
    <row r="369" spans="1:39" ht="14.25" customHeight="1" x14ac:dyDescent="0.45">
      <c r="A369" s="618"/>
      <c r="B369" s="215"/>
      <c r="C369" s="220"/>
      <c r="D369" s="247" t="s">
        <v>230</v>
      </c>
      <c r="E369" s="346">
        <f t="shared" si="206"/>
        <v>0</v>
      </c>
      <c r="F369" s="346">
        <f t="shared" si="206"/>
        <v>0</v>
      </c>
      <c r="G369" s="346">
        <f t="shared" si="206"/>
        <v>0</v>
      </c>
      <c r="H369" s="346">
        <f t="shared" si="206"/>
        <v>0</v>
      </c>
      <c r="I369" s="618"/>
      <c r="J369" s="618"/>
      <c r="K369" s="618"/>
      <c r="L369" s="618"/>
      <c r="M369" s="618"/>
      <c r="N369" s="618"/>
      <c r="O369" s="618"/>
      <c r="P369" s="618"/>
      <c r="Q369" s="618"/>
      <c r="R369" s="618"/>
      <c r="S369" s="618"/>
      <c r="T369" s="618"/>
      <c r="U369" s="618"/>
      <c r="V369" s="618"/>
      <c r="W369" s="618"/>
      <c r="X369" s="618"/>
      <c r="Y369" s="618"/>
      <c r="Z369" s="618"/>
      <c r="AA369" s="618"/>
      <c r="AB369" s="618"/>
      <c r="AC369" s="618"/>
      <c r="AD369" s="618"/>
      <c r="AE369" s="618"/>
      <c r="AF369" s="618"/>
      <c r="AG369" s="618"/>
      <c r="AH369" s="618"/>
      <c r="AI369" s="618"/>
      <c r="AJ369" s="618"/>
      <c r="AK369" s="618"/>
      <c r="AL369" s="618"/>
      <c r="AM369" s="3"/>
    </row>
    <row r="370" spans="1:39" ht="14.25" customHeight="1" x14ac:dyDescent="0.45">
      <c r="A370" s="618"/>
      <c r="B370" s="215"/>
      <c r="C370" s="220" t="s">
        <v>251</v>
      </c>
      <c r="D370" s="243" t="s">
        <v>236</v>
      </c>
      <c r="E370" s="346">
        <f t="shared" si="206"/>
        <v>7.7568642547359178E-6</v>
      </c>
      <c r="F370" s="346">
        <f t="shared" si="206"/>
        <v>2.9273119760841652E-6</v>
      </c>
      <c r="G370" s="346">
        <f t="shared" si="206"/>
        <v>3.0399172511944935E-8</v>
      </c>
      <c r="H370" s="346">
        <f t="shared" si="206"/>
        <v>0</v>
      </c>
      <c r="I370" s="618"/>
      <c r="J370" s="618"/>
      <c r="K370" s="618"/>
      <c r="L370" s="618"/>
      <c r="M370" s="618"/>
      <c r="N370" s="618"/>
      <c r="O370" s="618"/>
      <c r="P370" s="618"/>
      <c r="Q370" s="618"/>
      <c r="R370" s="618"/>
      <c r="S370" s="618"/>
      <c r="T370" s="618"/>
      <c r="U370" s="618"/>
      <c r="V370" s="618"/>
      <c r="W370" s="618"/>
      <c r="X370" s="618"/>
      <c r="Y370" s="618"/>
      <c r="Z370" s="618"/>
      <c r="AA370" s="618"/>
      <c r="AB370" s="618"/>
      <c r="AC370" s="618"/>
      <c r="AD370" s="618"/>
      <c r="AE370" s="618"/>
      <c r="AF370" s="618"/>
      <c r="AG370" s="618"/>
      <c r="AH370" s="618"/>
      <c r="AI370" s="618"/>
      <c r="AJ370" s="618"/>
      <c r="AK370" s="618"/>
      <c r="AL370" s="618"/>
      <c r="AM370" s="3"/>
    </row>
    <row r="371" spans="1:39" ht="14.25" customHeight="1" x14ac:dyDescent="0.45">
      <c r="A371" s="618"/>
      <c r="B371" s="215"/>
      <c r="C371" s="220"/>
      <c r="D371" s="247" t="s">
        <v>238</v>
      </c>
      <c r="E371" s="346">
        <f t="shared" si="206"/>
        <v>0</v>
      </c>
      <c r="F371" s="346">
        <f t="shared" si="206"/>
        <v>0</v>
      </c>
      <c r="G371" s="346">
        <f t="shared" si="206"/>
        <v>0</v>
      </c>
      <c r="H371" s="346">
        <f t="shared" si="206"/>
        <v>0</v>
      </c>
      <c r="I371" s="618"/>
      <c r="J371" s="618"/>
      <c r="K371" s="618"/>
      <c r="L371" s="618"/>
      <c r="M371" s="618"/>
      <c r="N371" s="618"/>
      <c r="O371" s="618"/>
      <c r="P371" s="618"/>
      <c r="Q371" s="618"/>
      <c r="R371" s="618"/>
      <c r="S371" s="618"/>
      <c r="T371" s="618"/>
      <c r="U371" s="618"/>
      <c r="V371" s="618"/>
      <c r="W371" s="618"/>
      <c r="X371" s="618"/>
      <c r="Y371" s="618"/>
      <c r="Z371" s="618"/>
      <c r="AA371" s="618"/>
      <c r="AB371" s="618"/>
      <c r="AC371" s="618"/>
      <c r="AD371" s="618"/>
      <c r="AE371" s="618"/>
      <c r="AF371" s="618"/>
      <c r="AG371" s="618"/>
      <c r="AH371" s="618"/>
      <c r="AI371" s="618"/>
      <c r="AJ371" s="618"/>
      <c r="AK371" s="618"/>
      <c r="AL371" s="618"/>
      <c r="AM371" s="3"/>
    </row>
    <row r="372" spans="1:39" ht="14.25" customHeight="1" x14ac:dyDescent="0.45">
      <c r="A372" s="618"/>
      <c r="B372" s="215"/>
      <c r="C372" s="220" t="s">
        <v>252</v>
      </c>
      <c r="D372" s="243" t="s">
        <v>245</v>
      </c>
      <c r="E372" s="346">
        <f t="shared" si="206"/>
        <v>7.5935331353667972E-3</v>
      </c>
      <c r="F372" s="346">
        <f t="shared" si="206"/>
        <v>6.572601828332407E-3</v>
      </c>
      <c r="G372" s="346">
        <f t="shared" si="206"/>
        <v>1.2832250696604758E-3</v>
      </c>
      <c r="H372" s="346">
        <f t="shared" si="206"/>
        <v>6.9459156309683327E-3</v>
      </c>
      <c r="I372" s="618"/>
      <c r="J372" s="618"/>
      <c r="K372" s="618"/>
      <c r="L372" s="618"/>
      <c r="M372" s="618"/>
      <c r="N372" s="618"/>
      <c r="O372" s="618"/>
      <c r="P372" s="618"/>
      <c r="Q372" s="618"/>
      <c r="R372" s="618"/>
      <c r="S372" s="618"/>
      <c r="T372" s="618"/>
      <c r="U372" s="618"/>
      <c r="V372" s="618"/>
      <c r="W372" s="618"/>
      <c r="X372" s="618"/>
      <c r="Y372" s="618"/>
      <c r="Z372" s="618"/>
      <c r="AA372" s="618"/>
      <c r="AB372" s="618"/>
      <c r="AC372" s="618"/>
      <c r="AD372" s="618"/>
      <c r="AE372" s="618"/>
      <c r="AF372" s="618"/>
      <c r="AG372" s="618"/>
      <c r="AH372" s="618"/>
      <c r="AI372" s="618"/>
      <c r="AJ372" s="618"/>
      <c r="AK372" s="618"/>
      <c r="AL372" s="618"/>
      <c r="AM372" s="3"/>
    </row>
    <row r="373" spans="1:39" ht="14.25" customHeight="1" x14ac:dyDescent="0.45">
      <c r="A373" s="618"/>
      <c r="B373" s="215"/>
      <c r="C373" s="220"/>
      <c r="D373" s="314" t="s">
        <v>347</v>
      </c>
      <c r="E373" s="346">
        <f t="shared" si="206"/>
        <v>0</v>
      </c>
      <c r="F373" s="346">
        <f t="shared" si="206"/>
        <v>0</v>
      </c>
      <c r="G373" s="346">
        <f t="shared" si="206"/>
        <v>0</v>
      </c>
      <c r="H373" s="346">
        <f t="shared" si="206"/>
        <v>0</v>
      </c>
      <c r="I373" s="618"/>
      <c r="J373" s="618"/>
      <c r="K373" s="618"/>
      <c r="L373" s="618"/>
      <c r="M373" s="618"/>
      <c r="N373" s="618"/>
      <c r="O373" s="618"/>
      <c r="P373" s="618"/>
      <c r="Q373" s="618"/>
      <c r="R373" s="618"/>
      <c r="S373" s="618"/>
      <c r="T373" s="618"/>
      <c r="U373" s="618"/>
      <c r="V373" s="618"/>
      <c r="W373" s="618"/>
      <c r="X373" s="618"/>
      <c r="Y373" s="618"/>
      <c r="Z373" s="618"/>
      <c r="AA373" s="618"/>
      <c r="AB373" s="618"/>
      <c r="AC373" s="618"/>
      <c r="AD373" s="618"/>
      <c r="AE373" s="618"/>
      <c r="AF373" s="618"/>
      <c r="AG373" s="618"/>
      <c r="AH373" s="618"/>
      <c r="AI373" s="618"/>
      <c r="AJ373" s="618"/>
      <c r="AK373" s="618"/>
      <c r="AL373" s="618"/>
      <c r="AM373" s="3"/>
    </row>
    <row r="374" spans="1:39" ht="14.25" customHeight="1" x14ac:dyDescent="0.45">
      <c r="A374" s="618"/>
      <c r="B374" s="215"/>
      <c r="C374" s="220"/>
      <c r="D374" s="221" t="s">
        <v>59</v>
      </c>
      <c r="E374" s="346">
        <f t="shared" si="206"/>
        <v>1</v>
      </c>
      <c r="F374" s="346">
        <f t="shared" si="206"/>
        <v>1</v>
      </c>
      <c r="G374" s="346">
        <f t="shared" si="206"/>
        <v>1</v>
      </c>
      <c r="H374" s="346">
        <f t="shared" si="206"/>
        <v>1</v>
      </c>
      <c r="I374" s="618"/>
      <c r="J374" s="618"/>
      <c r="K374" s="618"/>
      <c r="L374" s="618"/>
      <c r="M374" s="618"/>
      <c r="N374" s="618"/>
      <c r="O374" s="618"/>
      <c r="P374" s="618"/>
      <c r="Q374" s="618"/>
      <c r="R374" s="618"/>
      <c r="S374" s="618"/>
      <c r="T374" s="618"/>
      <c r="U374" s="618"/>
      <c r="V374" s="618"/>
      <c r="W374" s="618"/>
      <c r="X374" s="618"/>
      <c r="Y374" s="618"/>
      <c r="Z374" s="618"/>
      <c r="AA374" s="618"/>
      <c r="AB374" s="618"/>
      <c r="AC374" s="618"/>
      <c r="AD374" s="618"/>
      <c r="AE374" s="618"/>
      <c r="AF374" s="618"/>
      <c r="AG374" s="618"/>
      <c r="AH374" s="618"/>
      <c r="AI374" s="618"/>
      <c r="AJ374" s="618"/>
      <c r="AK374" s="618"/>
      <c r="AL374" s="618"/>
      <c r="AM374" s="3"/>
    </row>
    <row r="375" spans="1:39" ht="14.25" customHeight="1" x14ac:dyDescent="0.45">
      <c r="A375" s="618"/>
      <c r="B375" s="215"/>
      <c r="C375" s="220"/>
      <c r="D375" s="243"/>
      <c r="E375" s="232"/>
      <c r="F375" s="232"/>
      <c r="G375" s="232"/>
      <c r="H375" s="294"/>
      <c r="I375" s="618"/>
      <c r="J375" s="618"/>
      <c r="K375" s="618"/>
      <c r="L375" s="618"/>
      <c r="M375" s="618"/>
      <c r="N375" s="618"/>
      <c r="O375" s="618"/>
      <c r="P375" s="618"/>
      <c r="Q375" s="618"/>
      <c r="R375" s="618"/>
      <c r="S375" s="618"/>
      <c r="T375" s="618"/>
      <c r="U375" s="618"/>
      <c r="V375" s="618"/>
      <c r="W375" s="618"/>
      <c r="X375" s="618"/>
      <c r="Y375" s="618"/>
      <c r="Z375" s="618"/>
      <c r="AA375" s="618"/>
      <c r="AB375" s="618"/>
      <c r="AC375" s="618"/>
      <c r="AD375" s="618"/>
      <c r="AE375" s="618"/>
      <c r="AF375" s="618"/>
      <c r="AG375" s="618"/>
      <c r="AH375" s="618"/>
      <c r="AI375" s="618"/>
      <c r="AJ375" s="618"/>
      <c r="AK375" s="618"/>
      <c r="AL375" s="618"/>
      <c r="AM375" s="3"/>
    </row>
    <row r="376" spans="1:39" ht="14.25" customHeight="1" x14ac:dyDescent="0.45">
      <c r="A376" s="618"/>
      <c r="B376" s="215"/>
      <c r="C376" s="220"/>
      <c r="D376" s="243" t="s">
        <v>352</v>
      </c>
      <c r="E376" s="222">
        <v>2018</v>
      </c>
      <c r="F376" s="222">
        <v>2019</v>
      </c>
      <c r="G376" s="222">
        <v>2020</v>
      </c>
      <c r="H376" s="223">
        <v>2021</v>
      </c>
      <c r="I376" s="618"/>
      <c r="J376" s="618"/>
      <c r="K376" s="618"/>
      <c r="L376" s="618"/>
      <c r="M376" s="618"/>
      <c r="N376" s="618"/>
      <c r="O376" s="618"/>
      <c r="P376" s="618"/>
      <c r="Q376" s="618"/>
      <c r="R376" s="618"/>
      <c r="S376" s="618"/>
      <c r="T376" s="618"/>
      <c r="U376" s="618"/>
      <c r="V376" s="618"/>
      <c r="W376" s="618"/>
      <c r="X376" s="618"/>
      <c r="Y376" s="618"/>
      <c r="Z376" s="618"/>
      <c r="AA376" s="618"/>
      <c r="AB376" s="618"/>
      <c r="AC376" s="618"/>
      <c r="AD376" s="618"/>
      <c r="AE376" s="618"/>
      <c r="AF376" s="618"/>
      <c r="AG376" s="618"/>
      <c r="AH376" s="618"/>
      <c r="AI376" s="618"/>
      <c r="AJ376" s="618"/>
      <c r="AK376" s="618"/>
      <c r="AL376" s="618"/>
      <c r="AM376" s="3"/>
    </row>
    <row r="377" spans="1:39" ht="14.25" customHeight="1" x14ac:dyDescent="0.45">
      <c r="A377" s="618"/>
      <c r="B377" s="215"/>
      <c r="C377" s="220"/>
      <c r="D377" s="224" t="s">
        <v>339</v>
      </c>
      <c r="E377" s="295">
        <v>1.3759203419650334</v>
      </c>
      <c r="F377" s="295">
        <v>1.4878806610556581</v>
      </c>
      <c r="G377" s="295">
        <v>1.5347486942352482</v>
      </c>
      <c r="H377" s="294">
        <f>Electricidad!H335</f>
        <v>1.3412302309670938</v>
      </c>
      <c r="I377" s="618"/>
      <c r="J377" s="618"/>
      <c r="K377" s="618"/>
      <c r="L377" s="618"/>
      <c r="M377" s="618"/>
      <c r="N377" s="618"/>
      <c r="O377" s="618"/>
      <c r="P377" s="618"/>
      <c r="Q377" s="618"/>
      <c r="R377" s="618"/>
      <c r="S377" s="618"/>
      <c r="T377" s="618"/>
      <c r="U377" s="618"/>
      <c r="V377" s="618"/>
      <c r="W377" s="618"/>
      <c r="X377" s="618"/>
      <c r="Y377" s="618"/>
      <c r="Z377" s="618"/>
      <c r="AA377" s="618"/>
      <c r="AB377" s="618"/>
      <c r="AC377" s="618"/>
      <c r="AD377" s="618"/>
      <c r="AE377" s="618"/>
      <c r="AF377" s="618"/>
      <c r="AG377" s="618"/>
      <c r="AH377" s="618"/>
      <c r="AI377" s="618"/>
      <c r="AJ377" s="618"/>
      <c r="AK377" s="618"/>
      <c r="AL377" s="618"/>
      <c r="AM377" s="3"/>
    </row>
    <row r="378" spans="1:39" ht="14.25" customHeight="1" x14ac:dyDescent="0.45">
      <c r="A378" s="618"/>
      <c r="B378" s="215"/>
      <c r="C378" s="220"/>
      <c r="D378" s="224" t="s">
        <v>340</v>
      </c>
      <c r="E378" s="295">
        <v>0.28873956767668257</v>
      </c>
      <c r="F378" s="295">
        <v>0.30770207700830282</v>
      </c>
      <c r="G378" s="295">
        <v>0.27739815462260797</v>
      </c>
      <c r="H378" s="294">
        <f>Electricidad!H336</f>
        <v>0.22309603577988338</v>
      </c>
      <c r="I378" s="618"/>
      <c r="J378" s="618"/>
      <c r="K378" s="618"/>
      <c r="L378" s="618"/>
      <c r="M378" s="618"/>
      <c r="N378" s="618"/>
      <c r="O378" s="618"/>
      <c r="P378" s="618"/>
      <c r="Q378" s="618"/>
      <c r="R378" s="618"/>
      <c r="S378" s="618"/>
      <c r="T378" s="618"/>
      <c r="U378" s="618"/>
      <c r="V378" s="618"/>
      <c r="W378" s="618"/>
      <c r="X378" s="618"/>
      <c r="Y378" s="618"/>
      <c r="Z378" s="618"/>
      <c r="AA378" s="618"/>
      <c r="AB378" s="618"/>
      <c r="AC378" s="618"/>
      <c r="AD378" s="618"/>
      <c r="AE378" s="618"/>
      <c r="AF378" s="618"/>
      <c r="AG378" s="618"/>
      <c r="AH378" s="618"/>
      <c r="AI378" s="618"/>
      <c r="AJ378" s="618"/>
      <c r="AK378" s="618"/>
      <c r="AL378" s="618"/>
      <c r="AM378" s="3"/>
    </row>
    <row r="379" spans="1:39" ht="14.25" customHeight="1" x14ac:dyDescent="0.45">
      <c r="A379" s="618"/>
      <c r="B379" s="215"/>
      <c r="C379" s="220"/>
      <c r="D379" s="224" t="s">
        <v>341</v>
      </c>
      <c r="E379" s="295">
        <v>74.394200959388797</v>
      </c>
      <c r="F379" s="295">
        <v>88.650428907330465</v>
      </c>
      <c r="G379" s="295">
        <v>87.544859283627147</v>
      </c>
      <c r="H379" s="294">
        <f>Electricidad!H337</f>
        <v>92.0108324031292</v>
      </c>
      <c r="I379" s="618"/>
      <c r="J379" s="618"/>
      <c r="K379" s="618"/>
      <c r="L379" s="618"/>
      <c r="M379" s="618"/>
      <c r="N379" s="618"/>
      <c r="O379" s="618"/>
      <c r="P379" s="618"/>
      <c r="Q379" s="618"/>
      <c r="R379" s="618"/>
      <c r="S379" s="618"/>
      <c r="T379" s="618"/>
      <c r="U379" s="618"/>
      <c r="V379" s="618"/>
      <c r="W379" s="618"/>
      <c r="X379" s="618"/>
      <c r="Y379" s="618"/>
      <c r="Z379" s="618"/>
      <c r="AA379" s="618"/>
      <c r="AB379" s="618"/>
      <c r="AC379" s="618"/>
      <c r="AD379" s="618"/>
      <c r="AE379" s="618"/>
      <c r="AF379" s="618"/>
      <c r="AG379" s="618"/>
      <c r="AH379" s="618"/>
      <c r="AI379" s="618"/>
      <c r="AJ379" s="618"/>
      <c r="AK379" s="618"/>
      <c r="AL379" s="618"/>
      <c r="AM379" s="3"/>
    </row>
    <row r="380" spans="1:39" ht="14.25" customHeight="1" x14ac:dyDescent="0.45">
      <c r="A380" s="618"/>
      <c r="B380" s="215"/>
      <c r="C380" s="220"/>
      <c r="D380" s="228" t="s">
        <v>173</v>
      </c>
      <c r="E380" s="229">
        <v>27.737653219489321</v>
      </c>
      <c r="F380" s="229">
        <v>32.205904521410908</v>
      </c>
      <c r="G380" s="229">
        <v>29.053203455455574</v>
      </c>
      <c r="H380" s="294">
        <f>Electricidad!H338</f>
        <v>31.319432746924779</v>
      </c>
      <c r="I380" s="618"/>
      <c r="J380" s="618"/>
      <c r="K380" s="618"/>
      <c r="L380" s="618"/>
      <c r="M380" s="618"/>
      <c r="N380" s="618"/>
      <c r="O380" s="618"/>
      <c r="P380" s="618"/>
      <c r="Q380" s="618"/>
      <c r="R380" s="618"/>
      <c r="S380" s="618"/>
      <c r="T380" s="618"/>
      <c r="U380" s="618"/>
      <c r="V380" s="618"/>
      <c r="W380" s="618"/>
      <c r="X380" s="618"/>
      <c r="Y380" s="618"/>
      <c r="Z380" s="618"/>
      <c r="AA380" s="618"/>
      <c r="AB380" s="618"/>
      <c r="AC380" s="618"/>
      <c r="AD380" s="618"/>
      <c r="AE380" s="618"/>
      <c r="AF380" s="618"/>
      <c r="AG380" s="618"/>
      <c r="AH380" s="618"/>
      <c r="AI380" s="618"/>
      <c r="AJ380" s="618"/>
      <c r="AK380" s="618"/>
      <c r="AL380" s="618"/>
      <c r="AM380" s="3"/>
    </row>
    <row r="381" spans="1:39" ht="14.25" customHeight="1" x14ac:dyDescent="0.45">
      <c r="A381" s="618"/>
      <c r="B381" s="215"/>
      <c r="C381" s="220"/>
      <c r="D381" s="228" t="s">
        <v>176</v>
      </c>
      <c r="E381" s="229">
        <v>46.65654773989948</v>
      </c>
      <c r="F381" s="229">
        <v>56.444524385919557</v>
      </c>
      <c r="G381" s="229">
        <v>58.491655828171581</v>
      </c>
      <c r="H381" s="294">
        <f>Electricidad!H339</f>
        <v>60.691399656204425</v>
      </c>
      <c r="I381" s="618"/>
      <c r="J381" s="618"/>
      <c r="K381" s="618"/>
      <c r="L381" s="618"/>
      <c r="M381" s="618"/>
      <c r="N381" s="618"/>
      <c r="O381" s="618"/>
      <c r="P381" s="618"/>
      <c r="Q381" s="618"/>
      <c r="R381" s="618"/>
      <c r="S381" s="618"/>
      <c r="T381" s="618"/>
      <c r="U381" s="618"/>
      <c r="V381" s="618"/>
      <c r="W381" s="618"/>
      <c r="X381" s="618"/>
      <c r="Y381" s="618"/>
      <c r="Z381" s="618"/>
      <c r="AA381" s="618"/>
      <c r="AB381" s="618"/>
      <c r="AC381" s="618"/>
      <c r="AD381" s="618"/>
      <c r="AE381" s="618"/>
      <c r="AF381" s="618"/>
      <c r="AG381" s="618"/>
      <c r="AH381" s="618"/>
      <c r="AI381" s="618"/>
      <c r="AJ381" s="618"/>
      <c r="AK381" s="618"/>
      <c r="AL381" s="618"/>
      <c r="AM381" s="3"/>
    </row>
    <row r="382" spans="1:39" ht="14.25" customHeight="1" x14ac:dyDescent="0.45">
      <c r="A382" s="618"/>
      <c r="B382" s="215"/>
      <c r="C382" s="220"/>
      <c r="D382" s="224" t="s">
        <v>342</v>
      </c>
      <c r="E382" s="295">
        <v>0.1370053864322506</v>
      </c>
      <c r="F382" s="295">
        <v>0.13539036017582318</v>
      </c>
      <c r="G382" s="295">
        <v>0.13591883245652406</v>
      </c>
      <c r="H382" s="294">
        <f>Electricidad!H340</f>
        <v>0.13262911693782733</v>
      </c>
      <c r="I382" s="618"/>
      <c r="J382" s="618"/>
      <c r="K382" s="618"/>
      <c r="L382" s="618"/>
      <c r="M382" s="618"/>
      <c r="N382" s="618"/>
      <c r="O382" s="618"/>
      <c r="P382" s="618"/>
      <c r="Q382" s="618"/>
      <c r="R382" s="618"/>
      <c r="S382" s="618"/>
      <c r="T382" s="618"/>
      <c r="U382" s="618"/>
      <c r="V382" s="618"/>
      <c r="W382" s="618"/>
      <c r="X382" s="618"/>
      <c r="Y382" s="618"/>
      <c r="Z382" s="618"/>
      <c r="AA382" s="618"/>
      <c r="AB382" s="618"/>
      <c r="AC382" s="618"/>
      <c r="AD382" s="618"/>
      <c r="AE382" s="618"/>
      <c r="AF382" s="618"/>
      <c r="AG382" s="618"/>
      <c r="AH382" s="618"/>
      <c r="AI382" s="618"/>
      <c r="AJ382" s="618"/>
      <c r="AK382" s="618"/>
      <c r="AL382" s="618"/>
      <c r="AM382" s="3"/>
    </row>
    <row r="383" spans="1:39" ht="14.25" customHeight="1" x14ac:dyDescent="0.45">
      <c r="A383" s="618"/>
      <c r="B383" s="215"/>
      <c r="C383" s="220"/>
      <c r="D383" s="224" t="s">
        <v>343</v>
      </c>
      <c r="E383" s="295">
        <v>28.85092373738145</v>
      </c>
      <c r="F383" s="295">
        <v>25.420264924056955</v>
      </c>
      <c r="G383" s="295">
        <v>22.771166533324376</v>
      </c>
      <c r="H383" s="294">
        <f>Electricidad!H341</f>
        <v>22.012632718010565</v>
      </c>
      <c r="I383" s="618"/>
      <c r="J383" s="618"/>
      <c r="K383" s="618"/>
      <c r="L383" s="618"/>
      <c r="M383" s="618"/>
      <c r="N383" s="618"/>
      <c r="O383" s="618"/>
      <c r="P383" s="618"/>
      <c r="Q383" s="618"/>
      <c r="R383" s="618"/>
      <c r="S383" s="618"/>
      <c r="T383" s="618"/>
      <c r="U383" s="618"/>
      <c r="V383" s="618"/>
      <c r="W383" s="618"/>
      <c r="X383" s="618"/>
      <c r="Y383" s="618"/>
      <c r="Z383" s="618"/>
      <c r="AA383" s="618"/>
      <c r="AB383" s="618"/>
      <c r="AC383" s="618"/>
      <c r="AD383" s="618"/>
      <c r="AE383" s="618"/>
      <c r="AF383" s="618"/>
      <c r="AG383" s="618"/>
      <c r="AH383" s="618"/>
      <c r="AI383" s="618"/>
      <c r="AJ383" s="618"/>
      <c r="AK383" s="618"/>
      <c r="AL383" s="618"/>
      <c r="AM383" s="3"/>
    </row>
    <row r="384" spans="1:39" ht="14.25" customHeight="1" x14ac:dyDescent="0.45">
      <c r="A384" s="618"/>
      <c r="B384" s="215"/>
      <c r="C384" s="220"/>
      <c r="D384" s="228" t="s">
        <v>180</v>
      </c>
      <c r="E384" s="229">
        <v>17.783066305866768</v>
      </c>
      <c r="F384" s="229">
        <v>16.539100904552505</v>
      </c>
      <c r="G384" s="229">
        <v>15.904758775644144</v>
      </c>
      <c r="H384" s="294">
        <f>Electricidad!H342</f>
        <v>15.598240113590029</v>
      </c>
      <c r="I384" s="618"/>
      <c r="J384" s="618"/>
      <c r="K384" s="618"/>
      <c r="L384" s="618"/>
      <c r="M384" s="618"/>
      <c r="N384" s="618"/>
      <c r="O384" s="618"/>
      <c r="P384" s="618"/>
      <c r="Q384" s="618"/>
      <c r="R384" s="618"/>
      <c r="S384" s="618"/>
      <c r="T384" s="618"/>
      <c r="U384" s="618"/>
      <c r="V384" s="618"/>
      <c r="W384" s="618"/>
      <c r="X384" s="618"/>
      <c r="Y384" s="618"/>
      <c r="Z384" s="618"/>
      <c r="AA384" s="618"/>
      <c r="AB384" s="618"/>
      <c r="AC384" s="618"/>
      <c r="AD384" s="618"/>
      <c r="AE384" s="618"/>
      <c r="AF384" s="618"/>
      <c r="AG384" s="618"/>
      <c r="AH384" s="618"/>
      <c r="AI384" s="618"/>
      <c r="AJ384" s="618"/>
      <c r="AK384" s="618"/>
      <c r="AL384" s="618"/>
      <c r="AM384" s="3"/>
    </row>
    <row r="385" spans="1:57" ht="14.25" customHeight="1" x14ac:dyDescent="0.45">
      <c r="A385" s="618"/>
      <c r="B385" s="215"/>
      <c r="C385" s="220"/>
      <c r="D385" s="228" t="s">
        <v>188</v>
      </c>
      <c r="E385" s="229">
        <v>4.8152341705814878</v>
      </c>
      <c r="F385" s="229">
        <v>4.3430085960360021</v>
      </c>
      <c r="G385" s="229">
        <v>3.5369496412052293</v>
      </c>
      <c r="H385" s="294">
        <f>Electricidad!H343</f>
        <v>3.2805018971230027</v>
      </c>
      <c r="I385" s="618"/>
      <c r="J385" s="618"/>
      <c r="K385" s="618"/>
      <c r="L385" s="618"/>
      <c r="M385" s="618"/>
      <c r="N385" s="618"/>
      <c r="O385" s="618"/>
      <c r="P385" s="618"/>
      <c r="Q385" s="618"/>
      <c r="R385" s="618"/>
      <c r="S385" s="618"/>
      <c r="T385" s="618"/>
      <c r="U385" s="618"/>
      <c r="V385" s="618"/>
      <c r="W385" s="618"/>
      <c r="X385" s="618"/>
      <c r="Y385" s="618"/>
      <c r="Z385" s="618"/>
      <c r="AA385" s="618"/>
      <c r="AB385" s="618"/>
      <c r="AC385" s="618"/>
      <c r="AD385" s="618"/>
      <c r="AE385" s="618"/>
      <c r="AF385" s="618"/>
      <c r="AG385" s="618"/>
      <c r="AH385" s="618"/>
      <c r="AI385" s="618"/>
      <c r="AJ385" s="618"/>
      <c r="AK385" s="618"/>
      <c r="AL385" s="3"/>
      <c r="AM385" s="3"/>
    </row>
    <row r="386" spans="1:57" ht="14.25" customHeight="1" x14ac:dyDescent="0.45">
      <c r="A386" s="618"/>
      <c r="B386" s="215"/>
      <c r="C386" s="220"/>
      <c r="D386" s="228" t="s">
        <v>193</v>
      </c>
      <c r="E386" s="229">
        <v>6.2526232609331931</v>
      </c>
      <c r="F386" s="229">
        <v>4.5381554234684494</v>
      </c>
      <c r="G386" s="229">
        <v>3.3294581164750046</v>
      </c>
      <c r="H386" s="294">
        <f>Electricidad!H344</f>
        <v>3.1338907072975308</v>
      </c>
      <c r="I386" s="618"/>
      <c r="J386" s="618"/>
      <c r="K386" s="618"/>
      <c r="L386" s="618"/>
      <c r="M386" s="618"/>
      <c r="N386" s="618"/>
      <c r="O386" s="618"/>
      <c r="P386" s="618"/>
      <c r="Q386" s="618"/>
      <c r="R386" s="618"/>
      <c r="S386" s="618"/>
      <c r="T386" s="618"/>
      <c r="U386" s="618"/>
      <c r="V386" s="618"/>
      <c r="W386" s="618"/>
      <c r="X386" s="618"/>
      <c r="Y386" s="618"/>
      <c r="Z386" s="618"/>
      <c r="AA386" s="618"/>
      <c r="AB386" s="618"/>
      <c r="AC386" s="618"/>
      <c r="AD386" s="618"/>
      <c r="AE386" s="618"/>
      <c r="AF386" s="618"/>
      <c r="AG386" s="618"/>
      <c r="AH386" s="618"/>
      <c r="AI386" s="618"/>
      <c r="AJ386" s="618"/>
      <c r="AK386" s="618"/>
      <c r="AL386" s="3"/>
      <c r="AM386" s="3"/>
      <c r="AN386" s="3"/>
      <c r="AO386" s="3"/>
      <c r="AP386" s="3"/>
      <c r="AQ386" s="3"/>
      <c r="AR386" s="3"/>
      <c r="AS386" s="3"/>
      <c r="AT386" s="3"/>
      <c r="AU386" s="3"/>
      <c r="AV386" s="3"/>
      <c r="AW386" s="3"/>
      <c r="AX386" s="3"/>
      <c r="AY386" s="3"/>
      <c r="AZ386" s="3"/>
      <c r="BA386" s="3"/>
      <c r="BB386" s="3"/>
      <c r="BC386" s="3"/>
      <c r="BD386" s="3"/>
      <c r="BE386" s="3"/>
    </row>
    <row r="387" spans="1:57" ht="14.25" customHeight="1" x14ac:dyDescent="0.45">
      <c r="A387" s="618"/>
      <c r="B387" s="215"/>
      <c r="C387" s="220"/>
      <c r="D387" s="224" t="s">
        <v>347</v>
      </c>
      <c r="E387" s="295">
        <v>0.16380518034114624</v>
      </c>
      <c r="F387" s="295">
        <v>0.1480830490411065</v>
      </c>
      <c r="G387" s="295">
        <v>0.15826465809811166</v>
      </c>
      <c r="H387" s="294">
        <f>Electricidad!H345</f>
        <v>0.15157285850587507</v>
      </c>
      <c r="I387" s="618"/>
      <c r="J387" s="618"/>
      <c r="K387" s="618"/>
      <c r="L387" s="618"/>
      <c r="M387" s="618"/>
      <c r="N387" s="618"/>
      <c r="O387" s="618"/>
      <c r="P387" s="618"/>
      <c r="Q387" s="618"/>
      <c r="R387" s="618"/>
      <c r="S387" s="618"/>
      <c r="T387" s="618"/>
      <c r="U387" s="618"/>
      <c r="V387" s="618"/>
      <c r="W387" s="618"/>
      <c r="X387" s="618"/>
      <c r="Y387" s="618"/>
      <c r="Z387" s="618"/>
      <c r="AA387" s="618"/>
      <c r="AB387" s="618"/>
      <c r="AC387" s="618"/>
      <c r="AD387" s="618"/>
      <c r="AE387" s="618"/>
      <c r="AF387" s="618"/>
      <c r="AG387" s="618"/>
      <c r="AH387" s="618"/>
      <c r="AI387" s="618"/>
      <c r="AJ387" s="618"/>
      <c r="AK387" s="618"/>
      <c r="AL387" s="3"/>
      <c r="AM387" s="3"/>
      <c r="AN387" s="3"/>
      <c r="AO387" s="3"/>
      <c r="AP387" s="3"/>
      <c r="AQ387" s="3"/>
      <c r="AR387" s="3"/>
      <c r="AS387" s="3"/>
      <c r="AT387" s="3"/>
      <c r="AU387" s="3"/>
      <c r="AV387" s="3"/>
      <c r="AW387" s="3"/>
      <c r="AX387" s="3"/>
      <c r="AY387" s="3"/>
      <c r="AZ387" s="3"/>
      <c r="BA387" s="3"/>
      <c r="BB387" s="3"/>
      <c r="BC387" s="3"/>
      <c r="BD387" s="3"/>
      <c r="BE387" s="3"/>
    </row>
    <row r="388" spans="1:57" ht="14.25" customHeight="1" x14ac:dyDescent="0.45">
      <c r="A388" s="618"/>
      <c r="B388" s="258"/>
      <c r="C388" s="259"/>
      <c r="D388" s="316" t="s">
        <v>59</v>
      </c>
      <c r="E388" s="317">
        <v>105.21059517318535</v>
      </c>
      <c r="F388" s="317">
        <v>116.1497499786683</v>
      </c>
      <c r="G388" s="317">
        <v>112.422356156364</v>
      </c>
      <c r="H388" s="294">
        <f>Electricidad!H346</f>
        <v>115.87199336333045</v>
      </c>
      <c r="I388" s="618"/>
      <c r="J388" s="618"/>
      <c r="K388" s="618"/>
      <c r="L388" s="618"/>
      <c r="M388" s="618"/>
      <c r="N388" s="618"/>
      <c r="O388" s="618"/>
      <c r="P388" s="618"/>
      <c r="Q388" s="618"/>
      <c r="R388" s="618"/>
      <c r="S388" s="618"/>
      <c r="T388" s="618"/>
      <c r="U388" s="618"/>
      <c r="V388" s="618"/>
      <c r="W388" s="618"/>
      <c r="X388" s="618"/>
      <c r="Y388" s="618"/>
      <c r="Z388" s="618"/>
      <c r="AA388" s="618"/>
      <c r="AB388" s="618"/>
      <c r="AC388" s="618"/>
      <c r="AD388" s="618"/>
      <c r="AE388" s="618"/>
      <c r="AF388" s="618"/>
      <c r="AG388" s="618"/>
      <c r="AH388" s="618"/>
      <c r="AI388" s="618"/>
      <c r="AJ388" s="618"/>
      <c r="AK388" s="618"/>
      <c r="AL388" s="3"/>
      <c r="AM388" s="3"/>
      <c r="AN388" s="3"/>
      <c r="AO388" s="3"/>
      <c r="AP388" s="3"/>
      <c r="AQ388" s="3"/>
      <c r="AR388" s="3"/>
      <c r="AS388" s="3"/>
      <c r="AT388" s="3"/>
      <c r="AU388" s="3"/>
      <c r="AV388" s="3"/>
      <c r="AW388" s="3"/>
      <c r="AX388" s="3"/>
      <c r="AY388" s="3"/>
      <c r="AZ388" s="3"/>
      <c r="BA388" s="3"/>
      <c r="BB388" s="3"/>
      <c r="BC388" s="3"/>
      <c r="BD388" s="3"/>
      <c r="BE388" s="3"/>
    </row>
    <row r="389" spans="1:57" ht="16.5" customHeight="1" x14ac:dyDescent="0.45">
      <c r="A389" s="1"/>
      <c r="B389" s="1"/>
      <c r="C389" s="1"/>
      <c r="D389" s="55"/>
      <c r="E389" s="55"/>
      <c r="F389" s="55"/>
      <c r="G389" s="55"/>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3"/>
      <c r="AN389" s="3"/>
      <c r="AO389" s="3"/>
      <c r="AP389" s="3"/>
      <c r="AQ389" s="3"/>
      <c r="AR389" s="3"/>
      <c r="AS389" s="3"/>
      <c r="AT389" s="3"/>
      <c r="AU389" s="3"/>
      <c r="AV389" s="3"/>
      <c r="AW389" s="3"/>
      <c r="AX389" s="3"/>
      <c r="AY389" s="3"/>
      <c r="AZ389" s="3"/>
      <c r="BA389" s="3"/>
      <c r="BB389" s="3"/>
      <c r="BC389" s="3"/>
      <c r="BD389" s="3"/>
      <c r="BE389" s="3"/>
    </row>
    <row r="390" spans="1:57" ht="16.5" customHeight="1" x14ac:dyDescent="0.45">
      <c r="A390" s="1"/>
      <c r="B390" s="1"/>
      <c r="C390" s="1"/>
      <c r="D390" s="55"/>
      <c r="E390" s="55"/>
      <c r="F390" s="55"/>
      <c r="G390" s="55"/>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3"/>
      <c r="AN390" s="3"/>
      <c r="AO390" s="3"/>
      <c r="AP390" s="3"/>
      <c r="AQ390" s="3"/>
      <c r="AR390" s="3"/>
      <c r="AS390" s="3"/>
      <c r="AT390" s="3"/>
      <c r="AU390" s="3"/>
      <c r="AV390" s="3"/>
      <c r="AW390" s="3"/>
      <c r="AX390" s="3"/>
      <c r="AY390" s="3"/>
      <c r="AZ390" s="3"/>
      <c r="BA390" s="3"/>
      <c r="BB390" s="3"/>
      <c r="BC390" s="3"/>
      <c r="BD390" s="3"/>
      <c r="BE390" s="3"/>
    </row>
    <row r="391" spans="1:57" ht="16.5" customHeight="1" x14ac:dyDescent="0.45">
      <c r="A391" s="1"/>
      <c r="B391" s="1"/>
      <c r="C391" s="1"/>
      <c r="D391" s="55" t="s">
        <v>471</v>
      </c>
      <c r="E391" s="618">
        <v>103.049872078882</v>
      </c>
      <c r="F391" s="618">
        <v>114.69072230717089</v>
      </c>
      <c r="G391" s="618">
        <v>110.69952109857738</v>
      </c>
      <c r="H391" s="618">
        <v>113.52246943274504</v>
      </c>
      <c r="I391" s="618">
        <v>115.82874600266</v>
      </c>
      <c r="J391" s="618">
        <v>118.66675208130975</v>
      </c>
      <c r="K391" s="618">
        <v>121.71544385132638</v>
      </c>
      <c r="L391" s="618">
        <v>124.29055411982328</v>
      </c>
      <c r="M391" s="618">
        <v>126.83774835397161</v>
      </c>
      <c r="N391" s="618">
        <v>129.9335260812519</v>
      </c>
      <c r="O391" s="618">
        <v>133.1201985564195</v>
      </c>
      <c r="P391" s="618">
        <v>135.34794978839281</v>
      </c>
      <c r="Q391" s="618">
        <v>138.20890797463019</v>
      </c>
      <c r="R391" s="618">
        <v>141.53903988875226</v>
      </c>
      <c r="S391" s="618">
        <v>144.60501547733043</v>
      </c>
      <c r="T391" s="618">
        <v>147.81779667188866</v>
      </c>
      <c r="U391" s="618">
        <v>150.87335537568077</v>
      </c>
      <c r="V391" s="618">
        <v>153.64237163828295</v>
      </c>
      <c r="W391" s="618">
        <v>156.98697285130987</v>
      </c>
      <c r="X391" s="618">
        <v>159.75257659794087</v>
      </c>
      <c r="Y391" s="618">
        <v>162.92469576798152</v>
      </c>
      <c r="Z391" s="618">
        <v>166.09599959319684</v>
      </c>
      <c r="AA391" s="618">
        <v>169.25034167421853</v>
      </c>
      <c r="AB391" s="618">
        <v>172.22914457251051</v>
      </c>
      <c r="AC391" s="618">
        <v>175.39145985768792</v>
      </c>
      <c r="AD391" s="618">
        <v>177.75072709622697</v>
      </c>
      <c r="AE391" s="618">
        <v>180.91563344620414</v>
      </c>
      <c r="AF391" s="618">
        <v>183.48823601493854</v>
      </c>
      <c r="AG391" s="618">
        <v>186.84693061120086</v>
      </c>
      <c r="AH391" s="618">
        <v>189.47040522199299</v>
      </c>
      <c r="AI391" s="618">
        <v>192.17713360532679</v>
      </c>
      <c r="AJ391" s="618">
        <v>194.84006078283932</v>
      </c>
      <c r="AK391" s="618">
        <v>197.61306524679856</v>
      </c>
      <c r="AL391" s="1">
        <v>203.33008417492519</v>
      </c>
      <c r="AM391" s="3">
        <v>206.30372155268932</v>
      </c>
      <c r="AN391" s="3">
        <v>209.30105325218861</v>
      </c>
      <c r="AO391" s="3">
        <v>212.28653779082032</v>
      </c>
      <c r="AP391" s="3">
        <v>215.36679961639265</v>
      </c>
      <c r="AQ391" s="3">
        <v>218.42336712022984</v>
      </c>
      <c r="AR391" s="3">
        <v>221.47993462406706</v>
      </c>
      <c r="AS391" s="3">
        <v>224.53650212790427</v>
      </c>
      <c r="AT391" s="3">
        <v>227.61676395347664</v>
      </c>
      <c r="AU391" s="3">
        <v>230.74441442251941</v>
      </c>
      <c r="AV391" s="3">
        <v>233.89575921329728</v>
      </c>
      <c r="AW391" s="3">
        <v>237.09449264754554</v>
      </c>
      <c r="AX391" s="3">
        <v>240.28137892092619</v>
      </c>
      <c r="AY391" s="3">
        <v>243.50380667690959</v>
      </c>
      <c r="AZ391" s="3">
        <v>246.7617759154958</v>
      </c>
      <c r="BA391" s="3">
        <v>250.01974515408193</v>
      </c>
      <c r="BB391" s="3">
        <v>253.30140871440327</v>
      </c>
      <c r="BC391" s="3">
        <v>256.60676659645975</v>
      </c>
      <c r="BD391" s="3">
        <v>259.94766596111901</v>
      </c>
      <c r="BE391" s="3">
        <v>263.31225964751343</v>
      </c>
    </row>
    <row r="392" spans="1:57" ht="16.5" customHeight="1" x14ac:dyDescent="0.45">
      <c r="A392" s="1"/>
      <c r="B392" s="1"/>
      <c r="C392" s="1"/>
      <c r="D392" s="55" t="s">
        <v>472</v>
      </c>
      <c r="E392" s="33">
        <f t="shared" ref="E392:BE392" si="207">E391-E287-E234-E235-E241-E242-E400</f>
        <v>84.540454352020461</v>
      </c>
      <c r="F392" s="33">
        <f t="shared" si="207"/>
        <v>90.785615865030266</v>
      </c>
      <c r="G392" s="33">
        <f t="shared" si="207"/>
        <v>88.466922805610182</v>
      </c>
      <c r="H392" s="33">
        <f t="shared" si="207"/>
        <v>89.630023327223427</v>
      </c>
      <c r="I392" s="33">
        <f t="shared" si="207"/>
        <v>92.989083389921475</v>
      </c>
      <c r="J392" s="33">
        <f t="shared" si="207"/>
        <v>92.743772839580302</v>
      </c>
      <c r="K392" s="33">
        <f t="shared" si="207"/>
        <v>93.415188128288335</v>
      </c>
      <c r="L392" s="33">
        <f t="shared" si="207"/>
        <v>95.983620331024341</v>
      </c>
      <c r="M392" s="33">
        <f t="shared" si="207"/>
        <v>98.516980100959117</v>
      </c>
      <c r="N392" s="33">
        <f t="shared" si="207"/>
        <v>101.59886183549924</v>
      </c>
      <c r="O392" s="33">
        <f t="shared" si="207"/>
        <v>101.54523754731426</v>
      </c>
      <c r="P392" s="33">
        <f t="shared" si="207"/>
        <v>103.75891376286819</v>
      </c>
      <c r="Q392" s="33">
        <f t="shared" si="207"/>
        <v>106.60566548932948</v>
      </c>
      <c r="R392" s="33">
        <f t="shared" si="207"/>
        <v>108.52474596168219</v>
      </c>
      <c r="S392" s="33">
        <f t="shared" si="207"/>
        <v>111.57960366984886</v>
      </c>
      <c r="T392" s="33">
        <f t="shared" si="207"/>
        <v>114.7811771679896</v>
      </c>
      <c r="U392" s="33">
        <f t="shared" si="207"/>
        <v>117.82546925397847</v>
      </c>
      <c r="V392" s="33">
        <f t="shared" si="207"/>
        <v>120.5831801827342</v>
      </c>
      <c r="W392" s="33">
        <f t="shared" si="207"/>
        <v>123.91642435361896</v>
      </c>
      <c r="X392" s="33">
        <f t="shared" si="207"/>
        <v>126.67065437240569</v>
      </c>
      <c r="Y392" s="33">
        <f t="shared" si="207"/>
        <v>129.83135531939635</v>
      </c>
      <c r="Z392" s="33">
        <f t="shared" si="207"/>
        <v>132.99118712755322</v>
      </c>
      <c r="AA392" s="33">
        <f t="shared" si="207"/>
        <v>136.13407591947905</v>
      </c>
      <c r="AB392" s="33">
        <f t="shared" si="207"/>
        <v>139.10306278410039</v>
      </c>
      <c r="AC392" s="33">
        <f t="shared" si="207"/>
        <v>142.25562673615534</v>
      </c>
      <c r="AD392" s="33">
        <f t="shared" si="207"/>
        <v>144.60514212014371</v>
      </c>
      <c r="AE392" s="33">
        <f t="shared" si="207"/>
        <v>147.76040889644085</v>
      </c>
      <c r="AF392" s="33">
        <f t="shared" si="207"/>
        <v>150.32347530808661</v>
      </c>
      <c r="AG392" s="33">
        <f t="shared" si="207"/>
        <v>153.67275006919942</v>
      </c>
      <c r="AH392" s="33">
        <f t="shared" si="207"/>
        <v>156.28695214830626</v>
      </c>
      <c r="AI392" s="33">
        <f t="shared" si="207"/>
        <v>158.98455973555858</v>
      </c>
      <c r="AJ392" s="33">
        <f t="shared" si="207"/>
        <v>161.6384845680939</v>
      </c>
      <c r="AK392" s="33">
        <f t="shared" si="207"/>
        <v>164.4026469393402</v>
      </c>
      <c r="AL392" s="33">
        <f t="shared" si="207"/>
        <v>170.0984490640376</v>
      </c>
      <c r="AM392" s="33">
        <f t="shared" si="207"/>
        <v>173.06103149189445</v>
      </c>
      <c r="AN392" s="33">
        <f t="shared" si="207"/>
        <v>176.04730824148646</v>
      </c>
      <c r="AO392" s="33">
        <f t="shared" si="207"/>
        <v>179.0217378302109</v>
      </c>
      <c r="AP392" s="33">
        <f t="shared" si="207"/>
        <v>182.09094470587596</v>
      </c>
      <c r="AQ392" s="33">
        <f t="shared" si="207"/>
        <v>185.13645725980589</v>
      </c>
      <c r="AR392" s="33">
        <f t="shared" si="207"/>
        <v>188.18196981373583</v>
      </c>
      <c r="AS392" s="33">
        <f t="shared" si="207"/>
        <v>191.22748236766577</v>
      </c>
      <c r="AT392" s="33">
        <f t="shared" si="207"/>
        <v>194.29668924333086</v>
      </c>
      <c r="AU392" s="33">
        <f t="shared" si="207"/>
        <v>197.41328476246639</v>
      </c>
      <c r="AV392" s="33">
        <f t="shared" si="207"/>
        <v>200.55357460333698</v>
      </c>
      <c r="AW392" s="33">
        <f t="shared" si="207"/>
        <v>203.74125308767796</v>
      </c>
      <c r="AX392" s="33">
        <f t="shared" si="207"/>
        <v>206.91708441115134</v>
      </c>
      <c r="AY392" s="33">
        <f t="shared" si="207"/>
        <v>210.12845721722749</v>
      </c>
      <c r="AZ392" s="33">
        <f t="shared" si="207"/>
        <v>213.37537150590643</v>
      </c>
      <c r="BA392" s="33">
        <f t="shared" si="207"/>
        <v>216.62228579458528</v>
      </c>
      <c r="BB392" s="33">
        <f t="shared" si="207"/>
        <v>219.89289440499934</v>
      </c>
      <c r="BC392" s="33">
        <f t="shared" si="207"/>
        <v>223.18719733714858</v>
      </c>
      <c r="BD392" s="33">
        <f t="shared" si="207"/>
        <v>226.51704175190056</v>
      </c>
      <c r="BE392" s="33">
        <f t="shared" si="207"/>
        <v>229.8705804883877</v>
      </c>
    </row>
    <row r="393" spans="1:57" ht="16.5" customHeight="1" x14ac:dyDescent="0.45">
      <c r="A393" s="1"/>
      <c r="B393" s="1"/>
      <c r="C393" s="1"/>
      <c r="D393" s="55" t="s">
        <v>473</v>
      </c>
      <c r="E393" s="33">
        <f t="shared" ref="E393:BE393" si="208">E392-(E403+E415+E416+E418+E420+E421+E423+E426+E404+E412)/0.99</f>
        <v>67.580959402525508</v>
      </c>
      <c r="F393" s="33">
        <f t="shared" si="208"/>
        <v>78.031474450888851</v>
      </c>
      <c r="G393" s="33">
        <f t="shared" si="208"/>
        <v>77.717932906620277</v>
      </c>
      <c r="H393" s="33">
        <f t="shared" si="208"/>
        <v>80.211235448435545</v>
      </c>
      <c r="I393" s="33">
        <f t="shared" si="208"/>
        <v>80.057568238406319</v>
      </c>
      <c r="J393" s="33">
        <f t="shared" si="208"/>
        <v>79.846601122408586</v>
      </c>
      <c r="K393" s="33">
        <f t="shared" si="208"/>
        <v>80.424481057581261</v>
      </c>
      <c r="L393" s="33">
        <f t="shared" si="208"/>
        <v>82.635640533044551</v>
      </c>
      <c r="M393" s="33">
        <f t="shared" si="208"/>
        <v>84.816778080757103</v>
      </c>
      <c r="N393" s="33">
        <f t="shared" si="208"/>
        <v>87.47007395671136</v>
      </c>
      <c r="O393" s="33">
        <f t="shared" si="208"/>
        <v>87.423924416001128</v>
      </c>
      <c r="P393" s="33">
        <f t="shared" si="208"/>
        <v>89.329822853777287</v>
      </c>
      <c r="Q393" s="33">
        <f t="shared" si="208"/>
        <v>91.780715994379989</v>
      </c>
      <c r="R393" s="33">
        <f t="shared" si="208"/>
        <v>93.432927779864002</v>
      </c>
      <c r="S393" s="33">
        <f t="shared" si="208"/>
        <v>96.062937003182199</v>
      </c>
      <c r="T393" s="33">
        <f t="shared" si="208"/>
        <v>98.819055955868379</v>
      </c>
      <c r="U393" s="33">
        <f t="shared" si="208"/>
        <v>101.44021672872594</v>
      </c>
      <c r="V393" s="33">
        <f t="shared" si="208"/>
        <v>103.81459432414835</v>
      </c>
      <c r="W393" s="33">
        <f t="shared" si="208"/>
        <v>106.68430314149775</v>
      </c>
      <c r="X393" s="33">
        <f t="shared" si="208"/>
        <v>109.05519982695115</v>
      </c>
      <c r="Y393" s="33">
        <f t="shared" si="208"/>
        <v>111.77660784464888</v>
      </c>
      <c r="Z393" s="33">
        <f t="shared" si="208"/>
        <v>114.49694470331079</v>
      </c>
      <c r="AA393" s="33">
        <f t="shared" si="208"/>
        <v>117.20286379826692</v>
      </c>
      <c r="AB393" s="33">
        <f t="shared" si="208"/>
        <v>119.75892136995898</v>
      </c>
      <c r="AC393" s="33">
        <f t="shared" si="208"/>
        <v>122.47300047352907</v>
      </c>
      <c r="AD393" s="33">
        <f t="shared" si="208"/>
        <v>124.49584919085078</v>
      </c>
      <c r="AE393" s="33">
        <f t="shared" si="208"/>
        <v>127.21242909846106</v>
      </c>
      <c r="AF393" s="33">
        <f t="shared" si="208"/>
        <v>129.41872783333915</v>
      </c>
      <c r="AG393" s="33">
        <f t="shared" si="208"/>
        <v>132.3023460287954</v>
      </c>
      <c r="AH393" s="33">
        <f t="shared" si="208"/>
        <v>134.55291174426586</v>
      </c>
      <c r="AI393" s="33">
        <f t="shared" si="208"/>
        <v>136.87577185677071</v>
      </c>
      <c r="AJ393" s="33">
        <f t="shared" si="208"/>
        <v>139.16040376001308</v>
      </c>
      <c r="AK393" s="33">
        <f t="shared" si="208"/>
        <v>141.54012168681496</v>
      </c>
      <c r="AL393" s="33">
        <f t="shared" si="208"/>
        <v>146.44380259939112</v>
      </c>
      <c r="AM393" s="33">
        <f t="shared" si="208"/>
        <v>148.9945668454298</v>
      </c>
      <c r="AN393" s="33">
        <f t="shared" si="208"/>
        <v>151.5656920798703</v>
      </c>
      <c r="AO393" s="33">
        <f t="shared" si="208"/>
        <v>154.12628328475637</v>
      </c>
      <c r="AP393" s="33">
        <f t="shared" si="208"/>
        <v>156.76872248365373</v>
      </c>
      <c r="AQ393" s="33">
        <f t="shared" si="208"/>
        <v>159.3905986739473</v>
      </c>
      <c r="AR393" s="33">
        <f t="shared" si="208"/>
        <v>162.01257587434191</v>
      </c>
      <c r="AS393" s="33">
        <f t="shared" si="208"/>
        <v>164.6347550949385</v>
      </c>
      <c r="AT393" s="33">
        <f t="shared" si="208"/>
        <v>167.2770932837349</v>
      </c>
      <c r="AU393" s="33">
        <f t="shared" si="208"/>
        <v>169.96035546953709</v>
      </c>
      <c r="AV393" s="33">
        <f t="shared" si="208"/>
        <v>172.66377662353901</v>
      </c>
      <c r="AW393" s="33">
        <f t="shared" si="208"/>
        <v>175.40822278464765</v>
      </c>
      <c r="AX393" s="33">
        <f t="shared" si="208"/>
        <v>178.14243794650488</v>
      </c>
      <c r="AY393" s="33">
        <f t="shared" si="208"/>
        <v>180.90714408591435</v>
      </c>
      <c r="AZ393" s="33">
        <f t="shared" si="208"/>
        <v>183.70244221297713</v>
      </c>
      <c r="BA393" s="33">
        <f t="shared" si="208"/>
        <v>186.49784135014085</v>
      </c>
      <c r="BB393" s="33">
        <f t="shared" si="208"/>
        <v>189.31380349590842</v>
      </c>
      <c r="BC393" s="33">
        <f t="shared" si="208"/>
        <v>192.15002561997687</v>
      </c>
      <c r="BD393" s="33">
        <f t="shared" si="208"/>
        <v>195.01673872159753</v>
      </c>
      <c r="BE393" s="33">
        <f t="shared" si="208"/>
        <v>197.90401483182205</v>
      </c>
    </row>
    <row r="394" spans="1:57" ht="16.5" customHeight="1" x14ac:dyDescent="0.45">
      <c r="A394" s="1"/>
      <c r="B394" s="1"/>
      <c r="C394" s="1"/>
      <c r="D394" s="61" t="s">
        <v>474</v>
      </c>
      <c r="E394" s="33"/>
      <c r="F394" s="33"/>
      <c r="G394" s="33"/>
      <c r="H394" s="33">
        <f t="shared" ref="H394:BE394" si="209">H393-G393</f>
        <v>2.4933025418152681</v>
      </c>
      <c r="I394" s="33">
        <f t="shared" si="209"/>
        <v>-0.15366721002922645</v>
      </c>
      <c r="J394" s="33">
        <f t="shared" si="209"/>
        <v>-0.21096711599773244</v>
      </c>
      <c r="K394" s="33">
        <f t="shared" si="209"/>
        <v>0.57787993517267466</v>
      </c>
      <c r="L394" s="33">
        <f t="shared" si="209"/>
        <v>2.2111594754632904</v>
      </c>
      <c r="M394" s="33">
        <f t="shared" si="209"/>
        <v>2.1811375477125523</v>
      </c>
      <c r="N394" s="33">
        <f t="shared" si="209"/>
        <v>2.6532958759542566</v>
      </c>
      <c r="O394" s="33">
        <f t="shared" si="209"/>
        <v>-4.6149540710231918E-2</v>
      </c>
      <c r="P394" s="33">
        <f t="shared" si="209"/>
        <v>1.905898437776159</v>
      </c>
      <c r="Q394" s="33">
        <f t="shared" si="209"/>
        <v>2.4508931406027017</v>
      </c>
      <c r="R394" s="33">
        <f t="shared" si="209"/>
        <v>1.6522117854840133</v>
      </c>
      <c r="S394" s="33">
        <f t="shared" si="209"/>
        <v>2.6300092233181971</v>
      </c>
      <c r="T394" s="33">
        <f t="shared" si="209"/>
        <v>2.7561189526861796</v>
      </c>
      <c r="U394" s="33">
        <f t="shared" si="209"/>
        <v>2.6211607728575643</v>
      </c>
      <c r="V394" s="33">
        <f t="shared" si="209"/>
        <v>2.374377595422402</v>
      </c>
      <c r="W394" s="33">
        <f t="shared" si="209"/>
        <v>2.8697088173494052</v>
      </c>
      <c r="X394" s="33">
        <f t="shared" si="209"/>
        <v>2.3708966854534026</v>
      </c>
      <c r="Y394" s="33">
        <f t="shared" si="209"/>
        <v>2.7214080176977262</v>
      </c>
      <c r="Z394" s="33">
        <f t="shared" si="209"/>
        <v>2.7203368586619092</v>
      </c>
      <c r="AA394" s="33">
        <f t="shared" si="209"/>
        <v>2.7059190949561298</v>
      </c>
      <c r="AB394" s="33">
        <f t="shared" si="209"/>
        <v>2.5560575716920653</v>
      </c>
      <c r="AC394" s="33">
        <f t="shared" si="209"/>
        <v>2.7140791035700857</v>
      </c>
      <c r="AD394" s="33">
        <f t="shared" si="209"/>
        <v>2.0228487173217076</v>
      </c>
      <c r="AE394" s="33">
        <f t="shared" si="209"/>
        <v>2.7165799076102815</v>
      </c>
      <c r="AF394" s="33">
        <f t="shared" si="209"/>
        <v>2.2062987348780894</v>
      </c>
      <c r="AG394" s="33">
        <f t="shared" si="209"/>
        <v>2.8836181954562505</v>
      </c>
      <c r="AH394" s="33">
        <f t="shared" si="209"/>
        <v>2.2505657154704579</v>
      </c>
      <c r="AI394" s="33">
        <f t="shared" si="209"/>
        <v>2.3228601125048556</v>
      </c>
      <c r="AJ394" s="33">
        <f t="shared" si="209"/>
        <v>2.2846319032423708</v>
      </c>
      <c r="AK394" s="33">
        <f t="shared" si="209"/>
        <v>2.3797179268018738</v>
      </c>
      <c r="AL394" s="33">
        <f t="shared" si="209"/>
        <v>4.9036809125761636</v>
      </c>
      <c r="AM394" s="33">
        <f t="shared" si="209"/>
        <v>2.5507642460386819</v>
      </c>
      <c r="AN394" s="33">
        <f t="shared" si="209"/>
        <v>2.5711252344405011</v>
      </c>
      <c r="AO394" s="33">
        <f t="shared" si="209"/>
        <v>2.560591204886066</v>
      </c>
      <c r="AP394" s="33">
        <f t="shared" si="209"/>
        <v>2.6424391988973639</v>
      </c>
      <c r="AQ394" s="33">
        <f t="shared" si="209"/>
        <v>2.6218761902935626</v>
      </c>
      <c r="AR394" s="33">
        <f t="shared" si="209"/>
        <v>2.6219772003946105</v>
      </c>
      <c r="AS394" s="33">
        <f t="shared" si="209"/>
        <v>2.6221792205965926</v>
      </c>
      <c r="AT394" s="33">
        <f t="shared" si="209"/>
        <v>2.6423381887964013</v>
      </c>
      <c r="AU394" s="33">
        <f t="shared" si="209"/>
        <v>2.6832621858021923</v>
      </c>
      <c r="AV394" s="33">
        <f t="shared" si="209"/>
        <v>2.7034211540019157</v>
      </c>
      <c r="AW394" s="33">
        <f t="shared" si="209"/>
        <v>2.744446161108641</v>
      </c>
      <c r="AX394" s="33">
        <f t="shared" si="209"/>
        <v>2.7342151618572359</v>
      </c>
      <c r="AY394" s="33">
        <f t="shared" si="209"/>
        <v>2.7647061394094692</v>
      </c>
      <c r="AZ394" s="33">
        <f t="shared" si="209"/>
        <v>2.7952981270627788</v>
      </c>
      <c r="BA394" s="33">
        <f t="shared" si="209"/>
        <v>2.795399137163713</v>
      </c>
      <c r="BB394" s="33">
        <f t="shared" si="209"/>
        <v>2.8159621457675712</v>
      </c>
      <c r="BC394" s="33">
        <f t="shared" si="209"/>
        <v>2.8362221240684562</v>
      </c>
      <c r="BD394" s="33">
        <f t="shared" si="209"/>
        <v>2.8667131016206611</v>
      </c>
      <c r="BE394" s="33">
        <f t="shared" si="209"/>
        <v>2.8872761102245192</v>
      </c>
    </row>
    <row r="395" spans="1:57" ht="16.5" customHeight="1" x14ac:dyDescent="0.45">
      <c r="A395" s="1"/>
      <c r="B395" s="1"/>
      <c r="C395" s="1"/>
      <c r="D395" s="61" t="s">
        <v>475</v>
      </c>
      <c r="E395" s="33"/>
      <c r="F395" s="33"/>
      <c r="G395" s="33"/>
      <c r="H395" s="33">
        <f t="shared" ref="H395:BE395" si="210">H394*20%</f>
        <v>0.49866050836305365</v>
      </c>
      <c r="I395" s="33">
        <f t="shared" si="210"/>
        <v>-3.0733442005845293E-2</v>
      </c>
      <c r="J395" s="33">
        <f t="shared" si="210"/>
        <v>-4.2193423199546491E-2</v>
      </c>
      <c r="K395" s="33">
        <f t="shared" si="210"/>
        <v>0.11557598703453494</v>
      </c>
      <c r="L395" s="33">
        <f t="shared" si="210"/>
        <v>0.44223189509265809</v>
      </c>
      <c r="M395" s="33">
        <f t="shared" si="210"/>
        <v>0.43622750954251049</v>
      </c>
      <c r="N395" s="33">
        <f t="shared" si="210"/>
        <v>0.53065917519085137</v>
      </c>
      <c r="O395" s="33">
        <f t="shared" si="210"/>
        <v>-9.2299081420463835E-3</v>
      </c>
      <c r="P395" s="33">
        <f t="shared" si="210"/>
        <v>0.38117968755523179</v>
      </c>
      <c r="Q395" s="33">
        <f t="shared" si="210"/>
        <v>0.49017862812054036</v>
      </c>
      <c r="R395" s="33">
        <f t="shared" si="210"/>
        <v>0.3304423570968027</v>
      </c>
      <c r="S395" s="33">
        <f t="shared" si="210"/>
        <v>0.52600184466363942</v>
      </c>
      <c r="T395" s="33">
        <f t="shared" si="210"/>
        <v>0.55122379053723591</v>
      </c>
      <c r="U395" s="33">
        <f t="shared" si="210"/>
        <v>0.52423215457151284</v>
      </c>
      <c r="V395" s="33">
        <f t="shared" si="210"/>
        <v>0.47487551908448045</v>
      </c>
      <c r="W395" s="33">
        <f t="shared" si="210"/>
        <v>0.57394176346988102</v>
      </c>
      <c r="X395" s="33">
        <f t="shared" si="210"/>
        <v>0.47417933709068055</v>
      </c>
      <c r="Y395" s="33">
        <f t="shared" si="210"/>
        <v>0.54428160353954524</v>
      </c>
      <c r="Z395" s="33">
        <f t="shared" si="210"/>
        <v>0.54406737173238184</v>
      </c>
      <c r="AA395" s="33">
        <f t="shared" si="210"/>
        <v>0.54118381899122603</v>
      </c>
      <c r="AB395" s="33">
        <f t="shared" si="210"/>
        <v>0.51121151433841305</v>
      </c>
      <c r="AC395" s="33">
        <f t="shared" si="210"/>
        <v>0.54281582071401713</v>
      </c>
      <c r="AD395" s="33">
        <f t="shared" si="210"/>
        <v>0.40456974346434155</v>
      </c>
      <c r="AE395" s="33">
        <f t="shared" si="210"/>
        <v>0.54331598152205629</v>
      </c>
      <c r="AF395" s="33">
        <f t="shared" si="210"/>
        <v>0.44125974697561787</v>
      </c>
      <c r="AG395" s="33">
        <f t="shared" si="210"/>
        <v>0.57672363909125013</v>
      </c>
      <c r="AH395" s="33">
        <f t="shared" si="210"/>
        <v>0.45011314309409162</v>
      </c>
      <c r="AI395" s="33">
        <f t="shared" si="210"/>
        <v>0.46457202250097113</v>
      </c>
      <c r="AJ395" s="33">
        <f t="shared" si="210"/>
        <v>0.45692638064847418</v>
      </c>
      <c r="AK395" s="33">
        <f t="shared" si="210"/>
        <v>0.47594358536037479</v>
      </c>
      <c r="AL395" s="33">
        <f t="shared" si="210"/>
        <v>0.98073618251523276</v>
      </c>
      <c r="AM395" s="33">
        <f t="shared" si="210"/>
        <v>0.5101528492077364</v>
      </c>
      <c r="AN395" s="33">
        <f t="shared" si="210"/>
        <v>0.51422504688810022</v>
      </c>
      <c r="AO395" s="33">
        <f t="shared" si="210"/>
        <v>0.51211824097721326</v>
      </c>
      <c r="AP395" s="33">
        <f t="shared" si="210"/>
        <v>0.52848783977947278</v>
      </c>
      <c r="AQ395" s="33">
        <f t="shared" si="210"/>
        <v>0.52437523805871256</v>
      </c>
      <c r="AR395" s="33">
        <f t="shared" si="210"/>
        <v>0.52439544007892214</v>
      </c>
      <c r="AS395" s="33">
        <f t="shared" si="210"/>
        <v>0.52443584411931854</v>
      </c>
      <c r="AT395" s="33">
        <f t="shared" si="210"/>
        <v>0.5284676377592803</v>
      </c>
      <c r="AU395" s="33">
        <f t="shared" si="210"/>
        <v>0.53665243716043853</v>
      </c>
      <c r="AV395" s="33">
        <f t="shared" si="210"/>
        <v>0.54068423080038319</v>
      </c>
      <c r="AW395" s="33">
        <f t="shared" si="210"/>
        <v>0.54888923222172825</v>
      </c>
      <c r="AX395" s="33">
        <f t="shared" si="210"/>
        <v>0.54684303237144716</v>
      </c>
      <c r="AY395" s="33">
        <f t="shared" si="210"/>
        <v>0.55294122788189382</v>
      </c>
      <c r="AZ395" s="33">
        <f t="shared" si="210"/>
        <v>0.55905962541255583</v>
      </c>
      <c r="BA395" s="33">
        <f t="shared" si="210"/>
        <v>0.55907982743274265</v>
      </c>
      <c r="BB395" s="33">
        <f t="shared" si="210"/>
        <v>0.56319242915351431</v>
      </c>
      <c r="BC395" s="33">
        <f t="shared" si="210"/>
        <v>0.56724442481369131</v>
      </c>
      <c r="BD395" s="33">
        <f t="shared" si="210"/>
        <v>0.57334262032413219</v>
      </c>
      <c r="BE395" s="33">
        <f t="shared" si="210"/>
        <v>0.57745522204490385</v>
      </c>
    </row>
    <row r="396" spans="1:57" ht="16.5" customHeight="1" x14ac:dyDescent="0.45">
      <c r="A396" s="1"/>
      <c r="B396" s="1"/>
      <c r="C396" s="1"/>
      <c r="D396" s="61" t="s">
        <v>476</v>
      </c>
      <c r="E396" s="55"/>
      <c r="F396" s="55"/>
      <c r="G396" s="55"/>
      <c r="H396" s="1">
        <f t="shared" ref="H396:BE396" si="211">H394*80%</f>
        <v>1.9946420334522146</v>
      </c>
      <c r="I396" s="393">
        <f t="shared" si="211"/>
        <v>-0.12293376802338117</v>
      </c>
      <c r="J396" s="1">
        <f t="shared" si="211"/>
        <v>-0.16877369279818596</v>
      </c>
      <c r="K396" s="1">
        <f t="shared" si="211"/>
        <v>0.46230394813813974</v>
      </c>
      <c r="L396" s="1">
        <f t="shared" si="211"/>
        <v>1.7689275803706324</v>
      </c>
      <c r="M396" s="1">
        <f t="shared" si="211"/>
        <v>1.744910038170042</v>
      </c>
      <c r="N396" s="1">
        <f t="shared" si="211"/>
        <v>2.1226367007634055</v>
      </c>
      <c r="O396" s="393">
        <f t="shared" si="211"/>
        <v>-3.6919632568185534E-2</v>
      </c>
      <c r="P396" s="1">
        <f t="shared" si="211"/>
        <v>1.5247187502209272</v>
      </c>
      <c r="Q396" s="1">
        <f t="shared" si="211"/>
        <v>1.9607145124821614</v>
      </c>
      <c r="R396" s="1">
        <f t="shared" si="211"/>
        <v>1.3217694283872108</v>
      </c>
      <c r="S396" s="1">
        <f t="shared" si="211"/>
        <v>2.1040073786545577</v>
      </c>
      <c r="T396" s="1">
        <f t="shared" si="211"/>
        <v>2.2048951621489437</v>
      </c>
      <c r="U396" s="1">
        <f t="shared" si="211"/>
        <v>2.0969286182860514</v>
      </c>
      <c r="V396" s="1">
        <f t="shared" si="211"/>
        <v>1.8995020763379218</v>
      </c>
      <c r="W396" s="1">
        <f t="shared" si="211"/>
        <v>2.2957670538795241</v>
      </c>
      <c r="X396" s="1">
        <f t="shared" si="211"/>
        <v>1.8967173483627222</v>
      </c>
      <c r="Y396" s="1">
        <f t="shared" si="211"/>
        <v>2.177126414158181</v>
      </c>
      <c r="Z396" s="1">
        <f t="shared" si="211"/>
        <v>2.1762694869295274</v>
      </c>
      <c r="AA396" s="1">
        <f t="shared" si="211"/>
        <v>2.1647352759649041</v>
      </c>
      <c r="AB396" s="1">
        <f t="shared" si="211"/>
        <v>2.0448460573536522</v>
      </c>
      <c r="AC396" s="1">
        <f t="shared" si="211"/>
        <v>2.1712632828560685</v>
      </c>
      <c r="AD396" s="1">
        <f t="shared" si="211"/>
        <v>1.6182789738573662</v>
      </c>
      <c r="AE396" s="1">
        <f t="shared" si="211"/>
        <v>2.1732639260882252</v>
      </c>
      <c r="AF396" s="1">
        <f t="shared" si="211"/>
        <v>1.7650389879024715</v>
      </c>
      <c r="AG396" s="1">
        <f t="shared" si="211"/>
        <v>2.3068945563650005</v>
      </c>
      <c r="AH396" s="1">
        <f t="shared" si="211"/>
        <v>1.8004525723763665</v>
      </c>
      <c r="AI396" s="1">
        <f t="shared" si="211"/>
        <v>1.8582880900038845</v>
      </c>
      <c r="AJ396" s="1">
        <f t="shared" si="211"/>
        <v>1.8277055225938967</v>
      </c>
      <c r="AK396" s="1">
        <f t="shared" si="211"/>
        <v>1.9037743414414992</v>
      </c>
      <c r="AL396" s="1">
        <f t="shared" si="211"/>
        <v>3.922944730060931</v>
      </c>
      <c r="AM396" s="1">
        <f t="shared" si="211"/>
        <v>2.0406113968309456</v>
      </c>
      <c r="AN396" s="1">
        <f t="shared" si="211"/>
        <v>2.0569001875524009</v>
      </c>
      <c r="AO396" s="1">
        <f t="shared" si="211"/>
        <v>2.048472963908853</v>
      </c>
      <c r="AP396" s="1">
        <f t="shared" si="211"/>
        <v>2.1139513591178911</v>
      </c>
      <c r="AQ396" s="1">
        <f t="shared" si="211"/>
        <v>2.0975009522348502</v>
      </c>
      <c r="AR396" s="1">
        <f t="shared" si="211"/>
        <v>2.0975817603156885</v>
      </c>
      <c r="AS396" s="1">
        <f t="shared" si="211"/>
        <v>2.0977433764772742</v>
      </c>
      <c r="AT396" s="1">
        <f t="shared" si="211"/>
        <v>2.1138705510371212</v>
      </c>
      <c r="AU396" s="1">
        <f t="shared" si="211"/>
        <v>2.1466097486417541</v>
      </c>
      <c r="AV396" s="1">
        <f t="shared" si="211"/>
        <v>2.1627369232015328</v>
      </c>
      <c r="AW396" s="1">
        <f t="shared" si="211"/>
        <v>2.195556928886913</v>
      </c>
      <c r="AX396" s="1">
        <f t="shared" si="211"/>
        <v>2.1873721294857886</v>
      </c>
      <c r="AY396" s="1">
        <f t="shared" si="211"/>
        <v>2.2117649115275753</v>
      </c>
      <c r="AZ396" s="1">
        <f t="shared" si="211"/>
        <v>2.2362385016502233</v>
      </c>
      <c r="BA396" s="1">
        <f t="shared" si="211"/>
        <v>2.2363193097309706</v>
      </c>
      <c r="BB396" s="1">
        <f t="shared" si="211"/>
        <v>2.2527697166140572</v>
      </c>
      <c r="BC396" s="1">
        <f t="shared" si="211"/>
        <v>2.2689776992547652</v>
      </c>
      <c r="BD396" s="1">
        <f t="shared" si="211"/>
        <v>2.2933704812965288</v>
      </c>
      <c r="BE396" s="1">
        <f t="shared" si="211"/>
        <v>2.3098208881796154</v>
      </c>
    </row>
    <row r="397" spans="1:57" ht="14.25" customHeight="1" x14ac:dyDescent="0.45">
      <c r="A397" s="618"/>
      <c r="B397" s="26"/>
      <c r="C397" s="211"/>
      <c r="D397" s="291" t="s">
        <v>477</v>
      </c>
      <c r="E397" s="271"/>
      <c r="F397" s="271"/>
      <c r="G397" s="271"/>
      <c r="H397" s="271"/>
      <c r="I397" s="271"/>
      <c r="J397" s="271"/>
      <c r="K397" s="271"/>
      <c r="L397" s="271"/>
      <c r="M397" s="271"/>
      <c r="N397" s="271"/>
      <c r="O397" s="271"/>
      <c r="P397" s="271"/>
      <c r="Q397" s="271"/>
      <c r="R397" s="271"/>
      <c r="S397" s="271"/>
      <c r="T397" s="271"/>
      <c r="U397" s="271"/>
      <c r="V397" s="271"/>
      <c r="W397" s="271"/>
      <c r="X397" s="271"/>
      <c r="Y397" s="271"/>
      <c r="Z397" s="271"/>
      <c r="AA397" s="271"/>
      <c r="AB397" s="271"/>
      <c r="AC397" s="271"/>
      <c r="AD397" s="271"/>
      <c r="AE397" s="271"/>
      <c r="AF397" s="271"/>
      <c r="AG397" s="271"/>
      <c r="AH397" s="271"/>
      <c r="AI397" s="271"/>
      <c r="AJ397" s="271"/>
      <c r="AK397" s="271"/>
      <c r="AL397" s="271"/>
      <c r="AM397" s="271"/>
      <c r="AN397" s="271"/>
      <c r="AO397" s="271"/>
      <c r="AP397" s="271"/>
      <c r="AQ397" s="271"/>
      <c r="AR397" s="271"/>
      <c r="AS397" s="271"/>
      <c r="AT397" s="271"/>
      <c r="AU397" s="271"/>
      <c r="AV397" s="271"/>
      <c r="AW397" s="271"/>
      <c r="AX397" s="271"/>
      <c r="AY397" s="271"/>
      <c r="AZ397" s="271"/>
      <c r="BA397" s="271"/>
      <c r="BB397" s="271"/>
      <c r="BC397" s="271"/>
      <c r="BD397" s="271"/>
      <c r="BE397" s="271"/>
    </row>
    <row r="398" spans="1:57" ht="14.25" customHeight="1" x14ac:dyDescent="0.45">
      <c r="A398" s="618"/>
      <c r="B398" s="215"/>
      <c r="C398" s="220"/>
      <c r="D398" s="221"/>
      <c r="E398" s="293"/>
      <c r="F398" s="293"/>
      <c r="G398" s="293"/>
      <c r="H398" s="293"/>
      <c r="I398" s="293"/>
      <c r="J398" s="293"/>
      <c r="K398" s="293"/>
      <c r="L398" s="293"/>
      <c r="M398" s="293"/>
      <c r="N398" s="293"/>
      <c r="O398" s="293"/>
      <c r="P398" s="293"/>
      <c r="Q398" s="293"/>
      <c r="R398" s="293"/>
      <c r="S398" s="293"/>
      <c r="T398" s="293"/>
      <c r="U398" s="293"/>
      <c r="V398" s="293"/>
      <c r="W398" s="293"/>
      <c r="X398" s="293"/>
      <c r="Y398" s="293"/>
      <c r="Z398" s="293"/>
      <c r="AA398" s="293"/>
      <c r="AB398" s="293"/>
      <c r="AC398" s="293"/>
      <c r="AD398" s="293"/>
      <c r="AE398" s="293"/>
      <c r="AF398" s="293"/>
      <c r="AG398" s="293"/>
      <c r="AH398" s="293"/>
      <c r="AI398" s="293"/>
      <c r="AJ398" s="293"/>
      <c r="AK398" s="293"/>
      <c r="AL398" s="293"/>
      <c r="AM398" s="293"/>
      <c r="AN398" s="293"/>
      <c r="AO398" s="293"/>
      <c r="AP398" s="293"/>
      <c r="AQ398" s="293"/>
      <c r="AR398" s="293"/>
      <c r="AS398" s="293"/>
      <c r="AT398" s="293"/>
      <c r="AU398" s="293"/>
      <c r="AV398" s="293"/>
      <c r="AW398" s="293"/>
      <c r="AX398" s="293"/>
      <c r="AY398" s="293"/>
      <c r="AZ398" s="293"/>
      <c r="BA398" s="293"/>
      <c r="BB398" s="293"/>
      <c r="BC398" s="293"/>
      <c r="BD398" s="293"/>
      <c r="BE398" s="293"/>
    </row>
    <row r="399" spans="1:57" ht="14.25" customHeight="1" x14ac:dyDescent="0.45">
      <c r="A399" s="618"/>
      <c r="B399" s="215"/>
      <c r="C399" s="220"/>
      <c r="D399" s="243" t="s">
        <v>338</v>
      </c>
      <c r="E399" s="222">
        <v>2018</v>
      </c>
      <c r="F399" s="222">
        <v>2019</v>
      </c>
      <c r="G399" s="222">
        <v>2020</v>
      </c>
      <c r="H399" s="222">
        <v>2021</v>
      </c>
      <c r="I399" s="222">
        <v>2022</v>
      </c>
      <c r="J399" s="222">
        <v>2023</v>
      </c>
      <c r="K399" s="222">
        <v>2024</v>
      </c>
      <c r="L399" s="222">
        <v>2025</v>
      </c>
      <c r="M399" s="222">
        <v>2026</v>
      </c>
      <c r="N399" s="222">
        <v>2027</v>
      </c>
      <c r="O399" s="222">
        <v>2028</v>
      </c>
      <c r="P399" s="222">
        <v>2029</v>
      </c>
      <c r="Q399" s="222">
        <v>2030</v>
      </c>
      <c r="R399" s="222">
        <v>2031</v>
      </c>
      <c r="S399" s="222">
        <v>2032</v>
      </c>
      <c r="T399" s="222">
        <v>2033</v>
      </c>
      <c r="U399" s="222">
        <v>2034</v>
      </c>
      <c r="V399" s="222">
        <v>2035</v>
      </c>
      <c r="W399" s="222">
        <v>2036</v>
      </c>
      <c r="X399" s="222">
        <v>2037</v>
      </c>
      <c r="Y399" s="222">
        <v>2038</v>
      </c>
      <c r="Z399" s="222">
        <v>2039</v>
      </c>
      <c r="AA399" s="222">
        <v>2040</v>
      </c>
      <c r="AB399" s="222">
        <v>2041</v>
      </c>
      <c r="AC399" s="222">
        <v>2042</v>
      </c>
      <c r="AD399" s="222">
        <v>2043</v>
      </c>
      <c r="AE399" s="222">
        <v>2044</v>
      </c>
      <c r="AF399" s="222">
        <v>2045</v>
      </c>
      <c r="AG399" s="222">
        <v>2046</v>
      </c>
      <c r="AH399" s="222">
        <v>2047</v>
      </c>
      <c r="AI399" s="222">
        <v>2048</v>
      </c>
      <c r="AJ399" s="222">
        <v>2049</v>
      </c>
      <c r="AK399" s="222">
        <v>2050</v>
      </c>
      <c r="AL399" s="222">
        <v>2051</v>
      </c>
      <c r="AM399" s="222">
        <v>2052</v>
      </c>
      <c r="AN399" s="222">
        <v>2053</v>
      </c>
      <c r="AO399" s="222">
        <v>2054</v>
      </c>
      <c r="AP399" s="222">
        <v>2055</v>
      </c>
      <c r="AQ399" s="222">
        <v>2056</v>
      </c>
      <c r="AR399" s="222">
        <v>2057</v>
      </c>
      <c r="AS399" s="222">
        <v>2058</v>
      </c>
      <c r="AT399" s="222">
        <v>2059</v>
      </c>
      <c r="AU399" s="222">
        <v>2060</v>
      </c>
      <c r="AV399" s="222">
        <v>2061</v>
      </c>
      <c r="AW399" s="222">
        <v>2062</v>
      </c>
      <c r="AX399" s="222">
        <v>2063</v>
      </c>
      <c r="AY399" s="222">
        <v>2064</v>
      </c>
      <c r="AZ399" s="222">
        <v>2065</v>
      </c>
      <c r="BA399" s="222">
        <v>2066</v>
      </c>
      <c r="BB399" s="222">
        <v>2067</v>
      </c>
      <c r="BC399" s="222">
        <v>2068</v>
      </c>
      <c r="BD399" s="222">
        <v>2069</v>
      </c>
      <c r="BE399" s="222">
        <v>2070</v>
      </c>
    </row>
    <row r="400" spans="1:57" ht="14.25" customHeight="1" x14ac:dyDescent="0.45">
      <c r="A400" s="618"/>
      <c r="B400" s="215"/>
      <c r="C400" s="220" t="s">
        <v>303</v>
      </c>
      <c r="D400" s="243" t="s">
        <v>282</v>
      </c>
      <c r="E400" s="222">
        <v>0</v>
      </c>
      <c r="F400" s="222">
        <v>0</v>
      </c>
      <c r="G400" s="222">
        <v>0</v>
      </c>
      <c r="H400" s="222">
        <v>0</v>
      </c>
      <c r="I400" s="222">
        <v>0</v>
      </c>
      <c r="J400" s="222">
        <v>0</v>
      </c>
      <c r="K400" s="222">
        <v>0</v>
      </c>
      <c r="L400" s="222">
        <v>0</v>
      </c>
      <c r="M400" s="222">
        <v>0</v>
      </c>
      <c r="N400" s="222">
        <v>0</v>
      </c>
      <c r="O400" s="222">
        <v>0</v>
      </c>
      <c r="P400" s="222">
        <v>0</v>
      </c>
      <c r="Q400" s="222">
        <v>0</v>
      </c>
      <c r="R400" s="222">
        <v>1.4</v>
      </c>
      <c r="S400" s="222">
        <v>1.4</v>
      </c>
      <c r="T400" s="222">
        <v>1.4</v>
      </c>
      <c r="U400" s="222">
        <v>1.4</v>
      </c>
      <c r="V400" s="222">
        <v>1.4</v>
      </c>
      <c r="W400" s="222">
        <v>1.4</v>
      </c>
      <c r="X400" s="222">
        <v>1.4</v>
      </c>
      <c r="Y400" s="222">
        <v>1.4</v>
      </c>
      <c r="Z400" s="222">
        <v>1.4</v>
      </c>
      <c r="AA400" s="222">
        <v>1.4</v>
      </c>
      <c r="AB400" s="222">
        <v>1.4</v>
      </c>
      <c r="AC400" s="222">
        <v>1.4</v>
      </c>
      <c r="AD400" s="222">
        <v>1.4</v>
      </c>
      <c r="AE400" s="222">
        <v>1.4</v>
      </c>
      <c r="AF400" s="222">
        <v>1.4</v>
      </c>
      <c r="AG400" s="222">
        <v>1.4</v>
      </c>
      <c r="AH400" s="222">
        <v>1.4</v>
      </c>
      <c r="AI400" s="222">
        <v>1.4</v>
      </c>
      <c r="AJ400" s="222">
        <v>1.4</v>
      </c>
      <c r="AK400" s="222">
        <v>1.4</v>
      </c>
      <c r="AL400" s="222">
        <v>1.4</v>
      </c>
      <c r="AM400" s="222">
        <v>1.4</v>
      </c>
      <c r="AN400" s="222">
        <v>1.4</v>
      </c>
      <c r="AO400" s="222">
        <v>1.4</v>
      </c>
      <c r="AP400" s="222">
        <v>1.4</v>
      </c>
      <c r="AQ400" s="222">
        <v>1.4</v>
      </c>
      <c r="AR400" s="222">
        <v>1.4</v>
      </c>
      <c r="AS400" s="222">
        <v>1.4</v>
      </c>
      <c r="AT400" s="222">
        <v>1.4</v>
      </c>
      <c r="AU400" s="222">
        <v>1.4</v>
      </c>
      <c r="AV400" s="222">
        <v>1.4</v>
      </c>
      <c r="AW400" s="222">
        <v>1.4</v>
      </c>
      <c r="AX400" s="222">
        <v>1.4</v>
      </c>
      <c r="AY400" s="222">
        <v>1.4</v>
      </c>
      <c r="AZ400" s="222">
        <v>1.4</v>
      </c>
      <c r="BA400" s="222">
        <v>1.4</v>
      </c>
      <c r="BB400" s="222">
        <v>1.4</v>
      </c>
      <c r="BC400" s="222">
        <v>1.4</v>
      </c>
      <c r="BD400" s="222">
        <v>1.4</v>
      </c>
      <c r="BE400" s="222">
        <v>1.4</v>
      </c>
    </row>
    <row r="401" spans="1:57" ht="14.25" customHeight="1" x14ac:dyDescent="0.45">
      <c r="A401" s="618"/>
      <c r="B401" s="215"/>
      <c r="C401" s="220"/>
      <c r="D401" s="224" t="s">
        <v>339</v>
      </c>
      <c r="E401" s="346">
        <f t="shared" ref="E401:H420" si="212">ROUND(E206*0.99,4)</f>
        <v>1.3622000000000001</v>
      </c>
      <c r="F401" s="346">
        <f t="shared" si="212"/>
        <v>1.4730000000000001</v>
      </c>
      <c r="G401" s="346">
        <f t="shared" si="212"/>
        <v>1.5194000000000001</v>
      </c>
      <c r="H401" s="346">
        <f t="shared" si="212"/>
        <v>1.3278000000000001</v>
      </c>
      <c r="I401" s="394"/>
      <c r="J401" s="394"/>
      <c r="K401" s="394"/>
      <c r="L401" s="394"/>
      <c r="M401" s="394"/>
      <c r="N401" s="394"/>
      <c r="O401" s="394"/>
      <c r="P401" s="394"/>
      <c r="Q401" s="394"/>
      <c r="R401" s="394"/>
      <c r="S401" s="394"/>
      <c r="T401" s="394"/>
      <c r="U401" s="394"/>
      <c r="V401" s="394"/>
      <c r="W401" s="394"/>
      <c r="X401" s="394"/>
      <c r="Y401" s="394"/>
      <c r="Z401" s="394"/>
      <c r="AA401" s="394"/>
      <c r="AB401" s="394"/>
      <c r="AC401" s="394"/>
      <c r="AD401" s="394"/>
      <c r="AE401" s="394"/>
      <c r="AF401" s="394"/>
      <c r="AG401" s="394"/>
      <c r="AH401" s="394"/>
      <c r="AI401" s="394"/>
      <c r="AJ401" s="394"/>
      <c r="AK401" s="394"/>
      <c r="AL401" s="394"/>
      <c r="AM401" s="394"/>
      <c r="AN401" s="394"/>
      <c r="AO401" s="394"/>
      <c r="AP401" s="394"/>
      <c r="AQ401" s="394"/>
      <c r="AR401" s="394"/>
      <c r="AS401" s="394"/>
      <c r="AT401" s="394"/>
      <c r="AU401" s="394"/>
      <c r="AV401" s="394"/>
      <c r="AW401" s="394"/>
      <c r="AX401" s="394"/>
      <c r="AY401" s="394"/>
      <c r="AZ401" s="394"/>
      <c r="BA401" s="394"/>
      <c r="BB401" s="394"/>
      <c r="BC401" s="394"/>
      <c r="BD401" s="394"/>
      <c r="BE401" s="394"/>
    </row>
    <row r="402" spans="1:57" ht="14.25" customHeight="1" x14ac:dyDescent="0.45">
      <c r="A402" s="618"/>
      <c r="B402" s="215"/>
      <c r="C402" s="220"/>
      <c r="D402" s="228" t="s">
        <v>167</v>
      </c>
      <c r="E402" s="346">
        <f t="shared" si="212"/>
        <v>0</v>
      </c>
      <c r="F402" s="346">
        <f t="shared" si="212"/>
        <v>0</v>
      </c>
      <c r="G402" s="346">
        <f t="shared" si="212"/>
        <v>0</v>
      </c>
      <c r="H402" s="346">
        <f t="shared" si="212"/>
        <v>0</v>
      </c>
      <c r="I402" s="394"/>
      <c r="J402" s="394"/>
      <c r="K402" s="394"/>
      <c r="L402" s="394"/>
      <c r="M402" s="394"/>
      <c r="N402" s="394"/>
      <c r="O402" s="394"/>
      <c r="P402" s="394"/>
      <c r="Q402" s="394"/>
      <c r="R402" s="394"/>
      <c r="S402" s="394"/>
      <c r="T402" s="394"/>
      <c r="U402" s="394"/>
      <c r="V402" s="394"/>
      <c r="W402" s="394"/>
      <c r="X402" s="394"/>
      <c r="Y402" s="394"/>
      <c r="Z402" s="394"/>
      <c r="AA402" s="394"/>
      <c r="AB402" s="394"/>
      <c r="AC402" s="394"/>
      <c r="AD402" s="394"/>
      <c r="AE402" s="394"/>
      <c r="AF402" s="394"/>
      <c r="AG402" s="394"/>
      <c r="AH402" s="394"/>
      <c r="AI402" s="394"/>
      <c r="AJ402" s="394"/>
      <c r="AK402" s="394"/>
      <c r="AL402" s="394"/>
      <c r="AM402" s="394"/>
      <c r="AN402" s="394"/>
      <c r="AO402" s="394"/>
      <c r="AP402" s="394"/>
      <c r="AQ402" s="394"/>
      <c r="AR402" s="394"/>
      <c r="AS402" s="394"/>
      <c r="AT402" s="394"/>
      <c r="AU402" s="394"/>
      <c r="AV402" s="394"/>
      <c r="AW402" s="394"/>
      <c r="AX402" s="394"/>
      <c r="AY402" s="394"/>
      <c r="AZ402" s="394"/>
      <c r="BA402" s="394"/>
      <c r="BB402" s="394"/>
      <c r="BC402" s="394"/>
      <c r="BD402" s="394"/>
      <c r="BE402" s="394"/>
    </row>
    <row r="403" spans="1:57" ht="14.25" customHeight="1" x14ac:dyDescent="0.45">
      <c r="A403" s="618"/>
      <c r="B403" s="215"/>
      <c r="C403" s="220" t="s">
        <v>168</v>
      </c>
      <c r="D403" s="243" t="s">
        <v>169</v>
      </c>
      <c r="E403" s="346">
        <f t="shared" si="212"/>
        <v>1.3622000000000001</v>
      </c>
      <c r="F403" s="346">
        <f t="shared" si="212"/>
        <v>1.4730000000000001</v>
      </c>
      <c r="G403" s="346">
        <f t="shared" si="212"/>
        <v>1.5194000000000001</v>
      </c>
      <c r="H403" s="346">
        <f t="shared" si="212"/>
        <v>1.3278000000000001</v>
      </c>
      <c r="I403" s="394">
        <f t="shared" ref="I403:BE403" si="213">ROUND(I$392*$I295*0.99,4)</f>
        <v>1.4657</v>
      </c>
      <c r="J403" s="394">
        <f t="shared" si="213"/>
        <v>1.4618</v>
      </c>
      <c r="K403" s="394">
        <f t="shared" si="213"/>
        <v>1.4723999999999999</v>
      </c>
      <c r="L403" s="394">
        <f t="shared" si="213"/>
        <v>1.5128999999999999</v>
      </c>
      <c r="M403" s="394">
        <f t="shared" si="213"/>
        <v>1.5528</v>
      </c>
      <c r="N403" s="394">
        <f t="shared" si="213"/>
        <v>1.6013999999999999</v>
      </c>
      <c r="O403" s="394">
        <f t="shared" si="213"/>
        <v>1.6005</v>
      </c>
      <c r="P403" s="394">
        <f t="shared" si="213"/>
        <v>1.6354</v>
      </c>
      <c r="Q403" s="394">
        <f t="shared" si="213"/>
        <v>1.6802999999999999</v>
      </c>
      <c r="R403" s="394">
        <f t="shared" si="213"/>
        <v>1.7104999999999999</v>
      </c>
      <c r="S403" s="394">
        <f t="shared" si="213"/>
        <v>1.7586999999999999</v>
      </c>
      <c r="T403" s="394">
        <f t="shared" si="213"/>
        <v>1.8091999999999999</v>
      </c>
      <c r="U403" s="394">
        <f t="shared" si="213"/>
        <v>1.8571</v>
      </c>
      <c r="V403" s="394">
        <f t="shared" si="213"/>
        <v>1.9006000000000001</v>
      </c>
      <c r="W403" s="394">
        <f t="shared" si="213"/>
        <v>1.9531000000000001</v>
      </c>
      <c r="X403" s="394">
        <f t="shared" si="213"/>
        <v>1.9965999999999999</v>
      </c>
      <c r="Y403" s="394">
        <f t="shared" si="213"/>
        <v>2.0464000000000002</v>
      </c>
      <c r="Z403" s="394">
        <f t="shared" si="213"/>
        <v>2.0962000000000001</v>
      </c>
      <c r="AA403" s="394">
        <f t="shared" si="213"/>
        <v>2.1457000000000002</v>
      </c>
      <c r="AB403" s="394">
        <f t="shared" si="213"/>
        <v>2.1924999999999999</v>
      </c>
      <c r="AC403" s="394">
        <f t="shared" si="213"/>
        <v>2.2422</v>
      </c>
      <c r="AD403" s="394">
        <f t="shared" si="213"/>
        <v>2.2791999999999999</v>
      </c>
      <c r="AE403" s="394">
        <f t="shared" si="213"/>
        <v>2.3290000000000002</v>
      </c>
      <c r="AF403" s="394">
        <f t="shared" si="213"/>
        <v>2.3694000000000002</v>
      </c>
      <c r="AG403" s="394">
        <f t="shared" si="213"/>
        <v>2.4222000000000001</v>
      </c>
      <c r="AH403" s="394">
        <f t="shared" si="213"/>
        <v>2.4634</v>
      </c>
      <c r="AI403" s="394">
        <f t="shared" si="213"/>
        <v>2.5059</v>
      </c>
      <c r="AJ403" s="394">
        <f t="shared" si="213"/>
        <v>2.5476999999999999</v>
      </c>
      <c r="AK403" s="394">
        <f t="shared" si="213"/>
        <v>2.5912999999999999</v>
      </c>
      <c r="AL403" s="394">
        <f t="shared" si="213"/>
        <v>2.6810999999999998</v>
      </c>
      <c r="AM403" s="394">
        <f t="shared" si="213"/>
        <v>2.7277999999999998</v>
      </c>
      <c r="AN403" s="394">
        <f t="shared" si="213"/>
        <v>2.7747999999999999</v>
      </c>
      <c r="AO403" s="394">
        <f t="shared" si="213"/>
        <v>2.8216999999999999</v>
      </c>
      <c r="AP403" s="394">
        <f t="shared" si="213"/>
        <v>2.8700999999999999</v>
      </c>
      <c r="AQ403" s="394">
        <f t="shared" si="213"/>
        <v>2.9180999999999999</v>
      </c>
      <c r="AR403" s="394">
        <f t="shared" si="213"/>
        <v>2.9661</v>
      </c>
      <c r="AS403" s="394">
        <f t="shared" si="213"/>
        <v>3.0141</v>
      </c>
      <c r="AT403" s="394">
        <f t="shared" si="213"/>
        <v>3.0625</v>
      </c>
      <c r="AU403" s="394">
        <f t="shared" si="213"/>
        <v>3.1116000000000001</v>
      </c>
      <c r="AV403" s="394">
        <f t="shared" si="213"/>
        <v>3.1610999999999998</v>
      </c>
      <c r="AW403" s="394">
        <f t="shared" si="213"/>
        <v>3.2113</v>
      </c>
      <c r="AX403" s="394">
        <f t="shared" si="213"/>
        <v>3.2614000000000001</v>
      </c>
      <c r="AY403" s="394">
        <f t="shared" si="213"/>
        <v>3.3119999999999998</v>
      </c>
      <c r="AZ403" s="394">
        <f t="shared" si="213"/>
        <v>3.3632</v>
      </c>
      <c r="BA403" s="394">
        <f t="shared" si="213"/>
        <v>3.4144000000000001</v>
      </c>
      <c r="BB403" s="394">
        <f t="shared" si="213"/>
        <v>3.4659</v>
      </c>
      <c r="BC403" s="394">
        <f t="shared" si="213"/>
        <v>3.5177999999999998</v>
      </c>
      <c r="BD403" s="394">
        <f t="shared" si="213"/>
        <v>3.5703</v>
      </c>
      <c r="BE403" s="394">
        <f t="shared" si="213"/>
        <v>3.6232000000000002</v>
      </c>
    </row>
    <row r="404" spans="1:57" ht="14.25" customHeight="1" x14ac:dyDescent="0.45">
      <c r="A404" s="618"/>
      <c r="B404" s="215"/>
      <c r="C404" s="220" t="s">
        <v>170</v>
      </c>
      <c r="D404" s="224" t="s">
        <v>340</v>
      </c>
      <c r="E404" s="346">
        <f t="shared" si="212"/>
        <v>0.26250000000000001</v>
      </c>
      <c r="F404" s="346">
        <f t="shared" si="212"/>
        <v>0.28489999999999999</v>
      </c>
      <c r="G404" s="346">
        <f t="shared" si="212"/>
        <v>0.25519999999999998</v>
      </c>
      <c r="H404" s="346">
        <f t="shared" si="212"/>
        <v>0.21390000000000001</v>
      </c>
      <c r="I404" s="394">
        <f t="shared" ref="I404:BE404" si="214">ROUND(I$392*$I296*0.99,4)</f>
        <v>0.26240000000000002</v>
      </c>
      <c r="J404" s="394">
        <f t="shared" si="214"/>
        <v>0.26169999999999999</v>
      </c>
      <c r="K404" s="394">
        <f t="shared" si="214"/>
        <v>0.2636</v>
      </c>
      <c r="L404" s="394">
        <f t="shared" si="214"/>
        <v>0.27079999999999999</v>
      </c>
      <c r="M404" s="394">
        <f t="shared" si="214"/>
        <v>0.27800000000000002</v>
      </c>
      <c r="N404" s="394">
        <f t="shared" si="214"/>
        <v>0.28670000000000001</v>
      </c>
      <c r="O404" s="394">
        <f t="shared" si="214"/>
        <v>0.28649999999999998</v>
      </c>
      <c r="P404" s="394">
        <f t="shared" si="214"/>
        <v>0.2928</v>
      </c>
      <c r="Q404" s="394">
        <f t="shared" si="214"/>
        <v>0.30080000000000001</v>
      </c>
      <c r="R404" s="394">
        <f t="shared" si="214"/>
        <v>0.30620000000000003</v>
      </c>
      <c r="S404" s="394">
        <f t="shared" si="214"/>
        <v>0.31480000000000002</v>
      </c>
      <c r="T404" s="394">
        <f t="shared" si="214"/>
        <v>0.32390000000000002</v>
      </c>
      <c r="U404" s="394">
        <f t="shared" si="214"/>
        <v>0.33250000000000002</v>
      </c>
      <c r="V404" s="394">
        <f t="shared" si="214"/>
        <v>0.3402</v>
      </c>
      <c r="W404" s="394">
        <f t="shared" si="214"/>
        <v>0.34960000000000002</v>
      </c>
      <c r="X404" s="394">
        <f t="shared" si="214"/>
        <v>0.3574</v>
      </c>
      <c r="Y404" s="394">
        <f t="shared" si="214"/>
        <v>0.36630000000000001</v>
      </c>
      <c r="Z404" s="394">
        <f t="shared" si="214"/>
        <v>0.37530000000000002</v>
      </c>
      <c r="AA404" s="394">
        <f t="shared" si="214"/>
        <v>0.3841</v>
      </c>
      <c r="AB404" s="394">
        <f t="shared" si="214"/>
        <v>0.39250000000000002</v>
      </c>
      <c r="AC404" s="394">
        <f t="shared" si="214"/>
        <v>0.40139999999999998</v>
      </c>
      <c r="AD404" s="394">
        <f t="shared" si="214"/>
        <v>0.40799999999999997</v>
      </c>
      <c r="AE404" s="394">
        <f t="shared" si="214"/>
        <v>0.41689999999999999</v>
      </c>
      <c r="AF404" s="394">
        <f t="shared" si="214"/>
        <v>0.42420000000000002</v>
      </c>
      <c r="AG404" s="394">
        <f t="shared" si="214"/>
        <v>0.43359999999999999</v>
      </c>
      <c r="AH404" s="394">
        <f t="shared" si="214"/>
        <v>0.441</v>
      </c>
      <c r="AI404" s="394">
        <f t="shared" si="214"/>
        <v>0.4486</v>
      </c>
      <c r="AJ404" s="394">
        <f t="shared" si="214"/>
        <v>0.45610000000000001</v>
      </c>
      <c r="AK404" s="394">
        <f t="shared" si="214"/>
        <v>0.46389999999999998</v>
      </c>
      <c r="AL404" s="394">
        <f t="shared" si="214"/>
        <v>0.48</v>
      </c>
      <c r="AM404" s="394">
        <f t="shared" si="214"/>
        <v>0.48830000000000001</v>
      </c>
      <c r="AN404" s="394">
        <f t="shared" si="214"/>
        <v>0.49669999999999997</v>
      </c>
      <c r="AO404" s="394">
        <f t="shared" si="214"/>
        <v>0.50509999999999999</v>
      </c>
      <c r="AP404" s="394">
        <f t="shared" si="214"/>
        <v>0.51380000000000003</v>
      </c>
      <c r="AQ404" s="394">
        <f t="shared" si="214"/>
        <v>0.52239999999999998</v>
      </c>
      <c r="AR404" s="394">
        <f t="shared" si="214"/>
        <v>0.53100000000000003</v>
      </c>
      <c r="AS404" s="394">
        <f t="shared" si="214"/>
        <v>0.53959999999999997</v>
      </c>
      <c r="AT404" s="394">
        <f t="shared" si="214"/>
        <v>0.54820000000000002</v>
      </c>
      <c r="AU404" s="394">
        <f t="shared" si="214"/>
        <v>0.55700000000000005</v>
      </c>
      <c r="AV404" s="394">
        <f t="shared" si="214"/>
        <v>0.56589999999999996</v>
      </c>
      <c r="AW404" s="394">
        <f t="shared" si="214"/>
        <v>0.57489999999999997</v>
      </c>
      <c r="AX404" s="394">
        <f t="shared" si="214"/>
        <v>0.58379999999999999</v>
      </c>
      <c r="AY404" s="394">
        <f t="shared" si="214"/>
        <v>0.59289999999999998</v>
      </c>
      <c r="AZ404" s="394">
        <f t="shared" si="214"/>
        <v>0.60209999999999997</v>
      </c>
      <c r="BA404" s="394">
        <f t="shared" si="214"/>
        <v>0.61119999999999997</v>
      </c>
      <c r="BB404" s="394">
        <f t="shared" si="214"/>
        <v>0.62050000000000005</v>
      </c>
      <c r="BC404" s="394">
        <f t="shared" si="214"/>
        <v>0.62980000000000003</v>
      </c>
      <c r="BD404" s="394">
        <f t="shared" si="214"/>
        <v>0.6391</v>
      </c>
      <c r="BE404" s="394">
        <f t="shared" si="214"/>
        <v>0.64859999999999995</v>
      </c>
    </row>
    <row r="405" spans="1:57" ht="14.25" customHeight="1" x14ac:dyDescent="0.45">
      <c r="A405" s="618"/>
      <c r="B405" s="215"/>
      <c r="C405" s="220"/>
      <c r="D405" s="224" t="s">
        <v>341</v>
      </c>
      <c r="E405" s="346">
        <f t="shared" si="212"/>
        <v>73.591800000000006</v>
      </c>
      <c r="F405" s="346">
        <f t="shared" si="212"/>
        <v>87.6875</v>
      </c>
      <c r="G405" s="346">
        <f t="shared" si="212"/>
        <v>86.596599999999995</v>
      </c>
      <c r="H405" s="346">
        <f t="shared" si="212"/>
        <v>91.022800000000004</v>
      </c>
      <c r="I405" s="394"/>
      <c r="J405" s="394"/>
      <c r="K405" s="394"/>
      <c r="L405" s="394"/>
      <c r="M405" s="394"/>
      <c r="N405" s="394"/>
      <c r="O405" s="394"/>
      <c r="P405" s="394"/>
      <c r="Q405" s="394"/>
      <c r="R405" s="394"/>
      <c r="S405" s="394"/>
      <c r="T405" s="394"/>
      <c r="U405" s="394"/>
      <c r="V405" s="394"/>
      <c r="W405" s="394"/>
      <c r="X405" s="394"/>
      <c r="Y405" s="394"/>
      <c r="Z405" s="394"/>
      <c r="AA405" s="394"/>
      <c r="AB405" s="394"/>
      <c r="AC405" s="394"/>
      <c r="AD405" s="394"/>
      <c r="AE405" s="394"/>
      <c r="AF405" s="394"/>
      <c r="AG405" s="394"/>
      <c r="AH405" s="394"/>
      <c r="AI405" s="394"/>
      <c r="AJ405" s="394"/>
      <c r="AK405" s="394"/>
      <c r="AL405" s="394"/>
      <c r="AM405" s="394"/>
      <c r="AN405" s="394"/>
      <c r="AO405" s="394"/>
      <c r="AP405" s="394"/>
      <c r="AQ405" s="394"/>
      <c r="AR405" s="394"/>
      <c r="AS405" s="394"/>
      <c r="AT405" s="394"/>
      <c r="AU405" s="394"/>
      <c r="AV405" s="394"/>
      <c r="AW405" s="394"/>
      <c r="AX405" s="394"/>
      <c r="AY405" s="394"/>
      <c r="AZ405" s="394"/>
      <c r="BA405" s="394"/>
      <c r="BB405" s="394"/>
      <c r="BC405" s="394"/>
      <c r="BD405" s="394"/>
      <c r="BE405" s="394"/>
    </row>
    <row r="406" spans="1:57" ht="14.25" customHeight="1" x14ac:dyDescent="0.45">
      <c r="A406" s="618"/>
      <c r="B406" s="215"/>
      <c r="C406" s="220"/>
      <c r="D406" s="228" t="s">
        <v>173</v>
      </c>
      <c r="E406" s="346">
        <f t="shared" si="212"/>
        <v>27.4603</v>
      </c>
      <c r="F406" s="346">
        <f t="shared" si="212"/>
        <v>31.883900000000001</v>
      </c>
      <c r="G406" s="346">
        <f t="shared" si="212"/>
        <v>28.762699999999999</v>
      </c>
      <c r="H406" s="346">
        <f t="shared" si="212"/>
        <v>31.0062</v>
      </c>
      <c r="I406" s="394"/>
      <c r="J406" s="394"/>
      <c r="K406" s="394"/>
      <c r="L406" s="394"/>
      <c r="M406" s="394"/>
      <c r="N406" s="394"/>
      <c r="O406" s="394"/>
      <c r="P406" s="394"/>
      <c r="Q406" s="394"/>
      <c r="R406" s="394"/>
      <c r="S406" s="394"/>
      <c r="T406" s="394"/>
      <c r="U406" s="394"/>
      <c r="V406" s="394"/>
      <c r="W406" s="394"/>
      <c r="X406" s="394"/>
      <c r="Y406" s="394"/>
      <c r="Z406" s="394"/>
      <c r="AA406" s="394"/>
      <c r="AB406" s="394"/>
      <c r="AC406" s="394"/>
      <c r="AD406" s="394"/>
      <c r="AE406" s="394"/>
      <c r="AF406" s="394"/>
      <c r="AG406" s="394"/>
      <c r="AH406" s="394"/>
      <c r="AI406" s="394"/>
      <c r="AJ406" s="394"/>
      <c r="AK406" s="394"/>
      <c r="AL406" s="394"/>
      <c r="AM406" s="394"/>
      <c r="AN406" s="394"/>
      <c r="AO406" s="394"/>
      <c r="AP406" s="394"/>
      <c r="AQ406" s="394"/>
      <c r="AR406" s="394"/>
      <c r="AS406" s="394"/>
      <c r="AT406" s="394"/>
      <c r="AU406" s="394"/>
      <c r="AV406" s="394"/>
      <c r="AW406" s="394"/>
      <c r="AX406" s="394"/>
      <c r="AY406" s="394"/>
      <c r="AZ406" s="394"/>
      <c r="BA406" s="394"/>
      <c r="BB406" s="394"/>
      <c r="BC406" s="394"/>
      <c r="BD406" s="394"/>
      <c r="BE406" s="394"/>
    </row>
    <row r="407" spans="1:57" ht="14.25" customHeight="1" x14ac:dyDescent="0.45">
      <c r="A407" s="618"/>
      <c r="B407" s="215"/>
      <c r="C407" s="220"/>
      <c r="D407" s="221" t="s">
        <v>174</v>
      </c>
      <c r="E407" s="346">
        <f t="shared" si="212"/>
        <v>23.925799999999999</v>
      </c>
      <c r="F407" s="346">
        <f t="shared" si="212"/>
        <v>27.144400000000001</v>
      </c>
      <c r="G407" s="346">
        <f t="shared" si="212"/>
        <v>25.124400000000001</v>
      </c>
      <c r="H407" s="346">
        <f t="shared" si="212"/>
        <v>26.671399999999998</v>
      </c>
      <c r="I407" s="394"/>
      <c r="J407" s="394"/>
      <c r="K407" s="394"/>
      <c r="L407" s="394"/>
      <c r="M407" s="394"/>
      <c r="N407" s="394"/>
      <c r="O407" s="394"/>
      <c r="P407" s="394"/>
      <c r="Q407" s="394"/>
      <c r="R407" s="394"/>
      <c r="S407" s="394"/>
      <c r="T407" s="394"/>
      <c r="U407" s="394"/>
      <c r="V407" s="394"/>
      <c r="W407" s="394"/>
      <c r="X407" s="394"/>
      <c r="Y407" s="394"/>
      <c r="Z407" s="394"/>
      <c r="AA407" s="394"/>
      <c r="AB407" s="394"/>
      <c r="AC407" s="394"/>
      <c r="AD407" s="394"/>
      <c r="AE407" s="394"/>
      <c r="AF407" s="394"/>
      <c r="AG407" s="394"/>
      <c r="AH407" s="394"/>
      <c r="AI407" s="394"/>
      <c r="AJ407" s="394"/>
      <c r="AK407" s="394"/>
      <c r="AL407" s="394"/>
      <c r="AM407" s="394"/>
      <c r="AN407" s="394"/>
      <c r="AO407" s="394"/>
      <c r="AP407" s="394"/>
      <c r="AQ407" s="394"/>
      <c r="AR407" s="394"/>
      <c r="AS407" s="394"/>
      <c r="AT407" s="394"/>
      <c r="AU407" s="394"/>
      <c r="AV407" s="394"/>
      <c r="AW407" s="394"/>
      <c r="AX407" s="394"/>
      <c r="AY407" s="394"/>
      <c r="AZ407" s="394"/>
      <c r="BA407" s="394"/>
      <c r="BB407" s="394"/>
      <c r="BC407" s="394"/>
      <c r="BD407" s="394"/>
      <c r="BE407" s="394"/>
    </row>
    <row r="408" spans="1:57" ht="14.25" customHeight="1" x14ac:dyDescent="0.45">
      <c r="A408" s="618"/>
      <c r="B408" s="215"/>
      <c r="C408" s="220"/>
      <c r="D408" s="221" t="s">
        <v>175</v>
      </c>
      <c r="E408" s="346">
        <f t="shared" si="212"/>
        <v>3.5344000000000002</v>
      </c>
      <c r="F408" s="346">
        <f t="shared" si="212"/>
        <v>4.7394999999999996</v>
      </c>
      <c r="G408" s="346">
        <f t="shared" si="212"/>
        <v>3.6381999999999999</v>
      </c>
      <c r="H408" s="346">
        <f t="shared" si="212"/>
        <v>4.3348000000000004</v>
      </c>
      <c r="I408" s="394"/>
      <c r="J408" s="394"/>
      <c r="K408" s="394"/>
      <c r="L408" s="394"/>
      <c r="M408" s="394"/>
      <c r="N408" s="394"/>
      <c r="O408" s="394"/>
      <c r="P408" s="394"/>
      <c r="Q408" s="394"/>
      <c r="R408" s="394"/>
      <c r="S408" s="394"/>
      <c r="T408" s="394"/>
      <c r="U408" s="394"/>
      <c r="V408" s="394"/>
      <c r="W408" s="394"/>
      <c r="X408" s="394"/>
      <c r="Y408" s="394"/>
      <c r="Z408" s="394"/>
      <c r="AA408" s="394"/>
      <c r="AB408" s="394"/>
      <c r="AC408" s="394"/>
      <c r="AD408" s="394"/>
      <c r="AE408" s="394"/>
      <c r="AF408" s="394"/>
      <c r="AG408" s="394"/>
      <c r="AH408" s="394"/>
      <c r="AI408" s="394"/>
      <c r="AJ408" s="394"/>
      <c r="AK408" s="394"/>
      <c r="AL408" s="394"/>
      <c r="AM408" s="394"/>
      <c r="AN408" s="394"/>
      <c r="AO408" s="394"/>
      <c r="AP408" s="394"/>
      <c r="AQ408" s="394"/>
      <c r="AR408" s="394"/>
      <c r="AS408" s="394"/>
      <c r="AT408" s="394"/>
      <c r="AU408" s="394"/>
      <c r="AV408" s="394"/>
      <c r="AW408" s="394"/>
      <c r="AX408" s="394"/>
      <c r="AY408" s="394"/>
      <c r="AZ408" s="394"/>
      <c r="BA408" s="394"/>
      <c r="BB408" s="394"/>
      <c r="BC408" s="394"/>
      <c r="BD408" s="394"/>
      <c r="BE408" s="394"/>
    </row>
    <row r="409" spans="1:57" ht="14.25" customHeight="1" x14ac:dyDescent="0.45">
      <c r="A409" s="618"/>
      <c r="B409" s="215"/>
      <c r="C409" s="220"/>
      <c r="D409" s="228" t="s">
        <v>176</v>
      </c>
      <c r="E409" s="346">
        <f t="shared" si="212"/>
        <v>46.131500000000003</v>
      </c>
      <c r="F409" s="346">
        <f t="shared" si="212"/>
        <v>55.803699999999999</v>
      </c>
      <c r="G409" s="346">
        <f t="shared" si="212"/>
        <v>57.834000000000003</v>
      </c>
      <c r="H409" s="346">
        <f t="shared" si="212"/>
        <v>60.016500000000001</v>
      </c>
      <c r="I409" s="394"/>
      <c r="J409" s="394"/>
      <c r="K409" s="394"/>
      <c r="L409" s="394"/>
      <c r="M409" s="394"/>
      <c r="N409" s="394"/>
      <c r="O409" s="394"/>
      <c r="P409" s="394"/>
      <c r="Q409" s="394"/>
      <c r="R409" s="394"/>
      <c r="S409" s="394"/>
      <c r="T409" s="394"/>
      <c r="U409" s="394"/>
      <c r="V409" s="394"/>
      <c r="W409" s="394"/>
      <c r="X409" s="394"/>
      <c r="Y409" s="394"/>
      <c r="Z409" s="394"/>
      <c r="AA409" s="394"/>
      <c r="AB409" s="394"/>
      <c r="AC409" s="394"/>
      <c r="AD409" s="394"/>
      <c r="AE409" s="394"/>
      <c r="AF409" s="394"/>
      <c r="AG409" s="394"/>
      <c r="AH409" s="394"/>
      <c r="AI409" s="394"/>
      <c r="AJ409" s="394"/>
      <c r="AK409" s="394"/>
      <c r="AL409" s="394"/>
      <c r="AM409" s="394"/>
      <c r="AN409" s="394"/>
      <c r="AO409" s="394"/>
      <c r="AP409" s="394"/>
      <c r="AQ409" s="394"/>
      <c r="AR409" s="394"/>
      <c r="AS409" s="394"/>
      <c r="AT409" s="394"/>
      <c r="AU409" s="394"/>
      <c r="AV409" s="394"/>
      <c r="AW409" s="394"/>
      <c r="AX409" s="394"/>
      <c r="AY409" s="394"/>
      <c r="AZ409" s="394"/>
      <c r="BA409" s="394"/>
      <c r="BB409" s="394"/>
      <c r="BC409" s="394"/>
      <c r="BD409" s="394"/>
      <c r="BE409" s="394"/>
    </row>
    <row r="410" spans="1:57" ht="14.25" customHeight="1" x14ac:dyDescent="0.45">
      <c r="A410" s="618"/>
      <c r="B410" s="215"/>
      <c r="C410" s="220"/>
      <c r="D410" s="221" t="s">
        <v>174</v>
      </c>
      <c r="E410" s="346">
        <f t="shared" si="212"/>
        <v>43.7836</v>
      </c>
      <c r="F410" s="346">
        <f t="shared" si="212"/>
        <v>50.048099999999998</v>
      </c>
      <c r="G410" s="346">
        <f t="shared" si="212"/>
        <v>51.935499999999998</v>
      </c>
      <c r="H410" s="346">
        <f t="shared" si="212"/>
        <v>53.197200000000002</v>
      </c>
      <c r="I410" s="394"/>
      <c r="J410" s="394"/>
      <c r="K410" s="394"/>
      <c r="L410" s="394"/>
      <c r="M410" s="394"/>
      <c r="N410" s="394"/>
      <c r="O410" s="394"/>
      <c r="P410" s="394"/>
      <c r="Q410" s="394"/>
      <c r="R410" s="394"/>
      <c r="S410" s="394"/>
      <c r="T410" s="394"/>
      <c r="U410" s="394"/>
      <c r="V410" s="394"/>
      <c r="W410" s="394"/>
      <c r="X410" s="394"/>
      <c r="Y410" s="394"/>
      <c r="Z410" s="394"/>
      <c r="AA410" s="394"/>
      <c r="AB410" s="394"/>
      <c r="AC410" s="394"/>
      <c r="AD410" s="394"/>
      <c r="AE410" s="394"/>
      <c r="AF410" s="394"/>
      <c r="AG410" s="394"/>
      <c r="AH410" s="394"/>
      <c r="AI410" s="394"/>
      <c r="AJ410" s="394"/>
      <c r="AK410" s="394"/>
      <c r="AL410" s="394"/>
      <c r="AM410" s="394"/>
      <c r="AN410" s="394"/>
      <c r="AO410" s="394"/>
      <c r="AP410" s="394"/>
      <c r="AQ410" s="394"/>
      <c r="AR410" s="394"/>
      <c r="AS410" s="394"/>
      <c r="AT410" s="394"/>
      <c r="AU410" s="394"/>
      <c r="AV410" s="394"/>
      <c r="AW410" s="394"/>
      <c r="AX410" s="394"/>
      <c r="AY410" s="394"/>
      <c r="AZ410" s="394"/>
      <c r="BA410" s="394"/>
      <c r="BB410" s="394"/>
      <c r="BC410" s="394"/>
      <c r="BD410" s="394"/>
      <c r="BE410" s="394"/>
    </row>
    <row r="411" spans="1:57" ht="14.25" customHeight="1" x14ac:dyDescent="0.45">
      <c r="A411" s="618"/>
      <c r="B411" s="215"/>
      <c r="C411" s="220"/>
      <c r="D411" s="221" t="s">
        <v>175</v>
      </c>
      <c r="E411" s="346">
        <f t="shared" si="212"/>
        <v>2.3479000000000001</v>
      </c>
      <c r="F411" s="346">
        <f t="shared" si="212"/>
        <v>5.7556000000000003</v>
      </c>
      <c r="G411" s="346">
        <f t="shared" si="212"/>
        <v>5.8985000000000003</v>
      </c>
      <c r="H411" s="346">
        <f t="shared" si="212"/>
        <v>6.8193000000000001</v>
      </c>
      <c r="I411" s="394"/>
      <c r="J411" s="394"/>
      <c r="K411" s="394"/>
      <c r="L411" s="394"/>
      <c r="M411" s="394"/>
      <c r="N411" s="394"/>
      <c r="O411" s="394"/>
      <c r="P411" s="394"/>
      <c r="Q411" s="394"/>
      <c r="R411" s="394"/>
      <c r="S411" s="394"/>
      <c r="T411" s="394"/>
      <c r="U411" s="394"/>
      <c r="V411" s="394"/>
      <c r="W411" s="394"/>
      <c r="X411" s="394"/>
      <c r="Y411" s="394"/>
      <c r="Z411" s="394"/>
      <c r="AA411" s="394"/>
      <c r="AB411" s="394"/>
      <c r="AC411" s="394"/>
      <c r="AD411" s="394"/>
      <c r="AE411" s="394"/>
      <c r="AF411" s="394"/>
      <c r="AG411" s="394"/>
      <c r="AH411" s="394"/>
      <c r="AI411" s="394"/>
      <c r="AJ411" s="394"/>
      <c r="AK411" s="394"/>
      <c r="AL411" s="394"/>
      <c r="AM411" s="394"/>
      <c r="AN411" s="394"/>
      <c r="AO411" s="394"/>
      <c r="AP411" s="394"/>
      <c r="AQ411" s="394"/>
      <c r="AR411" s="394"/>
      <c r="AS411" s="394"/>
      <c r="AT411" s="394"/>
      <c r="AU411" s="394"/>
      <c r="AV411" s="394"/>
      <c r="AW411" s="394"/>
      <c r="AX411" s="394"/>
      <c r="AY411" s="394"/>
      <c r="AZ411" s="394"/>
      <c r="BA411" s="394"/>
      <c r="BB411" s="394"/>
      <c r="BC411" s="394"/>
      <c r="BD411" s="394"/>
      <c r="BE411" s="394"/>
    </row>
    <row r="412" spans="1:57" ht="14.25" customHeight="1" x14ac:dyDescent="0.45">
      <c r="A412" s="618"/>
      <c r="B412" s="215"/>
      <c r="C412" s="220" t="s">
        <v>177</v>
      </c>
      <c r="D412" s="224" t="s">
        <v>342</v>
      </c>
      <c r="E412" s="346">
        <f t="shared" si="212"/>
        <v>0.12379999999999999</v>
      </c>
      <c r="F412" s="346">
        <f t="shared" si="212"/>
        <v>0.11799999999999999</v>
      </c>
      <c r="G412" s="346">
        <f t="shared" si="212"/>
        <v>0.12039999999999999</v>
      </c>
      <c r="H412" s="346">
        <f t="shared" si="212"/>
        <v>0.1191</v>
      </c>
      <c r="I412" s="394">
        <f t="shared" ref="I412:BE412" si="215">ROUND(I$392*$I304*0.99,4)</f>
        <v>0.12429999999999999</v>
      </c>
      <c r="J412" s="394">
        <f t="shared" si="215"/>
        <v>0.1239</v>
      </c>
      <c r="K412" s="394">
        <f t="shared" si="215"/>
        <v>0.12479999999999999</v>
      </c>
      <c r="L412" s="394">
        <f t="shared" si="215"/>
        <v>0.1283</v>
      </c>
      <c r="M412" s="394">
        <f t="shared" si="215"/>
        <v>0.13159999999999999</v>
      </c>
      <c r="N412" s="394">
        <f t="shared" si="215"/>
        <v>0.1358</v>
      </c>
      <c r="O412" s="394">
        <f t="shared" si="215"/>
        <v>0.13569999999999999</v>
      </c>
      <c r="P412" s="394">
        <f t="shared" si="215"/>
        <v>0.1386</v>
      </c>
      <c r="Q412" s="394">
        <f t="shared" si="215"/>
        <v>0.14249999999999999</v>
      </c>
      <c r="R412" s="394">
        <f t="shared" si="215"/>
        <v>0.14499999999999999</v>
      </c>
      <c r="S412" s="394">
        <f t="shared" si="215"/>
        <v>0.14910000000000001</v>
      </c>
      <c r="T412" s="394">
        <f t="shared" si="215"/>
        <v>0.15340000000000001</v>
      </c>
      <c r="U412" s="394">
        <f t="shared" si="215"/>
        <v>0.15740000000000001</v>
      </c>
      <c r="V412" s="394">
        <f t="shared" si="215"/>
        <v>0.16109999999999999</v>
      </c>
      <c r="W412" s="394">
        <f t="shared" si="215"/>
        <v>0.1656</v>
      </c>
      <c r="X412" s="394">
        <f t="shared" si="215"/>
        <v>0.16930000000000001</v>
      </c>
      <c r="Y412" s="394">
        <f t="shared" si="215"/>
        <v>0.17349999999999999</v>
      </c>
      <c r="Z412" s="394">
        <f t="shared" si="215"/>
        <v>0.1777</v>
      </c>
      <c r="AA412" s="394">
        <f t="shared" si="215"/>
        <v>0.18190000000000001</v>
      </c>
      <c r="AB412" s="394">
        <f t="shared" si="215"/>
        <v>0.18590000000000001</v>
      </c>
      <c r="AC412" s="394">
        <f t="shared" si="215"/>
        <v>0.19009999999999999</v>
      </c>
      <c r="AD412" s="394">
        <f t="shared" si="215"/>
        <v>0.19320000000000001</v>
      </c>
      <c r="AE412" s="394">
        <f t="shared" si="215"/>
        <v>0.19739999999999999</v>
      </c>
      <c r="AF412" s="394">
        <f t="shared" si="215"/>
        <v>0.2009</v>
      </c>
      <c r="AG412" s="394">
        <f t="shared" si="215"/>
        <v>0.20530000000000001</v>
      </c>
      <c r="AH412" s="394">
        <f t="shared" si="215"/>
        <v>0.20880000000000001</v>
      </c>
      <c r="AI412" s="394">
        <f t="shared" si="215"/>
        <v>0.21240000000000001</v>
      </c>
      <c r="AJ412" s="394">
        <f t="shared" si="215"/>
        <v>0.216</v>
      </c>
      <c r="AK412" s="394">
        <f t="shared" si="215"/>
        <v>0.21970000000000001</v>
      </c>
      <c r="AL412" s="394">
        <f t="shared" si="215"/>
        <v>0.2273</v>
      </c>
      <c r="AM412" s="394">
        <f t="shared" si="215"/>
        <v>0.23130000000000001</v>
      </c>
      <c r="AN412" s="394">
        <f t="shared" si="215"/>
        <v>0.23519999999999999</v>
      </c>
      <c r="AO412" s="394">
        <f t="shared" si="215"/>
        <v>0.2392</v>
      </c>
      <c r="AP412" s="394">
        <f t="shared" si="215"/>
        <v>0.24329999999999999</v>
      </c>
      <c r="AQ412" s="394">
        <f t="shared" si="215"/>
        <v>0.24740000000000001</v>
      </c>
      <c r="AR412" s="394">
        <f t="shared" si="215"/>
        <v>0.2515</v>
      </c>
      <c r="AS412" s="394">
        <f t="shared" si="215"/>
        <v>0.2555</v>
      </c>
      <c r="AT412" s="394">
        <f t="shared" si="215"/>
        <v>0.2596</v>
      </c>
      <c r="AU412" s="394">
        <f t="shared" si="215"/>
        <v>0.26379999999999998</v>
      </c>
      <c r="AV412" s="394">
        <f t="shared" si="215"/>
        <v>0.26800000000000002</v>
      </c>
      <c r="AW412" s="394">
        <f t="shared" si="215"/>
        <v>0.27229999999999999</v>
      </c>
      <c r="AX412" s="394">
        <f t="shared" si="215"/>
        <v>0.27650000000000002</v>
      </c>
      <c r="AY412" s="394">
        <f t="shared" si="215"/>
        <v>0.28079999999999999</v>
      </c>
      <c r="AZ412" s="394">
        <f t="shared" si="215"/>
        <v>0.28510000000000002</v>
      </c>
      <c r="BA412" s="394">
        <f t="shared" si="215"/>
        <v>0.28949999999999998</v>
      </c>
      <c r="BB412" s="394">
        <f t="shared" si="215"/>
        <v>0.29380000000000001</v>
      </c>
      <c r="BC412" s="394">
        <f t="shared" si="215"/>
        <v>0.29820000000000002</v>
      </c>
      <c r="BD412" s="394">
        <f t="shared" si="215"/>
        <v>0.30270000000000002</v>
      </c>
      <c r="BE412" s="394">
        <f t="shared" si="215"/>
        <v>0.30719999999999997</v>
      </c>
    </row>
    <row r="413" spans="1:57" ht="14.25" customHeight="1" x14ac:dyDescent="0.45">
      <c r="A413" s="618"/>
      <c r="B413" s="215"/>
      <c r="C413" s="220"/>
      <c r="D413" s="224" t="s">
        <v>343</v>
      </c>
      <c r="E413" s="346">
        <f t="shared" si="212"/>
        <v>14.880699999999999</v>
      </c>
      <c r="F413" s="346">
        <f t="shared" si="212"/>
        <v>10.603999999999999</v>
      </c>
      <c r="G413" s="346">
        <f t="shared" si="212"/>
        <v>8.5897000000000006</v>
      </c>
      <c r="H413" s="346">
        <f t="shared" si="212"/>
        <v>7.5137</v>
      </c>
      <c r="I413" s="394"/>
      <c r="J413" s="394"/>
      <c r="K413" s="394"/>
      <c r="L413" s="394"/>
      <c r="M413" s="394"/>
      <c r="N413" s="394"/>
      <c r="O413" s="394"/>
      <c r="P413" s="394"/>
      <c r="Q413" s="394"/>
      <c r="R413" s="394"/>
      <c r="S413" s="394"/>
      <c r="T413" s="394"/>
      <c r="U413" s="394"/>
      <c r="V413" s="394"/>
      <c r="W413" s="394"/>
      <c r="X413" s="394"/>
      <c r="Y413" s="394"/>
      <c r="Z413" s="394"/>
      <c r="AA413" s="394"/>
      <c r="AB413" s="394"/>
      <c r="AC413" s="394"/>
      <c r="AD413" s="394"/>
      <c r="AE413" s="394"/>
      <c r="AF413" s="394"/>
      <c r="AG413" s="394"/>
      <c r="AH413" s="394"/>
      <c r="AI413" s="394"/>
      <c r="AJ413" s="394"/>
      <c r="AK413" s="394"/>
      <c r="AL413" s="394"/>
      <c r="AM413" s="394"/>
      <c r="AN413" s="394"/>
      <c r="AO413" s="394"/>
      <c r="AP413" s="394"/>
      <c r="AQ413" s="394"/>
      <c r="AR413" s="394"/>
      <c r="AS413" s="394"/>
      <c r="AT413" s="394"/>
      <c r="AU413" s="394"/>
      <c r="AV413" s="394"/>
      <c r="AW413" s="394"/>
      <c r="AX413" s="394"/>
      <c r="AY413" s="394"/>
      <c r="AZ413" s="394"/>
      <c r="BA413" s="394"/>
      <c r="BB413" s="394"/>
      <c r="BC413" s="394"/>
      <c r="BD413" s="394"/>
      <c r="BE413" s="394"/>
    </row>
    <row r="414" spans="1:57" ht="14.25" customHeight="1" x14ac:dyDescent="0.45">
      <c r="A414" s="618"/>
      <c r="B414" s="215"/>
      <c r="C414" s="220"/>
      <c r="D414" s="228" t="s">
        <v>180</v>
      </c>
      <c r="E414" s="346">
        <f t="shared" si="212"/>
        <v>5.1630000000000003</v>
      </c>
      <c r="F414" s="346">
        <f t="shared" si="212"/>
        <v>3.0425</v>
      </c>
      <c r="G414" s="346">
        <f t="shared" si="212"/>
        <v>2.7892000000000001</v>
      </c>
      <c r="H414" s="346">
        <f t="shared" si="212"/>
        <v>2.3933</v>
      </c>
      <c r="I414" s="394"/>
      <c r="J414" s="394"/>
      <c r="K414" s="394"/>
      <c r="L414" s="394"/>
      <c r="M414" s="394"/>
      <c r="N414" s="394"/>
      <c r="O414" s="394"/>
      <c r="P414" s="394"/>
      <c r="Q414" s="394"/>
      <c r="R414" s="394"/>
      <c r="S414" s="394"/>
      <c r="T414" s="394"/>
      <c r="U414" s="394"/>
      <c r="V414" s="394"/>
      <c r="W414" s="394"/>
      <c r="X414" s="394"/>
      <c r="Y414" s="394"/>
      <c r="Z414" s="394"/>
      <c r="AA414" s="394"/>
      <c r="AB414" s="394"/>
      <c r="AC414" s="394"/>
      <c r="AD414" s="394"/>
      <c r="AE414" s="394"/>
      <c r="AF414" s="394"/>
      <c r="AG414" s="394"/>
      <c r="AH414" s="394"/>
      <c r="AI414" s="394"/>
      <c r="AJ414" s="394"/>
      <c r="AK414" s="394"/>
      <c r="AL414" s="394"/>
      <c r="AM414" s="394"/>
      <c r="AN414" s="394"/>
      <c r="AO414" s="394"/>
      <c r="AP414" s="394"/>
      <c r="AQ414" s="394"/>
      <c r="AR414" s="394"/>
      <c r="AS414" s="394"/>
      <c r="AT414" s="394"/>
      <c r="AU414" s="394"/>
      <c r="AV414" s="394"/>
      <c r="AW414" s="394"/>
      <c r="AX414" s="394"/>
      <c r="AY414" s="394"/>
      <c r="AZ414" s="394"/>
      <c r="BA414" s="394"/>
      <c r="BB414" s="394"/>
      <c r="BC414" s="394"/>
      <c r="BD414" s="394"/>
      <c r="BE414" s="394"/>
    </row>
    <row r="415" spans="1:57" ht="14.25" customHeight="1" x14ac:dyDescent="0.45">
      <c r="A415" s="4"/>
      <c r="B415" s="298"/>
      <c r="C415" s="220" t="s">
        <v>181</v>
      </c>
      <c r="D415" s="243" t="s">
        <v>190</v>
      </c>
      <c r="E415" s="346">
        <f t="shared" si="212"/>
        <v>0.78739999999999999</v>
      </c>
      <c r="F415" s="346">
        <f t="shared" si="212"/>
        <v>8.4199999999999997E-2</v>
      </c>
      <c r="G415" s="346">
        <f t="shared" si="212"/>
        <v>0.28570000000000001</v>
      </c>
      <c r="H415" s="346">
        <f t="shared" si="212"/>
        <v>0.1363</v>
      </c>
      <c r="I415" s="394">
        <f t="shared" ref="I415:BE415" si="216">ROUND(I$392*$I307*0.99,4)</f>
        <v>0.34100000000000003</v>
      </c>
      <c r="J415" s="394">
        <f t="shared" si="216"/>
        <v>0.34010000000000001</v>
      </c>
      <c r="K415" s="394">
        <f t="shared" si="216"/>
        <v>0.34260000000000002</v>
      </c>
      <c r="L415" s="394">
        <f t="shared" si="216"/>
        <v>0.35199999999999998</v>
      </c>
      <c r="M415" s="394">
        <f t="shared" si="216"/>
        <v>0.36130000000000001</v>
      </c>
      <c r="N415" s="394">
        <f t="shared" si="216"/>
        <v>0.37259999999999999</v>
      </c>
      <c r="O415" s="394">
        <f t="shared" si="216"/>
        <v>0.37240000000000001</v>
      </c>
      <c r="P415" s="394">
        <f t="shared" si="216"/>
        <v>0.3805</v>
      </c>
      <c r="Q415" s="394">
        <f t="shared" si="216"/>
        <v>0.39090000000000003</v>
      </c>
      <c r="R415" s="394">
        <f t="shared" si="216"/>
        <v>0.39800000000000002</v>
      </c>
      <c r="S415" s="394">
        <f t="shared" si="216"/>
        <v>0.40920000000000001</v>
      </c>
      <c r="T415" s="394">
        <f t="shared" si="216"/>
        <v>0.4209</v>
      </c>
      <c r="U415" s="394">
        <f t="shared" si="216"/>
        <v>0.43209999999999998</v>
      </c>
      <c r="V415" s="394">
        <f t="shared" si="216"/>
        <v>0.44219999999999998</v>
      </c>
      <c r="W415" s="394">
        <f t="shared" si="216"/>
        <v>0.45440000000000003</v>
      </c>
      <c r="X415" s="394">
        <f t="shared" si="216"/>
        <v>0.46450000000000002</v>
      </c>
      <c r="Y415" s="394">
        <f t="shared" si="216"/>
        <v>0.47610000000000002</v>
      </c>
      <c r="Z415" s="394">
        <f t="shared" si="216"/>
        <v>0.48770000000000002</v>
      </c>
      <c r="AA415" s="394">
        <f t="shared" si="216"/>
        <v>0.49919999999999998</v>
      </c>
      <c r="AB415" s="394">
        <f t="shared" si="216"/>
        <v>0.5101</v>
      </c>
      <c r="AC415" s="394">
        <f t="shared" si="216"/>
        <v>0.52170000000000005</v>
      </c>
      <c r="AD415" s="394">
        <f t="shared" si="216"/>
        <v>0.53029999999999999</v>
      </c>
      <c r="AE415" s="394">
        <f t="shared" si="216"/>
        <v>0.54179999999999995</v>
      </c>
      <c r="AF415" s="394">
        <f t="shared" si="216"/>
        <v>0.55120000000000002</v>
      </c>
      <c r="AG415" s="394">
        <f t="shared" si="216"/>
        <v>0.5635</v>
      </c>
      <c r="AH415" s="394">
        <f t="shared" si="216"/>
        <v>0.57310000000000005</v>
      </c>
      <c r="AI415" s="394">
        <f t="shared" si="216"/>
        <v>0.58299999999999996</v>
      </c>
      <c r="AJ415" s="394">
        <f t="shared" si="216"/>
        <v>0.5927</v>
      </c>
      <c r="AK415" s="394">
        <f t="shared" si="216"/>
        <v>0.60289999999999999</v>
      </c>
      <c r="AL415" s="394">
        <f t="shared" si="216"/>
        <v>0.62380000000000002</v>
      </c>
      <c r="AM415" s="394">
        <f t="shared" si="216"/>
        <v>0.63460000000000005</v>
      </c>
      <c r="AN415" s="394">
        <f t="shared" si="216"/>
        <v>0.64559999999999995</v>
      </c>
      <c r="AO415" s="394">
        <f t="shared" si="216"/>
        <v>0.65649999999999997</v>
      </c>
      <c r="AP415" s="394">
        <f t="shared" si="216"/>
        <v>0.66769999999999996</v>
      </c>
      <c r="AQ415" s="394">
        <f t="shared" si="216"/>
        <v>0.67889999999999995</v>
      </c>
      <c r="AR415" s="394">
        <f t="shared" si="216"/>
        <v>0.69010000000000005</v>
      </c>
      <c r="AS415" s="394">
        <f t="shared" si="216"/>
        <v>0.70120000000000005</v>
      </c>
      <c r="AT415" s="394">
        <f t="shared" si="216"/>
        <v>0.71250000000000002</v>
      </c>
      <c r="AU415" s="394">
        <f t="shared" si="216"/>
        <v>0.72389999999999999</v>
      </c>
      <c r="AV415" s="394">
        <f t="shared" si="216"/>
        <v>0.73540000000000005</v>
      </c>
      <c r="AW415" s="394">
        <f t="shared" si="216"/>
        <v>0.74709999999999999</v>
      </c>
      <c r="AX415" s="394">
        <f t="shared" si="216"/>
        <v>0.75880000000000003</v>
      </c>
      <c r="AY415" s="394">
        <f t="shared" si="216"/>
        <v>0.77059999999999995</v>
      </c>
      <c r="AZ415" s="394">
        <f t="shared" si="216"/>
        <v>0.78249999999999997</v>
      </c>
      <c r="BA415" s="394">
        <f t="shared" si="216"/>
        <v>0.7944</v>
      </c>
      <c r="BB415" s="394">
        <f t="shared" si="216"/>
        <v>0.80640000000000001</v>
      </c>
      <c r="BC415" s="394">
        <f t="shared" si="216"/>
        <v>0.81840000000000002</v>
      </c>
      <c r="BD415" s="394">
        <f t="shared" si="216"/>
        <v>0.8306</v>
      </c>
      <c r="BE415" s="394">
        <f t="shared" si="216"/>
        <v>0.84289999999999998</v>
      </c>
    </row>
    <row r="416" spans="1:57" ht="14.25" customHeight="1" x14ac:dyDescent="0.45">
      <c r="A416" s="618"/>
      <c r="B416" s="215"/>
      <c r="C416" s="220" t="s">
        <v>183</v>
      </c>
      <c r="D416" s="243" t="s">
        <v>195</v>
      </c>
      <c r="E416" s="346">
        <f t="shared" si="212"/>
        <v>3.5322</v>
      </c>
      <c r="F416" s="346">
        <f t="shared" si="212"/>
        <v>2.3904999999999998</v>
      </c>
      <c r="G416" s="346">
        <f t="shared" si="212"/>
        <v>1.9511000000000001</v>
      </c>
      <c r="H416" s="346">
        <f t="shared" si="212"/>
        <v>1.5739000000000001</v>
      </c>
      <c r="I416" s="394">
        <f t="shared" ref="I416:BE416" si="217">ROUND(I$392*$I308*0.99,4)</f>
        <v>2.4539</v>
      </c>
      <c r="J416" s="394">
        <f t="shared" si="217"/>
        <v>2.4474</v>
      </c>
      <c r="K416" s="394">
        <f t="shared" si="217"/>
        <v>2.4651000000000001</v>
      </c>
      <c r="L416" s="394">
        <f t="shared" si="217"/>
        <v>2.5329000000000002</v>
      </c>
      <c r="M416" s="394">
        <f t="shared" si="217"/>
        <v>2.5998000000000001</v>
      </c>
      <c r="N416" s="394">
        <f t="shared" si="217"/>
        <v>2.6810999999999998</v>
      </c>
      <c r="O416" s="394">
        <f t="shared" si="217"/>
        <v>2.6797</v>
      </c>
      <c r="P416" s="394">
        <f t="shared" si="217"/>
        <v>2.7381000000000002</v>
      </c>
      <c r="Q416" s="394">
        <f t="shared" si="217"/>
        <v>2.8132000000000001</v>
      </c>
      <c r="R416" s="394">
        <f t="shared" si="217"/>
        <v>2.8639000000000001</v>
      </c>
      <c r="S416" s="394">
        <f t="shared" si="217"/>
        <v>2.9445000000000001</v>
      </c>
      <c r="T416" s="394">
        <f t="shared" si="217"/>
        <v>3.0289999999999999</v>
      </c>
      <c r="U416" s="394">
        <f t="shared" si="217"/>
        <v>3.1093000000000002</v>
      </c>
      <c r="V416" s="394">
        <f t="shared" si="217"/>
        <v>3.1821000000000002</v>
      </c>
      <c r="W416" s="394">
        <f t="shared" si="217"/>
        <v>3.27</v>
      </c>
      <c r="X416" s="394">
        <f t="shared" si="217"/>
        <v>3.3426999999999998</v>
      </c>
      <c r="Y416" s="394">
        <f t="shared" si="217"/>
        <v>3.4260999999999999</v>
      </c>
      <c r="Z416" s="394">
        <f t="shared" si="217"/>
        <v>3.5095000000000001</v>
      </c>
      <c r="AA416" s="394">
        <f t="shared" si="217"/>
        <v>3.5924</v>
      </c>
      <c r="AB416" s="394">
        <f t="shared" si="217"/>
        <v>3.6707999999999998</v>
      </c>
      <c r="AC416" s="394">
        <f t="shared" si="217"/>
        <v>3.754</v>
      </c>
      <c r="AD416" s="394">
        <f t="shared" si="217"/>
        <v>3.8159999999999998</v>
      </c>
      <c r="AE416" s="394">
        <f t="shared" si="217"/>
        <v>3.8992</v>
      </c>
      <c r="AF416" s="394">
        <f t="shared" si="217"/>
        <v>3.9668999999999999</v>
      </c>
      <c r="AG416" s="394">
        <f t="shared" si="217"/>
        <v>4.0552999999999999</v>
      </c>
      <c r="AH416" s="394">
        <f t="shared" si="217"/>
        <v>4.1242999999999999</v>
      </c>
      <c r="AI416" s="394">
        <f t="shared" si="217"/>
        <v>4.1954000000000002</v>
      </c>
      <c r="AJ416" s="394">
        <f t="shared" si="217"/>
        <v>4.2655000000000003</v>
      </c>
      <c r="AK416" s="394">
        <f t="shared" si="217"/>
        <v>4.3384</v>
      </c>
      <c r="AL416" s="394">
        <f t="shared" si="217"/>
        <v>4.4886999999999997</v>
      </c>
      <c r="AM416" s="394">
        <f t="shared" si="217"/>
        <v>4.5669000000000004</v>
      </c>
      <c r="AN416" s="394">
        <f t="shared" si="217"/>
        <v>4.6456999999999997</v>
      </c>
      <c r="AO416" s="394">
        <f t="shared" si="217"/>
        <v>4.7241999999999997</v>
      </c>
      <c r="AP416" s="394">
        <f t="shared" si="217"/>
        <v>4.8052000000000001</v>
      </c>
      <c r="AQ416" s="394">
        <f t="shared" si="217"/>
        <v>4.8856000000000002</v>
      </c>
      <c r="AR416" s="394">
        <f t="shared" si="217"/>
        <v>4.9659000000000004</v>
      </c>
      <c r="AS416" s="394">
        <f t="shared" si="217"/>
        <v>5.0462999999999996</v>
      </c>
      <c r="AT416" s="394">
        <f t="shared" si="217"/>
        <v>5.1273</v>
      </c>
      <c r="AU416" s="394">
        <f t="shared" si="217"/>
        <v>5.2095000000000002</v>
      </c>
      <c r="AV416" s="394">
        <f t="shared" si="217"/>
        <v>5.2923999999999998</v>
      </c>
      <c r="AW416" s="394">
        <f t="shared" si="217"/>
        <v>5.3765000000000001</v>
      </c>
      <c r="AX416" s="394">
        <f t="shared" si="217"/>
        <v>5.4603000000000002</v>
      </c>
      <c r="AY416" s="394">
        <f t="shared" si="217"/>
        <v>5.5450999999999997</v>
      </c>
      <c r="AZ416" s="394">
        <f t="shared" si="217"/>
        <v>5.6307999999999998</v>
      </c>
      <c r="BA416" s="394">
        <f t="shared" si="217"/>
        <v>5.7164000000000001</v>
      </c>
      <c r="BB416" s="394">
        <f t="shared" si="217"/>
        <v>5.8026999999999997</v>
      </c>
      <c r="BC416" s="394">
        <f t="shared" si="217"/>
        <v>5.8897000000000004</v>
      </c>
      <c r="BD416" s="394">
        <f t="shared" si="217"/>
        <v>5.9775999999999998</v>
      </c>
      <c r="BE416" s="394">
        <f t="shared" si="217"/>
        <v>6.0659999999999998</v>
      </c>
    </row>
    <row r="417" spans="1:60" ht="13.5" customHeight="1" x14ac:dyDescent="0.45">
      <c r="A417" s="618"/>
      <c r="B417" s="215"/>
      <c r="C417" s="220"/>
      <c r="D417" s="221" t="s">
        <v>344</v>
      </c>
      <c r="E417" s="346">
        <f t="shared" si="212"/>
        <v>1.6000000000000001E-3</v>
      </c>
      <c r="F417" s="346">
        <f t="shared" si="212"/>
        <v>0</v>
      </c>
      <c r="G417" s="346">
        <f t="shared" si="212"/>
        <v>0</v>
      </c>
      <c r="H417" s="346">
        <f t="shared" si="212"/>
        <v>0</v>
      </c>
      <c r="I417" s="394"/>
      <c r="J417" s="394"/>
      <c r="K417" s="394"/>
      <c r="L417" s="394"/>
      <c r="M417" s="394"/>
      <c r="N417" s="394"/>
      <c r="O417" s="394"/>
      <c r="P417" s="394"/>
      <c r="Q417" s="394"/>
      <c r="R417" s="394"/>
      <c r="S417" s="394"/>
      <c r="T417" s="394"/>
      <c r="U417" s="394"/>
      <c r="V417" s="394"/>
      <c r="W417" s="394"/>
      <c r="X417" s="394"/>
      <c r="Y417" s="394"/>
      <c r="Z417" s="394"/>
      <c r="AA417" s="394"/>
      <c r="AB417" s="394"/>
      <c r="AC417" s="394"/>
      <c r="AD417" s="394"/>
      <c r="AE417" s="394"/>
      <c r="AF417" s="394"/>
      <c r="AG417" s="394"/>
      <c r="AH417" s="394"/>
      <c r="AI417" s="394"/>
      <c r="AJ417" s="394"/>
      <c r="AK417" s="394"/>
      <c r="AL417" s="394"/>
      <c r="AM417" s="394"/>
      <c r="AN417" s="394"/>
      <c r="AO417" s="394"/>
      <c r="AP417" s="394"/>
      <c r="AQ417" s="394"/>
      <c r="AR417" s="394"/>
      <c r="AS417" s="394"/>
      <c r="AT417" s="394"/>
      <c r="AU417" s="394"/>
      <c r="AV417" s="394"/>
      <c r="AW417" s="394"/>
      <c r="AX417" s="394"/>
      <c r="AY417" s="394"/>
      <c r="AZ417" s="394"/>
      <c r="BA417" s="394"/>
      <c r="BB417" s="394"/>
      <c r="BC417" s="394"/>
      <c r="BD417" s="394"/>
      <c r="BE417" s="394"/>
    </row>
    <row r="418" spans="1:60" ht="14.25" customHeight="1" x14ac:dyDescent="0.45">
      <c r="A418" s="618"/>
      <c r="B418" s="215"/>
      <c r="C418" s="220" t="s">
        <v>186</v>
      </c>
      <c r="D418" s="221" t="s">
        <v>345</v>
      </c>
      <c r="E418" s="346">
        <f t="shared" si="212"/>
        <v>0.84189999999999998</v>
      </c>
      <c r="F418" s="346">
        <f t="shared" si="212"/>
        <v>0.56789999999999996</v>
      </c>
      <c r="G418" s="346">
        <f t="shared" si="212"/>
        <v>0.55249999999999999</v>
      </c>
      <c r="H418" s="346">
        <f t="shared" si="212"/>
        <v>0.68310000000000004</v>
      </c>
      <c r="I418" s="394">
        <f t="shared" ref="I418:BE418" si="218">ROUND(I$392*$I310*0.99,4)</f>
        <v>0.68479999999999996</v>
      </c>
      <c r="J418" s="394">
        <f t="shared" si="218"/>
        <v>0.68300000000000005</v>
      </c>
      <c r="K418" s="394">
        <f t="shared" si="218"/>
        <v>0.68799999999999994</v>
      </c>
      <c r="L418" s="394">
        <f t="shared" si="218"/>
        <v>0.70689999999999997</v>
      </c>
      <c r="M418" s="394">
        <f t="shared" si="218"/>
        <v>0.72550000000000003</v>
      </c>
      <c r="N418" s="394">
        <f t="shared" si="218"/>
        <v>0.74819999999999998</v>
      </c>
      <c r="O418" s="394">
        <f t="shared" si="218"/>
        <v>0.74780000000000002</v>
      </c>
      <c r="P418" s="394">
        <f t="shared" si="218"/>
        <v>0.7641</v>
      </c>
      <c r="Q418" s="394">
        <f t="shared" si="218"/>
        <v>0.78510000000000002</v>
      </c>
      <c r="R418" s="394">
        <f t="shared" si="218"/>
        <v>0.79920000000000002</v>
      </c>
      <c r="S418" s="394">
        <f t="shared" si="218"/>
        <v>0.82169999999999999</v>
      </c>
      <c r="T418" s="394">
        <f t="shared" si="218"/>
        <v>0.84530000000000005</v>
      </c>
      <c r="U418" s="394">
        <f t="shared" si="218"/>
        <v>0.86770000000000003</v>
      </c>
      <c r="V418" s="394">
        <f t="shared" si="218"/>
        <v>0.88800000000000001</v>
      </c>
      <c r="W418" s="394">
        <f t="shared" si="218"/>
        <v>0.91259999999999997</v>
      </c>
      <c r="X418" s="394">
        <f t="shared" si="218"/>
        <v>0.93289999999999995</v>
      </c>
      <c r="Y418" s="394">
        <f t="shared" si="218"/>
        <v>0.95609999999999995</v>
      </c>
      <c r="Z418" s="394">
        <f t="shared" si="218"/>
        <v>0.97940000000000005</v>
      </c>
      <c r="AA418" s="394">
        <f t="shared" si="218"/>
        <v>1.0025999999999999</v>
      </c>
      <c r="AB418" s="394">
        <f t="shared" si="218"/>
        <v>1.0244</v>
      </c>
      <c r="AC418" s="394">
        <f t="shared" si="218"/>
        <v>1.0476000000000001</v>
      </c>
      <c r="AD418" s="394">
        <f t="shared" si="218"/>
        <v>1.0649</v>
      </c>
      <c r="AE418" s="394">
        <f t="shared" si="218"/>
        <v>1.0882000000000001</v>
      </c>
      <c r="AF418" s="394">
        <f t="shared" si="218"/>
        <v>1.1071</v>
      </c>
      <c r="AG418" s="394">
        <f t="shared" si="218"/>
        <v>1.1316999999999999</v>
      </c>
      <c r="AH418" s="394">
        <f t="shared" si="218"/>
        <v>1.151</v>
      </c>
      <c r="AI418" s="394">
        <f t="shared" si="218"/>
        <v>1.1708000000000001</v>
      </c>
      <c r="AJ418" s="394">
        <f t="shared" si="218"/>
        <v>1.1903999999999999</v>
      </c>
      <c r="AK418" s="394">
        <f t="shared" si="218"/>
        <v>1.2107000000000001</v>
      </c>
      <c r="AL418" s="394">
        <f t="shared" si="218"/>
        <v>1.2526999999999999</v>
      </c>
      <c r="AM418" s="394">
        <f t="shared" si="218"/>
        <v>1.2745</v>
      </c>
      <c r="AN418" s="394">
        <f t="shared" si="218"/>
        <v>1.2965</v>
      </c>
      <c r="AO418" s="394">
        <f t="shared" si="218"/>
        <v>1.3184</v>
      </c>
      <c r="AP418" s="394">
        <f t="shared" si="218"/>
        <v>1.341</v>
      </c>
      <c r="AQ418" s="394">
        <f t="shared" si="218"/>
        <v>1.3633999999999999</v>
      </c>
      <c r="AR418" s="394">
        <f t="shared" si="218"/>
        <v>1.3858999999999999</v>
      </c>
      <c r="AS418" s="394">
        <f t="shared" si="218"/>
        <v>1.4083000000000001</v>
      </c>
      <c r="AT418" s="394">
        <f t="shared" si="218"/>
        <v>1.4309000000000001</v>
      </c>
      <c r="AU418" s="394">
        <f t="shared" si="218"/>
        <v>1.4538</v>
      </c>
      <c r="AV418" s="394">
        <f t="shared" si="218"/>
        <v>1.4770000000000001</v>
      </c>
      <c r="AW418" s="394">
        <f t="shared" si="218"/>
        <v>1.5004</v>
      </c>
      <c r="AX418" s="394">
        <f t="shared" si="218"/>
        <v>1.5238</v>
      </c>
      <c r="AY418" s="394">
        <f t="shared" si="218"/>
        <v>1.5475000000000001</v>
      </c>
      <c r="AZ418" s="394">
        <f t="shared" si="218"/>
        <v>1.5713999999999999</v>
      </c>
      <c r="BA418" s="394">
        <f t="shared" si="218"/>
        <v>1.5952999999999999</v>
      </c>
      <c r="BB418" s="394">
        <f t="shared" si="218"/>
        <v>1.6194</v>
      </c>
      <c r="BC418" s="394">
        <f t="shared" si="218"/>
        <v>1.6436999999999999</v>
      </c>
      <c r="BD418" s="394">
        <f t="shared" si="218"/>
        <v>1.6681999999999999</v>
      </c>
      <c r="BE418" s="394">
        <f t="shared" si="218"/>
        <v>1.6929000000000001</v>
      </c>
      <c r="BF418" s="3"/>
      <c r="BG418" s="3"/>
      <c r="BH418" s="3"/>
    </row>
    <row r="419" spans="1:60" ht="14.25" customHeight="1" x14ac:dyDescent="0.45">
      <c r="A419" s="618"/>
      <c r="B419" s="215"/>
      <c r="C419" s="220"/>
      <c r="D419" s="228" t="s">
        <v>188</v>
      </c>
      <c r="E419" s="346">
        <f t="shared" si="212"/>
        <v>3.6322999999999999</v>
      </c>
      <c r="F419" s="346">
        <f t="shared" si="212"/>
        <v>3.1652</v>
      </c>
      <c r="G419" s="346">
        <f t="shared" si="212"/>
        <v>2.5223</v>
      </c>
      <c r="H419" s="346">
        <f t="shared" si="212"/>
        <v>2.1175999999999999</v>
      </c>
      <c r="I419" s="394"/>
      <c r="J419" s="394"/>
      <c r="K419" s="394"/>
      <c r="L419" s="394"/>
      <c r="M419" s="394"/>
      <c r="N419" s="394"/>
      <c r="O419" s="394"/>
      <c r="P419" s="394"/>
      <c r="Q419" s="394"/>
      <c r="R419" s="394"/>
      <c r="S419" s="394"/>
      <c r="T419" s="394"/>
      <c r="U419" s="394"/>
      <c r="V419" s="394"/>
      <c r="W419" s="394"/>
      <c r="X419" s="394"/>
      <c r="Y419" s="394"/>
      <c r="Z419" s="394"/>
      <c r="AA419" s="394"/>
      <c r="AB419" s="394"/>
      <c r="AC419" s="394"/>
      <c r="AD419" s="394"/>
      <c r="AE419" s="394"/>
      <c r="AF419" s="394"/>
      <c r="AG419" s="394"/>
      <c r="AH419" s="394"/>
      <c r="AI419" s="394"/>
      <c r="AJ419" s="394"/>
      <c r="AK419" s="394"/>
      <c r="AL419" s="394"/>
      <c r="AM419" s="394"/>
      <c r="AN419" s="394"/>
      <c r="AO419" s="394"/>
      <c r="AP419" s="394"/>
      <c r="AQ419" s="394"/>
      <c r="AR419" s="394"/>
      <c r="AS419" s="394"/>
      <c r="AT419" s="394"/>
      <c r="AU419" s="394"/>
      <c r="AV419" s="394"/>
      <c r="AW419" s="394"/>
      <c r="AX419" s="394"/>
      <c r="AY419" s="394"/>
      <c r="AZ419" s="394"/>
      <c r="BA419" s="394"/>
      <c r="BB419" s="394"/>
      <c r="BC419" s="394"/>
      <c r="BD419" s="394"/>
      <c r="BE419" s="394"/>
      <c r="BF419" s="3"/>
      <c r="BG419" s="3"/>
      <c r="BH419" s="3"/>
    </row>
    <row r="420" spans="1:60" ht="14.25" customHeight="1" x14ac:dyDescent="0.45">
      <c r="A420" s="618"/>
      <c r="B420" s="215"/>
      <c r="C420" s="220" t="s">
        <v>189</v>
      </c>
      <c r="D420" s="243" t="s">
        <v>190</v>
      </c>
      <c r="E420" s="346">
        <f t="shared" si="212"/>
        <v>0.42680000000000001</v>
      </c>
      <c r="F420" s="346">
        <f t="shared" si="212"/>
        <v>0.24390000000000001</v>
      </c>
      <c r="G420" s="346">
        <f t="shared" si="212"/>
        <v>8.2199999999999995E-2</v>
      </c>
      <c r="H420" s="346">
        <f t="shared" si="212"/>
        <v>5.5300000000000002E-2</v>
      </c>
      <c r="I420" s="394">
        <f t="shared" ref="I420:BE420" si="219">ROUND(I$392*$I312*0.99,4)</f>
        <v>0.2114</v>
      </c>
      <c r="J420" s="394">
        <f t="shared" si="219"/>
        <v>0.21079999999999999</v>
      </c>
      <c r="K420" s="394">
        <f t="shared" si="219"/>
        <v>0.21240000000000001</v>
      </c>
      <c r="L420" s="394">
        <f t="shared" si="219"/>
        <v>0.21820000000000001</v>
      </c>
      <c r="M420" s="394">
        <f t="shared" si="219"/>
        <v>0.224</v>
      </c>
      <c r="N420" s="394">
        <f t="shared" si="219"/>
        <v>0.23100000000000001</v>
      </c>
      <c r="O420" s="394">
        <f t="shared" si="219"/>
        <v>0.23089999999999999</v>
      </c>
      <c r="P420" s="394">
        <f t="shared" si="219"/>
        <v>0.2359</v>
      </c>
      <c r="Q420" s="394">
        <f t="shared" si="219"/>
        <v>0.2424</v>
      </c>
      <c r="R420" s="394">
        <f t="shared" si="219"/>
        <v>0.2467</v>
      </c>
      <c r="S420" s="394">
        <f t="shared" si="219"/>
        <v>0.25369999999999998</v>
      </c>
      <c r="T420" s="394">
        <f t="shared" si="219"/>
        <v>0.26100000000000001</v>
      </c>
      <c r="U420" s="394">
        <f t="shared" si="219"/>
        <v>0.26790000000000003</v>
      </c>
      <c r="V420" s="394">
        <f t="shared" si="219"/>
        <v>0.27410000000000001</v>
      </c>
      <c r="W420" s="394">
        <f t="shared" si="219"/>
        <v>0.28170000000000001</v>
      </c>
      <c r="X420" s="394">
        <f t="shared" si="219"/>
        <v>0.28799999999999998</v>
      </c>
      <c r="Y420" s="394">
        <f t="shared" si="219"/>
        <v>0.29520000000000002</v>
      </c>
      <c r="Z420" s="394">
        <f t="shared" si="219"/>
        <v>0.30230000000000001</v>
      </c>
      <c r="AA420" s="394">
        <f t="shared" si="219"/>
        <v>0.3095</v>
      </c>
      <c r="AB420" s="394">
        <f t="shared" si="219"/>
        <v>0.31619999999999998</v>
      </c>
      <c r="AC420" s="394">
        <f t="shared" si="219"/>
        <v>0.32340000000000002</v>
      </c>
      <c r="AD420" s="394">
        <f t="shared" si="219"/>
        <v>0.32879999999999998</v>
      </c>
      <c r="AE420" s="394">
        <f t="shared" si="219"/>
        <v>0.33589999999999998</v>
      </c>
      <c r="AF420" s="394">
        <f t="shared" si="219"/>
        <v>0.34179999999999999</v>
      </c>
      <c r="AG420" s="394">
        <f t="shared" si="219"/>
        <v>0.34939999999999999</v>
      </c>
      <c r="AH420" s="394">
        <f t="shared" si="219"/>
        <v>0.3553</v>
      </c>
      <c r="AI420" s="394">
        <f t="shared" si="219"/>
        <v>0.3614</v>
      </c>
      <c r="AJ420" s="394">
        <f t="shared" si="219"/>
        <v>0.36749999999999999</v>
      </c>
      <c r="AK420" s="394">
        <f t="shared" si="219"/>
        <v>0.37380000000000002</v>
      </c>
      <c r="AL420" s="394">
        <f t="shared" si="219"/>
        <v>0.38669999999999999</v>
      </c>
      <c r="AM420" s="394">
        <f t="shared" si="219"/>
        <v>0.39340000000000003</v>
      </c>
      <c r="AN420" s="394">
        <f t="shared" si="219"/>
        <v>0.4002</v>
      </c>
      <c r="AO420" s="394">
        <f t="shared" si="219"/>
        <v>0.40699999999999997</v>
      </c>
      <c r="AP420" s="394">
        <f t="shared" si="219"/>
        <v>0.41399999999999998</v>
      </c>
      <c r="AQ420" s="394">
        <f t="shared" si="219"/>
        <v>0.4209</v>
      </c>
      <c r="AR420" s="394">
        <f t="shared" si="219"/>
        <v>0.42780000000000001</v>
      </c>
      <c r="AS420" s="394">
        <f t="shared" si="219"/>
        <v>0.43469999999999998</v>
      </c>
      <c r="AT420" s="394">
        <f t="shared" si="219"/>
        <v>0.44169999999999998</v>
      </c>
      <c r="AU420" s="394">
        <f t="shared" si="219"/>
        <v>0.44879999999999998</v>
      </c>
      <c r="AV420" s="394">
        <f t="shared" si="219"/>
        <v>0.45600000000000002</v>
      </c>
      <c r="AW420" s="394">
        <f t="shared" si="219"/>
        <v>0.4632</v>
      </c>
      <c r="AX420" s="394">
        <f t="shared" si="219"/>
        <v>0.47039999999999998</v>
      </c>
      <c r="AY420" s="394">
        <f t="shared" si="219"/>
        <v>0.47770000000000001</v>
      </c>
      <c r="AZ420" s="394">
        <f t="shared" si="219"/>
        <v>0.48509999999999998</v>
      </c>
      <c r="BA420" s="394">
        <f t="shared" si="219"/>
        <v>0.49249999999999999</v>
      </c>
      <c r="BB420" s="394">
        <f t="shared" si="219"/>
        <v>0.49990000000000001</v>
      </c>
      <c r="BC420" s="394">
        <f t="shared" si="219"/>
        <v>0.50739999999999996</v>
      </c>
      <c r="BD420" s="394">
        <f t="shared" si="219"/>
        <v>0.51500000000000001</v>
      </c>
      <c r="BE420" s="394">
        <f t="shared" si="219"/>
        <v>0.52259999999999995</v>
      </c>
      <c r="BF420" s="3"/>
      <c r="BG420" s="3"/>
      <c r="BH420" s="3"/>
    </row>
    <row r="421" spans="1:60" ht="14.25" customHeight="1" x14ac:dyDescent="0.45">
      <c r="A421" s="618"/>
      <c r="B421" s="215"/>
      <c r="C421" s="220" t="s">
        <v>191</v>
      </c>
      <c r="D421" s="243" t="s">
        <v>411</v>
      </c>
      <c r="E421" s="346">
        <f t="shared" ref="E421:H440" si="220">ROUND(E226*0.99,4)</f>
        <v>3.2054999999999998</v>
      </c>
      <c r="F421" s="346">
        <f t="shared" si="220"/>
        <v>2.9213</v>
      </c>
      <c r="G421" s="346">
        <f t="shared" si="220"/>
        <v>2.4401999999999999</v>
      </c>
      <c r="H421" s="346">
        <f t="shared" si="220"/>
        <v>2.0623</v>
      </c>
      <c r="I421" s="394">
        <f t="shared" ref="I421:BE421" si="221">ROUND(I$392*$I313*0.99,4)</f>
        <v>2.7498</v>
      </c>
      <c r="J421" s="394">
        <f t="shared" si="221"/>
        <v>2.7425999999999999</v>
      </c>
      <c r="K421" s="394">
        <f t="shared" si="221"/>
        <v>2.7624</v>
      </c>
      <c r="L421" s="394">
        <f t="shared" si="221"/>
        <v>2.8384</v>
      </c>
      <c r="M421" s="394">
        <f t="shared" si="221"/>
        <v>2.9133</v>
      </c>
      <c r="N421" s="394">
        <f t="shared" si="221"/>
        <v>3.0044</v>
      </c>
      <c r="O421" s="394">
        <f t="shared" si="221"/>
        <v>3.0028999999999999</v>
      </c>
      <c r="P421" s="394">
        <f t="shared" si="221"/>
        <v>3.0682999999999998</v>
      </c>
      <c r="Q421" s="394">
        <f t="shared" si="221"/>
        <v>3.1524999999999999</v>
      </c>
      <c r="R421" s="394">
        <f t="shared" si="221"/>
        <v>3.2092999999999998</v>
      </c>
      <c r="S421" s="394">
        <f t="shared" si="221"/>
        <v>3.2995999999999999</v>
      </c>
      <c r="T421" s="394">
        <f t="shared" si="221"/>
        <v>3.3942999999999999</v>
      </c>
      <c r="U421" s="394">
        <f t="shared" si="221"/>
        <v>3.4843000000000002</v>
      </c>
      <c r="V421" s="394">
        <f t="shared" si="221"/>
        <v>3.5657999999999999</v>
      </c>
      <c r="W421" s="394">
        <f t="shared" si="221"/>
        <v>3.6644000000000001</v>
      </c>
      <c r="X421" s="394">
        <f t="shared" si="221"/>
        <v>3.7458999999999998</v>
      </c>
      <c r="Y421" s="394">
        <f t="shared" si="221"/>
        <v>3.8393000000000002</v>
      </c>
      <c r="Z421" s="394">
        <f t="shared" si="221"/>
        <v>3.9327999999999999</v>
      </c>
      <c r="AA421" s="394">
        <f t="shared" si="221"/>
        <v>4.0256999999999996</v>
      </c>
      <c r="AB421" s="394">
        <f t="shared" si="221"/>
        <v>4.1135000000000002</v>
      </c>
      <c r="AC421" s="394">
        <f t="shared" si="221"/>
        <v>4.2066999999999997</v>
      </c>
      <c r="AD421" s="394">
        <f t="shared" si="221"/>
        <v>4.2762000000000002</v>
      </c>
      <c r="AE421" s="394">
        <f t="shared" si="221"/>
        <v>4.3695000000000004</v>
      </c>
      <c r="AF421" s="394">
        <f t="shared" si="221"/>
        <v>4.4452999999999996</v>
      </c>
      <c r="AG421" s="394">
        <f t="shared" si="221"/>
        <v>4.5444000000000004</v>
      </c>
      <c r="AH421" s="394">
        <f t="shared" si="221"/>
        <v>4.6216999999999997</v>
      </c>
      <c r="AI421" s="394">
        <f t="shared" si="221"/>
        <v>4.7013999999999996</v>
      </c>
      <c r="AJ421" s="394">
        <f t="shared" si="221"/>
        <v>4.7798999999999996</v>
      </c>
      <c r="AK421" s="394">
        <f t="shared" si="221"/>
        <v>4.8616999999999999</v>
      </c>
      <c r="AL421" s="394">
        <f t="shared" si="221"/>
        <v>5.0301</v>
      </c>
      <c r="AM421" s="394">
        <f t="shared" si="221"/>
        <v>5.1177000000000001</v>
      </c>
      <c r="AN421" s="394">
        <f t="shared" si="221"/>
        <v>5.2060000000000004</v>
      </c>
      <c r="AO421" s="394">
        <f t="shared" si="221"/>
        <v>5.2939999999999996</v>
      </c>
      <c r="AP421" s="394">
        <f t="shared" si="221"/>
        <v>5.3846999999999996</v>
      </c>
      <c r="AQ421" s="394">
        <f t="shared" si="221"/>
        <v>5.4748000000000001</v>
      </c>
      <c r="AR421" s="394">
        <f t="shared" si="221"/>
        <v>5.5648</v>
      </c>
      <c r="AS421" s="394">
        <f t="shared" si="221"/>
        <v>5.6548999999999996</v>
      </c>
      <c r="AT421" s="394">
        <f t="shared" si="221"/>
        <v>5.7457000000000003</v>
      </c>
      <c r="AU421" s="394">
        <f t="shared" si="221"/>
        <v>5.8377999999999997</v>
      </c>
      <c r="AV421" s="394">
        <f t="shared" si="221"/>
        <v>5.9306999999999999</v>
      </c>
      <c r="AW421" s="394">
        <f t="shared" si="221"/>
        <v>6.0250000000000004</v>
      </c>
      <c r="AX421" s="394">
        <f t="shared" si="221"/>
        <v>6.1189</v>
      </c>
      <c r="AY421" s="394">
        <f t="shared" si="221"/>
        <v>6.2138</v>
      </c>
      <c r="AZ421" s="394">
        <f t="shared" si="221"/>
        <v>6.3098999999999998</v>
      </c>
      <c r="BA421" s="394">
        <f t="shared" si="221"/>
        <v>6.4058999999999999</v>
      </c>
      <c r="BB421" s="394">
        <f t="shared" si="221"/>
        <v>6.5026000000000002</v>
      </c>
      <c r="BC421" s="394">
        <f t="shared" si="221"/>
        <v>6.6</v>
      </c>
      <c r="BD421" s="394">
        <f t="shared" si="221"/>
        <v>6.6985000000000001</v>
      </c>
      <c r="BE421" s="394">
        <f t="shared" si="221"/>
        <v>6.7976000000000001</v>
      </c>
      <c r="BF421" s="3"/>
      <c r="BG421" s="3"/>
      <c r="BH421" s="3"/>
    </row>
    <row r="422" spans="1:60" ht="14.25" customHeight="1" x14ac:dyDescent="0.45">
      <c r="A422" s="618"/>
      <c r="B422" s="215"/>
      <c r="C422" s="220"/>
      <c r="D422" s="228" t="s">
        <v>193</v>
      </c>
      <c r="E422" s="346">
        <f t="shared" si="220"/>
        <v>6.0853999999999999</v>
      </c>
      <c r="F422" s="346">
        <f t="shared" si="220"/>
        <v>4.3963000000000001</v>
      </c>
      <c r="G422" s="346">
        <f t="shared" si="220"/>
        <v>3.2780999999999998</v>
      </c>
      <c r="H422" s="346">
        <f t="shared" si="220"/>
        <v>3.0028000000000001</v>
      </c>
      <c r="I422" s="394"/>
      <c r="J422" s="394"/>
      <c r="K422" s="394"/>
      <c r="L422" s="394"/>
      <c r="M422" s="394"/>
      <c r="N422" s="394"/>
      <c r="O422" s="394"/>
      <c r="P422" s="394"/>
      <c r="Q422" s="394"/>
      <c r="R422" s="394"/>
      <c r="S422" s="394"/>
      <c r="T422" s="394"/>
      <c r="U422" s="394"/>
      <c r="V422" s="394"/>
      <c r="W422" s="394"/>
      <c r="X422" s="394"/>
      <c r="Y422" s="394"/>
      <c r="Z422" s="394"/>
      <c r="AA422" s="394"/>
      <c r="AB422" s="394"/>
      <c r="AC422" s="394"/>
      <c r="AD422" s="394"/>
      <c r="AE422" s="394"/>
      <c r="AF422" s="394"/>
      <c r="AG422" s="394"/>
      <c r="AH422" s="394"/>
      <c r="AI422" s="394"/>
      <c r="AJ422" s="394"/>
      <c r="AK422" s="394"/>
      <c r="AL422" s="394"/>
      <c r="AM422" s="394"/>
      <c r="AN422" s="394"/>
      <c r="AO422" s="394"/>
      <c r="AP422" s="394"/>
      <c r="AQ422" s="394"/>
      <c r="AR422" s="394"/>
      <c r="AS422" s="394"/>
      <c r="AT422" s="394"/>
      <c r="AU422" s="394"/>
      <c r="AV422" s="394"/>
      <c r="AW422" s="394"/>
      <c r="AX422" s="394"/>
      <c r="AY422" s="394"/>
      <c r="AZ422" s="394"/>
      <c r="BA422" s="394"/>
      <c r="BB422" s="394"/>
      <c r="BC422" s="394"/>
      <c r="BD422" s="394"/>
      <c r="BE422" s="394"/>
      <c r="BF422" s="3"/>
      <c r="BG422" s="3"/>
      <c r="BH422" s="3"/>
    </row>
    <row r="423" spans="1:60" ht="13.5" customHeight="1" x14ac:dyDescent="0.45">
      <c r="A423" s="618"/>
      <c r="B423" s="215"/>
      <c r="C423" s="220" t="s">
        <v>194</v>
      </c>
      <c r="D423" s="243" t="s">
        <v>195</v>
      </c>
      <c r="E423" s="346">
        <f t="shared" si="220"/>
        <v>6.0853999999999999</v>
      </c>
      <c r="F423" s="346">
        <f t="shared" si="220"/>
        <v>4.3963000000000001</v>
      </c>
      <c r="G423" s="346">
        <f t="shared" si="220"/>
        <v>3.2780999999999998</v>
      </c>
      <c r="H423" s="346">
        <f t="shared" si="220"/>
        <v>3.0028000000000001</v>
      </c>
      <c r="I423" s="394">
        <f t="shared" ref="I423:BE423" si="222">ROUND(I$392*$I315*0.99,4)</f>
        <v>4.3498999999999999</v>
      </c>
      <c r="J423" s="394">
        <f t="shared" si="222"/>
        <v>4.3384</v>
      </c>
      <c r="K423" s="394">
        <f t="shared" si="222"/>
        <v>4.3697999999999997</v>
      </c>
      <c r="L423" s="394">
        <f t="shared" si="222"/>
        <v>4.49</v>
      </c>
      <c r="M423" s="394">
        <f t="shared" si="222"/>
        <v>4.6085000000000003</v>
      </c>
      <c r="N423" s="394">
        <f t="shared" si="222"/>
        <v>4.7526000000000002</v>
      </c>
      <c r="O423" s="394">
        <f t="shared" si="222"/>
        <v>4.7500999999999998</v>
      </c>
      <c r="P423" s="394">
        <f t="shared" si="222"/>
        <v>4.8536999999999999</v>
      </c>
      <c r="Q423" s="394">
        <f t="shared" si="222"/>
        <v>4.9867999999999997</v>
      </c>
      <c r="R423" s="394">
        <f t="shared" si="222"/>
        <v>5.0766</v>
      </c>
      <c r="S423" s="394">
        <f t="shared" si="222"/>
        <v>5.2195</v>
      </c>
      <c r="T423" s="394">
        <f t="shared" si="222"/>
        <v>5.3693</v>
      </c>
      <c r="U423" s="394">
        <f t="shared" si="222"/>
        <v>5.5117000000000003</v>
      </c>
      <c r="V423" s="394">
        <f t="shared" si="222"/>
        <v>5.6406999999999998</v>
      </c>
      <c r="W423" s="394">
        <f t="shared" si="222"/>
        <v>5.7965999999999998</v>
      </c>
      <c r="X423" s="394">
        <f t="shared" si="222"/>
        <v>5.9255000000000004</v>
      </c>
      <c r="Y423" s="394">
        <f t="shared" si="222"/>
        <v>6.0732999999999997</v>
      </c>
      <c r="Z423" s="394">
        <f t="shared" si="222"/>
        <v>6.2210999999999999</v>
      </c>
      <c r="AA423" s="394">
        <f t="shared" si="222"/>
        <v>6.3681000000000001</v>
      </c>
      <c r="AB423" s="394">
        <f t="shared" si="222"/>
        <v>6.5069999999999997</v>
      </c>
      <c r="AC423" s="394">
        <f t="shared" si="222"/>
        <v>6.6544999999999996</v>
      </c>
      <c r="AD423" s="394">
        <f t="shared" si="222"/>
        <v>6.7644000000000002</v>
      </c>
      <c r="AE423" s="394">
        <f t="shared" si="222"/>
        <v>6.9119999999999999</v>
      </c>
      <c r="AF423" s="394">
        <f t="shared" si="222"/>
        <v>7.0319000000000003</v>
      </c>
      <c r="AG423" s="394">
        <f t="shared" si="222"/>
        <v>7.1886000000000001</v>
      </c>
      <c r="AH423" s="394">
        <f t="shared" si="222"/>
        <v>7.3109000000000002</v>
      </c>
      <c r="AI423" s="394">
        <f t="shared" si="222"/>
        <v>7.4370000000000003</v>
      </c>
      <c r="AJ423" s="394">
        <f t="shared" si="222"/>
        <v>7.5612000000000004</v>
      </c>
      <c r="AK423" s="394">
        <f t="shared" si="222"/>
        <v>7.6905000000000001</v>
      </c>
      <c r="AL423" s="394">
        <f t="shared" si="222"/>
        <v>7.9569000000000001</v>
      </c>
      <c r="AM423" s="394">
        <f t="shared" si="222"/>
        <v>8.0954999999999995</v>
      </c>
      <c r="AN423" s="394">
        <f t="shared" si="222"/>
        <v>8.2352000000000007</v>
      </c>
      <c r="AO423" s="394">
        <f t="shared" si="222"/>
        <v>8.3743999999999996</v>
      </c>
      <c r="AP423" s="394">
        <f t="shared" si="222"/>
        <v>8.5178999999999991</v>
      </c>
      <c r="AQ423" s="394">
        <f t="shared" si="222"/>
        <v>8.6603999999999992</v>
      </c>
      <c r="AR423" s="394">
        <f t="shared" si="222"/>
        <v>8.8028999999999993</v>
      </c>
      <c r="AS423" s="394">
        <f t="shared" si="222"/>
        <v>8.9452999999999996</v>
      </c>
      <c r="AT423" s="394">
        <f t="shared" si="222"/>
        <v>9.0889000000000006</v>
      </c>
      <c r="AU423" s="394">
        <f t="shared" si="222"/>
        <v>9.2347000000000001</v>
      </c>
      <c r="AV423" s="394">
        <f t="shared" si="222"/>
        <v>9.3816000000000006</v>
      </c>
      <c r="AW423" s="394">
        <f t="shared" si="222"/>
        <v>9.5306999999999995</v>
      </c>
      <c r="AX423" s="394">
        <f t="shared" si="222"/>
        <v>9.6792999999999996</v>
      </c>
      <c r="AY423" s="394">
        <f t="shared" si="222"/>
        <v>9.8294999999999995</v>
      </c>
      <c r="AZ423" s="394">
        <f t="shared" si="222"/>
        <v>9.9814000000000007</v>
      </c>
      <c r="BA423" s="394">
        <f t="shared" si="222"/>
        <v>10.1333</v>
      </c>
      <c r="BB423" s="394">
        <f t="shared" si="222"/>
        <v>10.286199999999999</v>
      </c>
      <c r="BC423" s="394">
        <f t="shared" si="222"/>
        <v>10.440300000000001</v>
      </c>
      <c r="BD423" s="394">
        <f t="shared" si="222"/>
        <v>10.5961</v>
      </c>
      <c r="BE423" s="394">
        <f t="shared" si="222"/>
        <v>10.753</v>
      </c>
      <c r="BF423" s="3"/>
      <c r="BG423" s="3"/>
      <c r="BH423" s="3"/>
    </row>
    <row r="424" spans="1:60" ht="13.5" customHeight="1" x14ac:dyDescent="0.45">
      <c r="A424" s="618"/>
      <c r="B424" s="215"/>
      <c r="C424" s="220"/>
      <c r="D424" s="224" t="s">
        <v>347</v>
      </c>
      <c r="E424" s="346">
        <f t="shared" si="220"/>
        <v>0.16220000000000001</v>
      </c>
      <c r="F424" s="346">
        <f t="shared" si="220"/>
        <v>0.14660000000000001</v>
      </c>
      <c r="G424" s="346">
        <f t="shared" si="220"/>
        <v>0.15670000000000001</v>
      </c>
      <c r="H424" s="346">
        <f t="shared" si="220"/>
        <v>0.15010000000000001</v>
      </c>
      <c r="I424" s="394"/>
      <c r="J424" s="394"/>
      <c r="K424" s="394"/>
      <c r="L424" s="394"/>
      <c r="M424" s="394"/>
      <c r="N424" s="394"/>
      <c r="O424" s="394"/>
      <c r="P424" s="394"/>
      <c r="Q424" s="394"/>
      <c r="R424" s="394"/>
      <c r="S424" s="394"/>
      <c r="T424" s="394"/>
      <c r="U424" s="394"/>
      <c r="V424" s="394"/>
      <c r="W424" s="394"/>
      <c r="X424" s="394"/>
      <c r="Y424" s="394"/>
      <c r="Z424" s="394"/>
      <c r="AA424" s="394"/>
      <c r="AB424" s="394"/>
      <c r="AC424" s="394"/>
      <c r="AD424" s="394"/>
      <c r="AE424" s="394"/>
      <c r="AF424" s="394"/>
      <c r="AG424" s="394"/>
      <c r="AH424" s="394"/>
      <c r="AI424" s="394"/>
      <c r="AJ424" s="394"/>
      <c r="AK424" s="394"/>
      <c r="AL424" s="394"/>
      <c r="AM424" s="394"/>
      <c r="AN424" s="394"/>
      <c r="AO424" s="394"/>
      <c r="AP424" s="394"/>
      <c r="AQ424" s="394"/>
      <c r="AR424" s="394"/>
      <c r="AS424" s="394"/>
      <c r="AT424" s="394"/>
      <c r="AU424" s="394"/>
      <c r="AV424" s="394"/>
      <c r="AW424" s="394"/>
      <c r="AX424" s="394"/>
      <c r="AY424" s="394"/>
      <c r="AZ424" s="394"/>
      <c r="BA424" s="394"/>
      <c r="BB424" s="394"/>
      <c r="BC424" s="394"/>
      <c r="BD424" s="394"/>
      <c r="BE424" s="394"/>
      <c r="BF424" s="3"/>
      <c r="BG424" s="3"/>
      <c r="BH424" s="3"/>
    </row>
    <row r="425" spans="1:60" ht="13.5" customHeight="1" x14ac:dyDescent="0.45">
      <c r="A425" s="618"/>
      <c r="B425" s="215"/>
      <c r="C425" s="220"/>
      <c r="D425" s="228" t="s">
        <v>197</v>
      </c>
      <c r="E425" s="346">
        <f t="shared" si="220"/>
        <v>0</v>
      </c>
      <c r="F425" s="346">
        <f t="shared" si="220"/>
        <v>0</v>
      </c>
      <c r="G425" s="346">
        <f t="shared" si="220"/>
        <v>0</v>
      </c>
      <c r="H425" s="346">
        <f t="shared" si="220"/>
        <v>0</v>
      </c>
      <c r="I425" s="394"/>
      <c r="J425" s="394"/>
      <c r="K425" s="394"/>
      <c r="L425" s="394"/>
      <c r="M425" s="394"/>
      <c r="N425" s="394"/>
      <c r="O425" s="394"/>
      <c r="P425" s="394"/>
      <c r="Q425" s="394"/>
      <c r="R425" s="394"/>
      <c r="S425" s="394"/>
      <c r="T425" s="394"/>
      <c r="U425" s="394"/>
      <c r="V425" s="394"/>
      <c r="W425" s="394"/>
      <c r="X425" s="394"/>
      <c r="Y425" s="394"/>
      <c r="Z425" s="394"/>
      <c r="AA425" s="394"/>
      <c r="AB425" s="394"/>
      <c r="AC425" s="394"/>
      <c r="AD425" s="394"/>
      <c r="AE425" s="394"/>
      <c r="AF425" s="394"/>
      <c r="AG425" s="394"/>
      <c r="AH425" s="394"/>
      <c r="AI425" s="394"/>
      <c r="AJ425" s="394"/>
      <c r="AK425" s="394"/>
      <c r="AL425" s="394"/>
      <c r="AM425" s="394"/>
      <c r="AN425" s="394"/>
      <c r="AO425" s="394"/>
      <c r="AP425" s="394"/>
      <c r="AQ425" s="394"/>
      <c r="AR425" s="394"/>
      <c r="AS425" s="394"/>
      <c r="AT425" s="394"/>
      <c r="AU425" s="394"/>
      <c r="AV425" s="394"/>
      <c r="AW425" s="394"/>
      <c r="AX425" s="394"/>
      <c r="AY425" s="394"/>
      <c r="AZ425" s="394"/>
      <c r="BA425" s="394"/>
      <c r="BB425" s="394"/>
      <c r="BC425" s="394"/>
      <c r="BD425" s="394"/>
      <c r="BE425" s="394"/>
      <c r="BF425" s="3"/>
      <c r="BG425" s="3"/>
      <c r="BH425" s="3"/>
    </row>
    <row r="426" spans="1:60" ht="14.25" customHeight="1" x14ac:dyDescent="0.45">
      <c r="A426" s="618"/>
      <c r="B426" s="215"/>
      <c r="C426" s="220" t="s">
        <v>198</v>
      </c>
      <c r="D426" s="243" t="s">
        <v>196</v>
      </c>
      <c r="E426" s="346">
        <f t="shared" si="220"/>
        <v>0.16220000000000001</v>
      </c>
      <c r="F426" s="346">
        <f t="shared" si="220"/>
        <v>0.14660000000000001</v>
      </c>
      <c r="G426" s="346">
        <f t="shared" si="220"/>
        <v>0.15670000000000001</v>
      </c>
      <c r="H426" s="346">
        <f t="shared" si="220"/>
        <v>0.15010000000000001</v>
      </c>
      <c r="I426" s="394">
        <f t="shared" ref="I426:BE426" si="223">ROUND(I$392*$I318*0.99,4)</f>
        <v>0.159</v>
      </c>
      <c r="J426" s="394">
        <f t="shared" si="223"/>
        <v>0.1585</v>
      </c>
      <c r="K426" s="394">
        <f t="shared" si="223"/>
        <v>0.15970000000000001</v>
      </c>
      <c r="L426" s="394">
        <f t="shared" si="223"/>
        <v>0.1641</v>
      </c>
      <c r="M426" s="394">
        <f t="shared" si="223"/>
        <v>0.16839999999999999</v>
      </c>
      <c r="N426" s="394">
        <f t="shared" si="223"/>
        <v>0.17369999999999999</v>
      </c>
      <c r="O426" s="394">
        <f t="shared" si="223"/>
        <v>0.1736</v>
      </c>
      <c r="P426" s="394">
        <f t="shared" si="223"/>
        <v>0.1774</v>
      </c>
      <c r="Q426" s="394">
        <f t="shared" si="223"/>
        <v>0.1822</v>
      </c>
      <c r="R426" s="394">
        <f t="shared" si="223"/>
        <v>0.1855</v>
      </c>
      <c r="S426" s="394">
        <f t="shared" si="223"/>
        <v>0.19070000000000001</v>
      </c>
      <c r="T426" s="394">
        <f t="shared" si="223"/>
        <v>0.19620000000000001</v>
      </c>
      <c r="U426" s="394">
        <f t="shared" si="223"/>
        <v>0.2014</v>
      </c>
      <c r="V426" s="394">
        <f t="shared" si="223"/>
        <v>0.20610000000000001</v>
      </c>
      <c r="W426" s="394">
        <f t="shared" si="223"/>
        <v>0.21179999999999999</v>
      </c>
      <c r="X426" s="394">
        <f t="shared" si="223"/>
        <v>0.2165</v>
      </c>
      <c r="Y426" s="394">
        <f t="shared" si="223"/>
        <v>0.22189999999999999</v>
      </c>
      <c r="Z426" s="394">
        <f t="shared" si="223"/>
        <v>0.2273</v>
      </c>
      <c r="AA426" s="394">
        <f t="shared" si="223"/>
        <v>0.23269999999999999</v>
      </c>
      <c r="AB426" s="394">
        <f t="shared" si="223"/>
        <v>0.23780000000000001</v>
      </c>
      <c r="AC426" s="394">
        <f t="shared" si="223"/>
        <v>0.2432</v>
      </c>
      <c r="AD426" s="394">
        <f t="shared" si="223"/>
        <v>0.2472</v>
      </c>
      <c r="AE426" s="394">
        <f t="shared" si="223"/>
        <v>0.25259999999999999</v>
      </c>
      <c r="AF426" s="394">
        <f t="shared" si="223"/>
        <v>0.25700000000000001</v>
      </c>
      <c r="AG426" s="394">
        <f t="shared" si="223"/>
        <v>0.26269999999999999</v>
      </c>
      <c r="AH426" s="394">
        <f t="shared" si="223"/>
        <v>0.26719999999999999</v>
      </c>
      <c r="AI426" s="394">
        <f t="shared" si="223"/>
        <v>0.27179999999999999</v>
      </c>
      <c r="AJ426" s="394">
        <f t="shared" si="223"/>
        <v>0.27629999999999999</v>
      </c>
      <c r="AK426" s="394">
        <f t="shared" si="223"/>
        <v>0.28100000000000003</v>
      </c>
      <c r="AL426" s="394">
        <f t="shared" si="223"/>
        <v>0.2908</v>
      </c>
      <c r="AM426" s="394">
        <f t="shared" si="223"/>
        <v>0.29580000000000001</v>
      </c>
      <c r="AN426" s="394">
        <f t="shared" si="223"/>
        <v>0.3009</v>
      </c>
      <c r="AO426" s="394">
        <f t="shared" si="223"/>
        <v>0.30599999999999999</v>
      </c>
      <c r="AP426" s="394">
        <f t="shared" si="223"/>
        <v>0.31130000000000002</v>
      </c>
      <c r="AQ426" s="394">
        <f t="shared" si="223"/>
        <v>0.3165</v>
      </c>
      <c r="AR426" s="394">
        <f t="shared" si="223"/>
        <v>0.32169999999999999</v>
      </c>
      <c r="AS426" s="394">
        <f t="shared" si="223"/>
        <v>0.32690000000000002</v>
      </c>
      <c r="AT426" s="394">
        <f t="shared" si="223"/>
        <v>0.33210000000000001</v>
      </c>
      <c r="AU426" s="394">
        <f t="shared" si="223"/>
        <v>0.33750000000000002</v>
      </c>
      <c r="AV426" s="394">
        <f t="shared" si="223"/>
        <v>0.34279999999999999</v>
      </c>
      <c r="AW426" s="394">
        <f t="shared" si="223"/>
        <v>0.3483</v>
      </c>
      <c r="AX426" s="394">
        <f t="shared" si="223"/>
        <v>0.35370000000000001</v>
      </c>
      <c r="AY426" s="394">
        <f t="shared" si="223"/>
        <v>0.35920000000000002</v>
      </c>
      <c r="AZ426" s="394">
        <f t="shared" si="223"/>
        <v>0.36470000000000002</v>
      </c>
      <c r="BA426" s="394">
        <f t="shared" si="223"/>
        <v>0.37030000000000002</v>
      </c>
      <c r="BB426" s="394">
        <f t="shared" si="223"/>
        <v>0.37590000000000001</v>
      </c>
      <c r="BC426" s="394">
        <f t="shared" si="223"/>
        <v>0.38150000000000001</v>
      </c>
      <c r="BD426" s="394">
        <f t="shared" si="223"/>
        <v>0.38719999999999999</v>
      </c>
      <c r="BE426" s="394">
        <f t="shared" si="223"/>
        <v>0.39290000000000003</v>
      </c>
      <c r="BF426" s="3"/>
      <c r="BG426" s="3"/>
      <c r="BH426" s="3"/>
    </row>
    <row r="427" spans="1:60" ht="14.25" customHeight="1" x14ac:dyDescent="0.45">
      <c r="A427" s="618"/>
      <c r="B427" s="215"/>
      <c r="C427" s="220"/>
      <c r="D427" s="234" t="s">
        <v>348</v>
      </c>
      <c r="E427" s="346">
        <f t="shared" si="220"/>
        <v>0</v>
      </c>
      <c r="F427" s="346">
        <f t="shared" si="220"/>
        <v>0</v>
      </c>
      <c r="G427" s="346">
        <f t="shared" si="220"/>
        <v>0</v>
      </c>
      <c r="H427" s="346">
        <f t="shared" si="220"/>
        <v>0</v>
      </c>
      <c r="I427" s="394"/>
      <c r="J427" s="394"/>
      <c r="K427" s="394"/>
      <c r="L427" s="394"/>
      <c r="M427" s="394"/>
      <c r="N427" s="394"/>
      <c r="O427" s="394"/>
      <c r="P427" s="394"/>
      <c r="Q427" s="394"/>
      <c r="R427" s="394"/>
      <c r="S427" s="394"/>
      <c r="T427" s="394"/>
      <c r="U427" s="394"/>
      <c r="V427" s="394"/>
      <c r="W427" s="394"/>
      <c r="X427" s="394"/>
      <c r="Y427" s="394"/>
      <c r="Z427" s="394"/>
      <c r="AA427" s="394"/>
      <c r="AB427" s="394"/>
      <c r="AC427" s="394"/>
      <c r="AD427" s="394"/>
      <c r="AE427" s="394"/>
      <c r="AF427" s="394"/>
      <c r="AG427" s="394"/>
      <c r="AH427" s="394"/>
      <c r="AI427" s="394"/>
      <c r="AJ427" s="394"/>
      <c r="AK427" s="394"/>
      <c r="AL427" s="394"/>
      <c r="AM427" s="394"/>
      <c r="AN427" s="394"/>
      <c r="AO427" s="394"/>
      <c r="AP427" s="394"/>
      <c r="AQ427" s="394"/>
      <c r="AR427" s="394"/>
      <c r="AS427" s="394"/>
      <c r="AT427" s="394"/>
      <c r="AU427" s="394"/>
      <c r="AV427" s="394"/>
      <c r="AW427" s="394"/>
      <c r="AX427" s="394"/>
      <c r="AY427" s="394"/>
      <c r="AZ427" s="394"/>
      <c r="BA427" s="394"/>
      <c r="BB427" s="394"/>
      <c r="BC427" s="394"/>
      <c r="BD427" s="394"/>
      <c r="BE427" s="394"/>
      <c r="BF427" s="3"/>
      <c r="BG427" s="3"/>
      <c r="BH427" s="3"/>
    </row>
    <row r="428" spans="1:60" ht="14.25" customHeight="1" x14ac:dyDescent="0.45">
      <c r="A428" s="618"/>
      <c r="B428" s="215"/>
      <c r="C428" s="164" t="s">
        <v>200</v>
      </c>
      <c r="D428" s="304" t="s">
        <v>201</v>
      </c>
      <c r="E428" s="346">
        <f t="shared" si="220"/>
        <v>0.37169999999999997</v>
      </c>
      <c r="F428" s="346">
        <f t="shared" si="220"/>
        <v>0.53610000000000002</v>
      </c>
      <c r="G428" s="346">
        <f t="shared" si="220"/>
        <v>0.50819999999999999</v>
      </c>
      <c r="H428" s="346">
        <f t="shared" si="220"/>
        <v>0.53559999999999997</v>
      </c>
      <c r="I428" s="394">
        <f t="shared" ref="I428:V428" si="224">ROUND(I$395*$I320*0.99,4)+H428</f>
        <v>0.53499999999999992</v>
      </c>
      <c r="J428" s="394">
        <f t="shared" si="224"/>
        <v>0.5341999999999999</v>
      </c>
      <c r="K428" s="394">
        <f t="shared" si="224"/>
        <v>0.53629999999999989</v>
      </c>
      <c r="L428" s="394">
        <f t="shared" si="224"/>
        <v>0.54439999999999988</v>
      </c>
      <c r="M428" s="394">
        <f t="shared" si="224"/>
        <v>0.55239999999999989</v>
      </c>
      <c r="N428" s="394">
        <f t="shared" si="224"/>
        <v>0.56209999999999993</v>
      </c>
      <c r="O428" s="394">
        <f t="shared" si="224"/>
        <v>0.56189999999999996</v>
      </c>
      <c r="P428" s="394">
        <f t="shared" si="224"/>
        <v>0.56889999999999996</v>
      </c>
      <c r="Q428" s="394">
        <f t="shared" si="224"/>
        <v>0.57789999999999997</v>
      </c>
      <c r="R428" s="394">
        <f t="shared" si="224"/>
        <v>0.58399999999999996</v>
      </c>
      <c r="S428" s="394">
        <f t="shared" si="224"/>
        <v>0.59370000000000001</v>
      </c>
      <c r="T428" s="394">
        <f t="shared" si="224"/>
        <v>0.6038</v>
      </c>
      <c r="U428" s="394">
        <f t="shared" si="224"/>
        <v>0.61340000000000006</v>
      </c>
      <c r="V428" s="394">
        <f t="shared" si="224"/>
        <v>0.6221000000000001</v>
      </c>
      <c r="W428" s="395">
        <f t="shared" ref="W428:BE428" si="225">V428</f>
        <v>0.6221000000000001</v>
      </c>
      <c r="X428" s="395">
        <f t="shared" si="225"/>
        <v>0.6221000000000001</v>
      </c>
      <c r="Y428" s="395">
        <f t="shared" si="225"/>
        <v>0.6221000000000001</v>
      </c>
      <c r="Z428" s="395">
        <f t="shared" si="225"/>
        <v>0.6221000000000001</v>
      </c>
      <c r="AA428" s="395">
        <f t="shared" si="225"/>
        <v>0.6221000000000001</v>
      </c>
      <c r="AB428" s="395">
        <f t="shared" si="225"/>
        <v>0.6221000000000001</v>
      </c>
      <c r="AC428" s="395">
        <f t="shared" si="225"/>
        <v>0.6221000000000001</v>
      </c>
      <c r="AD428" s="395">
        <f t="shared" si="225"/>
        <v>0.6221000000000001</v>
      </c>
      <c r="AE428" s="395">
        <f t="shared" si="225"/>
        <v>0.6221000000000001</v>
      </c>
      <c r="AF428" s="395">
        <f t="shared" si="225"/>
        <v>0.6221000000000001</v>
      </c>
      <c r="AG428" s="395">
        <f t="shared" si="225"/>
        <v>0.6221000000000001</v>
      </c>
      <c r="AH428" s="395">
        <f t="shared" si="225"/>
        <v>0.6221000000000001</v>
      </c>
      <c r="AI428" s="395">
        <f t="shared" si="225"/>
        <v>0.6221000000000001</v>
      </c>
      <c r="AJ428" s="395">
        <f t="shared" si="225"/>
        <v>0.6221000000000001</v>
      </c>
      <c r="AK428" s="395">
        <f t="shared" si="225"/>
        <v>0.6221000000000001</v>
      </c>
      <c r="AL428" s="395">
        <f t="shared" si="225"/>
        <v>0.6221000000000001</v>
      </c>
      <c r="AM428" s="395">
        <f t="shared" si="225"/>
        <v>0.6221000000000001</v>
      </c>
      <c r="AN428" s="395">
        <f t="shared" si="225"/>
        <v>0.6221000000000001</v>
      </c>
      <c r="AO428" s="395">
        <f t="shared" si="225"/>
        <v>0.6221000000000001</v>
      </c>
      <c r="AP428" s="395">
        <f t="shared" si="225"/>
        <v>0.6221000000000001</v>
      </c>
      <c r="AQ428" s="395">
        <f t="shared" si="225"/>
        <v>0.6221000000000001</v>
      </c>
      <c r="AR428" s="395">
        <f t="shared" si="225"/>
        <v>0.6221000000000001</v>
      </c>
      <c r="AS428" s="395">
        <f t="shared" si="225"/>
        <v>0.6221000000000001</v>
      </c>
      <c r="AT428" s="395">
        <f t="shared" si="225"/>
        <v>0.6221000000000001</v>
      </c>
      <c r="AU428" s="395">
        <f t="shared" si="225"/>
        <v>0.6221000000000001</v>
      </c>
      <c r="AV428" s="395">
        <f t="shared" si="225"/>
        <v>0.6221000000000001</v>
      </c>
      <c r="AW428" s="395">
        <f t="shared" si="225"/>
        <v>0.6221000000000001</v>
      </c>
      <c r="AX428" s="395">
        <f t="shared" si="225"/>
        <v>0.6221000000000001</v>
      </c>
      <c r="AY428" s="395">
        <f t="shared" si="225"/>
        <v>0.6221000000000001</v>
      </c>
      <c r="AZ428" s="395">
        <f t="shared" si="225"/>
        <v>0.6221000000000001</v>
      </c>
      <c r="BA428" s="395">
        <f t="shared" si="225"/>
        <v>0.6221000000000001</v>
      </c>
      <c r="BB428" s="395">
        <f t="shared" si="225"/>
        <v>0.6221000000000001</v>
      </c>
      <c r="BC428" s="395">
        <f t="shared" si="225"/>
        <v>0.6221000000000001</v>
      </c>
      <c r="BD428" s="395">
        <f t="shared" si="225"/>
        <v>0.6221000000000001</v>
      </c>
      <c r="BE428" s="395">
        <f t="shared" si="225"/>
        <v>0.6221000000000001</v>
      </c>
      <c r="BF428" s="3"/>
      <c r="BG428" s="3"/>
      <c r="BH428" s="3"/>
    </row>
    <row r="429" spans="1:60" ht="14.25" customHeight="1" x14ac:dyDescent="0.45">
      <c r="A429" s="288"/>
      <c r="B429" s="396"/>
      <c r="C429" s="288" t="s">
        <v>202</v>
      </c>
      <c r="D429" s="391" t="s">
        <v>203</v>
      </c>
      <c r="E429" s="346">
        <f t="shared" si="220"/>
        <v>3.1627999999999998</v>
      </c>
      <c r="F429" s="346">
        <f t="shared" si="220"/>
        <v>4.2034000000000002</v>
      </c>
      <c r="G429" s="346">
        <f t="shared" si="220"/>
        <v>3.13</v>
      </c>
      <c r="H429" s="346">
        <f t="shared" si="220"/>
        <v>3.7991999999999999</v>
      </c>
      <c r="I429" s="346">
        <f t="shared" ref="I429:BE429" si="226">ROUND(0.99*I234,4)</f>
        <v>3.1587000000000001</v>
      </c>
      <c r="J429" s="346">
        <f t="shared" si="226"/>
        <v>6.2047999999999996</v>
      </c>
      <c r="K429" s="346">
        <f t="shared" si="226"/>
        <v>7.3170000000000002</v>
      </c>
      <c r="L429" s="346">
        <f t="shared" si="226"/>
        <v>7.3170000000000002</v>
      </c>
      <c r="M429" s="346">
        <f t="shared" si="226"/>
        <v>7.3170000000000002</v>
      </c>
      <c r="N429" s="346">
        <f t="shared" si="226"/>
        <v>7.3170000000000002</v>
      </c>
      <c r="O429" s="346">
        <f t="shared" si="226"/>
        <v>7.3170000000000002</v>
      </c>
      <c r="P429" s="346">
        <f t="shared" si="226"/>
        <v>7.3170000000000002</v>
      </c>
      <c r="Q429" s="346">
        <f t="shared" si="226"/>
        <v>7.3170000000000002</v>
      </c>
      <c r="R429" s="346">
        <f t="shared" si="226"/>
        <v>7.3170000000000002</v>
      </c>
      <c r="S429" s="346">
        <f t="shared" si="226"/>
        <v>7.3170000000000002</v>
      </c>
      <c r="T429" s="346">
        <f t="shared" si="226"/>
        <v>7.3170000000000002</v>
      </c>
      <c r="U429" s="346">
        <f t="shared" si="226"/>
        <v>7.3170000000000002</v>
      </c>
      <c r="V429" s="346">
        <f t="shared" si="226"/>
        <v>7.3170000000000002</v>
      </c>
      <c r="W429" s="346">
        <f t="shared" si="226"/>
        <v>7.3170000000000002</v>
      </c>
      <c r="X429" s="346">
        <f t="shared" si="226"/>
        <v>7.3170000000000002</v>
      </c>
      <c r="Y429" s="346">
        <f t="shared" si="226"/>
        <v>7.3170000000000002</v>
      </c>
      <c r="Z429" s="346">
        <f t="shared" si="226"/>
        <v>7.3170000000000002</v>
      </c>
      <c r="AA429" s="346">
        <f t="shared" si="226"/>
        <v>7.3170000000000002</v>
      </c>
      <c r="AB429" s="346">
        <f t="shared" si="226"/>
        <v>7.3170000000000002</v>
      </c>
      <c r="AC429" s="346">
        <f t="shared" si="226"/>
        <v>7.3170000000000002</v>
      </c>
      <c r="AD429" s="346">
        <f t="shared" si="226"/>
        <v>7.3170000000000002</v>
      </c>
      <c r="AE429" s="346">
        <f t="shared" si="226"/>
        <v>7.3170000000000002</v>
      </c>
      <c r="AF429" s="346">
        <f t="shared" si="226"/>
        <v>7.3170000000000002</v>
      </c>
      <c r="AG429" s="346">
        <f t="shared" si="226"/>
        <v>7.3170000000000002</v>
      </c>
      <c r="AH429" s="346">
        <f t="shared" si="226"/>
        <v>7.3170000000000002</v>
      </c>
      <c r="AI429" s="346">
        <f t="shared" si="226"/>
        <v>7.3170000000000002</v>
      </c>
      <c r="AJ429" s="346">
        <f t="shared" si="226"/>
        <v>7.3170000000000002</v>
      </c>
      <c r="AK429" s="346">
        <f t="shared" si="226"/>
        <v>7.3170000000000002</v>
      </c>
      <c r="AL429" s="346">
        <f t="shared" si="226"/>
        <v>7.3170000000000002</v>
      </c>
      <c r="AM429" s="346">
        <f t="shared" si="226"/>
        <v>7.3170000000000002</v>
      </c>
      <c r="AN429" s="346">
        <f t="shared" si="226"/>
        <v>7.3170000000000002</v>
      </c>
      <c r="AO429" s="346">
        <f t="shared" si="226"/>
        <v>7.3170000000000002</v>
      </c>
      <c r="AP429" s="346">
        <f t="shared" si="226"/>
        <v>7.3170000000000002</v>
      </c>
      <c r="AQ429" s="346">
        <f t="shared" si="226"/>
        <v>7.3170000000000002</v>
      </c>
      <c r="AR429" s="346">
        <f t="shared" si="226"/>
        <v>7.3170000000000002</v>
      </c>
      <c r="AS429" s="346">
        <f t="shared" si="226"/>
        <v>7.3170000000000002</v>
      </c>
      <c r="AT429" s="346">
        <f t="shared" si="226"/>
        <v>7.3170000000000002</v>
      </c>
      <c r="AU429" s="346">
        <f t="shared" si="226"/>
        <v>7.3170000000000002</v>
      </c>
      <c r="AV429" s="346">
        <f t="shared" si="226"/>
        <v>7.3170000000000002</v>
      </c>
      <c r="AW429" s="346">
        <f t="shared" si="226"/>
        <v>7.3170000000000002</v>
      </c>
      <c r="AX429" s="346">
        <f t="shared" si="226"/>
        <v>7.3170000000000002</v>
      </c>
      <c r="AY429" s="346">
        <f t="shared" si="226"/>
        <v>7.3170000000000002</v>
      </c>
      <c r="AZ429" s="346">
        <f t="shared" si="226"/>
        <v>7.3170000000000002</v>
      </c>
      <c r="BA429" s="346">
        <f t="shared" si="226"/>
        <v>7.3170000000000002</v>
      </c>
      <c r="BB429" s="346">
        <f t="shared" si="226"/>
        <v>7.3170000000000002</v>
      </c>
      <c r="BC429" s="346">
        <f t="shared" si="226"/>
        <v>7.3170000000000002</v>
      </c>
      <c r="BD429" s="346">
        <f t="shared" si="226"/>
        <v>7.3170000000000002</v>
      </c>
      <c r="BE429" s="346">
        <f t="shared" si="226"/>
        <v>7.3170000000000002</v>
      </c>
      <c r="BF429" s="397"/>
      <c r="BG429" s="397"/>
      <c r="BH429" s="397"/>
    </row>
    <row r="430" spans="1:60" ht="14.25" customHeight="1" x14ac:dyDescent="0.45">
      <c r="A430" s="288"/>
      <c r="B430" s="396"/>
      <c r="C430" s="288" t="s">
        <v>204</v>
      </c>
      <c r="D430" s="391" t="s">
        <v>205</v>
      </c>
      <c r="E430" s="346">
        <f t="shared" si="220"/>
        <v>0</v>
      </c>
      <c r="F430" s="346">
        <f t="shared" si="220"/>
        <v>0</v>
      </c>
      <c r="G430" s="346">
        <f t="shared" si="220"/>
        <v>0</v>
      </c>
      <c r="H430" s="346">
        <f t="shared" si="220"/>
        <v>0</v>
      </c>
      <c r="I430" s="346">
        <f t="shared" ref="I430:BE430" si="227">ROUND(0.99*I235,4)</f>
        <v>0</v>
      </c>
      <c r="J430" s="346">
        <f t="shared" si="227"/>
        <v>0</v>
      </c>
      <c r="K430" s="346">
        <f t="shared" si="227"/>
        <v>0</v>
      </c>
      <c r="L430" s="346">
        <f t="shared" si="227"/>
        <v>0</v>
      </c>
      <c r="M430" s="346">
        <f t="shared" si="227"/>
        <v>0</v>
      </c>
      <c r="N430" s="346">
        <f t="shared" si="227"/>
        <v>0</v>
      </c>
      <c r="O430" s="346">
        <f t="shared" si="227"/>
        <v>0</v>
      </c>
      <c r="P430" s="346">
        <f t="shared" si="227"/>
        <v>0</v>
      </c>
      <c r="Q430" s="346">
        <f t="shared" si="227"/>
        <v>0</v>
      </c>
      <c r="R430" s="346">
        <f t="shared" si="227"/>
        <v>0</v>
      </c>
      <c r="S430" s="346">
        <f t="shared" si="227"/>
        <v>0</v>
      </c>
      <c r="T430" s="346">
        <f t="shared" si="227"/>
        <v>0</v>
      </c>
      <c r="U430" s="346">
        <f t="shared" si="227"/>
        <v>0</v>
      </c>
      <c r="V430" s="346">
        <f t="shared" si="227"/>
        <v>0</v>
      </c>
      <c r="W430" s="346">
        <f t="shared" si="227"/>
        <v>0</v>
      </c>
      <c r="X430" s="346">
        <f t="shared" si="227"/>
        <v>0</v>
      </c>
      <c r="Y430" s="346">
        <f t="shared" si="227"/>
        <v>0</v>
      </c>
      <c r="Z430" s="346">
        <f t="shared" si="227"/>
        <v>0</v>
      </c>
      <c r="AA430" s="346">
        <f t="shared" si="227"/>
        <v>0</v>
      </c>
      <c r="AB430" s="346">
        <f t="shared" si="227"/>
        <v>0</v>
      </c>
      <c r="AC430" s="346">
        <f t="shared" si="227"/>
        <v>0</v>
      </c>
      <c r="AD430" s="346">
        <f t="shared" si="227"/>
        <v>0</v>
      </c>
      <c r="AE430" s="346">
        <f t="shared" si="227"/>
        <v>0</v>
      </c>
      <c r="AF430" s="346">
        <f t="shared" si="227"/>
        <v>0</v>
      </c>
      <c r="AG430" s="346">
        <f t="shared" si="227"/>
        <v>0</v>
      </c>
      <c r="AH430" s="346">
        <f t="shared" si="227"/>
        <v>0</v>
      </c>
      <c r="AI430" s="346">
        <f t="shared" si="227"/>
        <v>0</v>
      </c>
      <c r="AJ430" s="346">
        <f t="shared" si="227"/>
        <v>0</v>
      </c>
      <c r="AK430" s="346">
        <f t="shared" si="227"/>
        <v>0</v>
      </c>
      <c r="AL430" s="346">
        <f t="shared" si="227"/>
        <v>0</v>
      </c>
      <c r="AM430" s="346">
        <f t="shared" si="227"/>
        <v>0</v>
      </c>
      <c r="AN430" s="346">
        <f t="shared" si="227"/>
        <v>0</v>
      </c>
      <c r="AO430" s="346">
        <f t="shared" si="227"/>
        <v>0</v>
      </c>
      <c r="AP430" s="346">
        <f t="shared" si="227"/>
        <v>0</v>
      </c>
      <c r="AQ430" s="346">
        <f t="shared" si="227"/>
        <v>0</v>
      </c>
      <c r="AR430" s="346">
        <f t="shared" si="227"/>
        <v>0</v>
      </c>
      <c r="AS430" s="346">
        <f t="shared" si="227"/>
        <v>0</v>
      </c>
      <c r="AT430" s="346">
        <f t="shared" si="227"/>
        <v>0</v>
      </c>
      <c r="AU430" s="346">
        <f t="shared" si="227"/>
        <v>0</v>
      </c>
      <c r="AV430" s="346">
        <f t="shared" si="227"/>
        <v>0</v>
      </c>
      <c r="AW430" s="346">
        <f t="shared" si="227"/>
        <v>0</v>
      </c>
      <c r="AX430" s="346">
        <f t="shared" si="227"/>
        <v>0</v>
      </c>
      <c r="AY430" s="346">
        <f t="shared" si="227"/>
        <v>0</v>
      </c>
      <c r="AZ430" s="346">
        <f t="shared" si="227"/>
        <v>0</v>
      </c>
      <c r="BA430" s="346">
        <f t="shared" si="227"/>
        <v>0</v>
      </c>
      <c r="BB430" s="346">
        <f t="shared" si="227"/>
        <v>0</v>
      </c>
      <c r="BC430" s="346">
        <f t="shared" si="227"/>
        <v>0</v>
      </c>
      <c r="BD430" s="346">
        <f t="shared" si="227"/>
        <v>0</v>
      </c>
      <c r="BE430" s="346">
        <f t="shared" si="227"/>
        <v>0</v>
      </c>
      <c r="BF430" s="397"/>
      <c r="BG430" s="397"/>
      <c r="BH430" s="397"/>
    </row>
    <row r="431" spans="1:60" ht="14.25" customHeight="1" x14ac:dyDescent="0.45">
      <c r="A431" s="618"/>
      <c r="B431" s="215"/>
      <c r="C431" s="220" t="s">
        <v>206</v>
      </c>
      <c r="D431" s="304" t="s">
        <v>207</v>
      </c>
      <c r="E431" s="346">
        <f t="shared" si="220"/>
        <v>0</v>
      </c>
      <c r="F431" s="346">
        <f t="shared" si="220"/>
        <v>0</v>
      </c>
      <c r="G431" s="346">
        <f t="shared" si="220"/>
        <v>0</v>
      </c>
      <c r="H431" s="346">
        <f t="shared" si="220"/>
        <v>0</v>
      </c>
      <c r="I431" s="394">
        <f t="shared" ref="I431:BE431" si="228">ROUND(I$395*$I323*0.99,4)+H431</f>
        <v>0</v>
      </c>
      <c r="J431" s="394">
        <f t="shared" si="228"/>
        <v>0</v>
      </c>
      <c r="K431" s="394">
        <f t="shared" si="228"/>
        <v>0</v>
      </c>
      <c r="L431" s="394">
        <f t="shared" si="228"/>
        <v>0</v>
      </c>
      <c r="M431" s="394">
        <f t="shared" si="228"/>
        <v>0</v>
      </c>
      <c r="N431" s="394">
        <f t="shared" si="228"/>
        <v>0</v>
      </c>
      <c r="O431" s="394">
        <f t="shared" si="228"/>
        <v>0</v>
      </c>
      <c r="P431" s="394">
        <f t="shared" si="228"/>
        <v>0</v>
      </c>
      <c r="Q431" s="394">
        <f t="shared" si="228"/>
        <v>0</v>
      </c>
      <c r="R431" s="394">
        <f t="shared" si="228"/>
        <v>0</v>
      </c>
      <c r="S431" s="394">
        <f t="shared" si="228"/>
        <v>0</v>
      </c>
      <c r="T431" s="394">
        <f t="shared" si="228"/>
        <v>0</v>
      </c>
      <c r="U431" s="394">
        <f t="shared" si="228"/>
        <v>0</v>
      </c>
      <c r="V431" s="394">
        <f t="shared" si="228"/>
        <v>0</v>
      </c>
      <c r="W431" s="394">
        <f t="shared" si="228"/>
        <v>0</v>
      </c>
      <c r="X431" s="394">
        <f t="shared" si="228"/>
        <v>0</v>
      </c>
      <c r="Y431" s="394">
        <f t="shared" si="228"/>
        <v>0</v>
      </c>
      <c r="Z431" s="394">
        <f t="shared" si="228"/>
        <v>0</v>
      </c>
      <c r="AA431" s="394">
        <f t="shared" si="228"/>
        <v>0</v>
      </c>
      <c r="AB431" s="394">
        <f t="shared" si="228"/>
        <v>0</v>
      </c>
      <c r="AC431" s="394">
        <f t="shared" si="228"/>
        <v>0</v>
      </c>
      <c r="AD431" s="394">
        <f t="shared" si="228"/>
        <v>0</v>
      </c>
      <c r="AE431" s="394">
        <f t="shared" si="228"/>
        <v>0</v>
      </c>
      <c r="AF431" s="394">
        <f t="shared" si="228"/>
        <v>0</v>
      </c>
      <c r="AG431" s="394">
        <f t="shared" si="228"/>
        <v>0</v>
      </c>
      <c r="AH431" s="394">
        <f t="shared" si="228"/>
        <v>0</v>
      </c>
      <c r="AI431" s="394">
        <f t="shared" si="228"/>
        <v>0</v>
      </c>
      <c r="AJ431" s="394">
        <f t="shared" si="228"/>
        <v>0</v>
      </c>
      <c r="AK431" s="394">
        <f t="shared" si="228"/>
        <v>0</v>
      </c>
      <c r="AL431" s="394">
        <f t="shared" si="228"/>
        <v>0</v>
      </c>
      <c r="AM431" s="394">
        <f t="shared" si="228"/>
        <v>0</v>
      </c>
      <c r="AN431" s="394">
        <f t="shared" si="228"/>
        <v>0</v>
      </c>
      <c r="AO431" s="394">
        <f t="shared" si="228"/>
        <v>0</v>
      </c>
      <c r="AP431" s="394">
        <f t="shared" si="228"/>
        <v>0</v>
      </c>
      <c r="AQ431" s="394">
        <f t="shared" si="228"/>
        <v>0</v>
      </c>
      <c r="AR431" s="394">
        <f t="shared" si="228"/>
        <v>0</v>
      </c>
      <c r="AS431" s="394">
        <f t="shared" si="228"/>
        <v>0</v>
      </c>
      <c r="AT431" s="394">
        <f t="shared" si="228"/>
        <v>0</v>
      </c>
      <c r="AU431" s="394">
        <f t="shared" si="228"/>
        <v>0</v>
      </c>
      <c r="AV431" s="394">
        <f t="shared" si="228"/>
        <v>0</v>
      </c>
      <c r="AW431" s="394">
        <f t="shared" si="228"/>
        <v>0</v>
      </c>
      <c r="AX431" s="394">
        <f t="shared" si="228"/>
        <v>0</v>
      </c>
      <c r="AY431" s="394">
        <f t="shared" si="228"/>
        <v>0</v>
      </c>
      <c r="AZ431" s="394">
        <f t="shared" si="228"/>
        <v>0</v>
      </c>
      <c r="BA431" s="394">
        <f t="shared" si="228"/>
        <v>0</v>
      </c>
      <c r="BB431" s="394">
        <f t="shared" si="228"/>
        <v>0</v>
      </c>
      <c r="BC431" s="394">
        <f t="shared" si="228"/>
        <v>0</v>
      </c>
      <c r="BD431" s="394">
        <f t="shared" si="228"/>
        <v>0</v>
      </c>
      <c r="BE431" s="394">
        <f t="shared" si="228"/>
        <v>0</v>
      </c>
      <c r="BF431" s="3"/>
      <c r="BG431" s="3"/>
      <c r="BH431" s="3"/>
    </row>
    <row r="432" spans="1:60" ht="14.25" customHeight="1" x14ac:dyDescent="0.45">
      <c r="A432" s="618"/>
      <c r="B432" s="215"/>
      <c r="C432" s="220" t="s">
        <v>208</v>
      </c>
      <c r="D432" s="304" t="s">
        <v>209</v>
      </c>
      <c r="E432" s="346">
        <f t="shared" si="220"/>
        <v>6.4595000000000002</v>
      </c>
      <c r="F432" s="346">
        <f t="shared" si="220"/>
        <v>7.1673999999999998</v>
      </c>
      <c r="G432" s="346">
        <f t="shared" si="220"/>
        <v>6.6074999999999999</v>
      </c>
      <c r="H432" s="346">
        <f t="shared" si="220"/>
        <v>7.1260000000000003</v>
      </c>
      <c r="I432" s="394">
        <f t="shared" ref="I432:BE432" si="229">ROUND(I$395*$I324*0.99,4)+H432</f>
        <v>7.1181000000000001</v>
      </c>
      <c r="J432" s="394">
        <f t="shared" si="229"/>
        <v>7.1071999999999997</v>
      </c>
      <c r="K432" s="394">
        <f t="shared" si="229"/>
        <v>7.1370999999999993</v>
      </c>
      <c r="L432" s="394">
        <f t="shared" si="229"/>
        <v>7.2513999999999994</v>
      </c>
      <c r="M432" s="394">
        <f t="shared" si="229"/>
        <v>7.3641999999999994</v>
      </c>
      <c r="N432" s="394">
        <f t="shared" si="229"/>
        <v>7.5013999999999994</v>
      </c>
      <c r="O432" s="394">
        <f t="shared" si="229"/>
        <v>7.4989999999999997</v>
      </c>
      <c r="P432" s="394">
        <f t="shared" si="229"/>
        <v>7.5974999999999993</v>
      </c>
      <c r="Q432" s="394">
        <f t="shared" si="229"/>
        <v>7.7241999999999988</v>
      </c>
      <c r="R432" s="394">
        <f t="shared" si="229"/>
        <v>7.8095999999999988</v>
      </c>
      <c r="S432" s="394">
        <f t="shared" si="229"/>
        <v>7.9455999999999989</v>
      </c>
      <c r="T432" s="394">
        <f t="shared" si="229"/>
        <v>8.088099999999999</v>
      </c>
      <c r="U432" s="394">
        <f t="shared" si="229"/>
        <v>8.2235999999999994</v>
      </c>
      <c r="V432" s="394">
        <f t="shared" si="229"/>
        <v>8.3463999999999992</v>
      </c>
      <c r="W432" s="394">
        <f t="shared" si="229"/>
        <v>8.4947999999999997</v>
      </c>
      <c r="X432" s="394">
        <f t="shared" si="229"/>
        <v>8.6173999999999999</v>
      </c>
      <c r="Y432" s="394">
        <f t="shared" si="229"/>
        <v>8.7581000000000007</v>
      </c>
      <c r="Z432" s="394">
        <f t="shared" si="229"/>
        <v>8.8986999999999998</v>
      </c>
      <c r="AA432" s="394">
        <f t="shared" si="229"/>
        <v>9.0386000000000006</v>
      </c>
      <c r="AB432" s="394">
        <f t="shared" si="229"/>
        <v>9.1707999999999998</v>
      </c>
      <c r="AC432" s="394">
        <f t="shared" si="229"/>
        <v>9.3110999999999997</v>
      </c>
      <c r="AD432" s="394">
        <f t="shared" si="229"/>
        <v>9.4156999999999993</v>
      </c>
      <c r="AE432" s="394">
        <f t="shared" si="229"/>
        <v>9.5561999999999987</v>
      </c>
      <c r="AF432" s="394">
        <f t="shared" si="229"/>
        <v>9.6702999999999992</v>
      </c>
      <c r="AG432" s="394">
        <f t="shared" si="229"/>
        <v>9.8193999999999999</v>
      </c>
      <c r="AH432" s="394">
        <f t="shared" si="229"/>
        <v>9.9358000000000004</v>
      </c>
      <c r="AI432" s="394">
        <f t="shared" si="229"/>
        <v>10.055900000000001</v>
      </c>
      <c r="AJ432" s="394">
        <f t="shared" si="229"/>
        <v>10.174000000000001</v>
      </c>
      <c r="AK432" s="394">
        <f t="shared" si="229"/>
        <v>10.297000000000001</v>
      </c>
      <c r="AL432" s="394">
        <f t="shared" si="229"/>
        <v>10.550500000000001</v>
      </c>
      <c r="AM432" s="394">
        <f t="shared" si="229"/>
        <v>10.682400000000001</v>
      </c>
      <c r="AN432" s="394">
        <f t="shared" si="229"/>
        <v>10.815300000000001</v>
      </c>
      <c r="AO432" s="394">
        <f t="shared" si="229"/>
        <v>10.947700000000001</v>
      </c>
      <c r="AP432" s="394">
        <f t="shared" si="229"/>
        <v>11.084300000000001</v>
      </c>
      <c r="AQ432" s="394">
        <f t="shared" si="229"/>
        <v>11.219900000000001</v>
      </c>
      <c r="AR432" s="394">
        <f t="shared" si="229"/>
        <v>11.355500000000001</v>
      </c>
      <c r="AS432" s="394">
        <f t="shared" si="229"/>
        <v>11.491100000000001</v>
      </c>
      <c r="AT432" s="394">
        <f t="shared" si="229"/>
        <v>11.627700000000001</v>
      </c>
      <c r="AU432" s="394">
        <f t="shared" si="229"/>
        <v>11.766400000000001</v>
      </c>
      <c r="AV432" s="394">
        <f t="shared" si="229"/>
        <v>11.9062</v>
      </c>
      <c r="AW432" s="394">
        <f t="shared" si="229"/>
        <v>12.0481</v>
      </c>
      <c r="AX432" s="394">
        <f t="shared" si="229"/>
        <v>12.189500000000001</v>
      </c>
      <c r="AY432" s="394">
        <f t="shared" si="229"/>
        <v>12.3324</v>
      </c>
      <c r="AZ432" s="394">
        <f t="shared" si="229"/>
        <v>12.476900000000001</v>
      </c>
      <c r="BA432" s="394">
        <f t="shared" si="229"/>
        <v>12.621400000000001</v>
      </c>
      <c r="BB432" s="394">
        <f t="shared" si="229"/>
        <v>12.767000000000001</v>
      </c>
      <c r="BC432" s="394">
        <f t="shared" si="229"/>
        <v>12.913600000000001</v>
      </c>
      <c r="BD432" s="394">
        <f t="shared" si="229"/>
        <v>13.0618</v>
      </c>
      <c r="BE432" s="394">
        <f t="shared" si="229"/>
        <v>13.2111</v>
      </c>
      <c r="BF432" s="3"/>
      <c r="BG432" s="3"/>
      <c r="BH432" s="3"/>
    </row>
    <row r="433" spans="1:60" ht="14.25" customHeight="1" x14ac:dyDescent="0.45">
      <c r="A433" s="618"/>
      <c r="B433" s="215"/>
      <c r="C433" s="220" t="s">
        <v>210</v>
      </c>
      <c r="D433" s="304" t="s">
        <v>211</v>
      </c>
      <c r="E433" s="346">
        <f t="shared" si="220"/>
        <v>17.4664</v>
      </c>
      <c r="F433" s="346">
        <f t="shared" si="220"/>
        <v>19.977</v>
      </c>
      <c r="G433" s="346">
        <f t="shared" si="220"/>
        <v>18.5169</v>
      </c>
      <c r="H433" s="346">
        <f t="shared" si="220"/>
        <v>19.545400000000001</v>
      </c>
      <c r="I433" s="394">
        <v>18</v>
      </c>
      <c r="J433" s="394">
        <v>18</v>
      </c>
      <c r="K433" s="394">
        <f t="shared" ref="K433:BE433" si="230">ROUND(K$395*$I325*0.99,4)+J433</f>
        <v>18.0824</v>
      </c>
      <c r="L433" s="394">
        <f t="shared" si="230"/>
        <v>18.3978</v>
      </c>
      <c r="M433" s="394">
        <f t="shared" si="230"/>
        <v>18.7089</v>
      </c>
      <c r="N433" s="394">
        <f t="shared" si="230"/>
        <v>19.087299999999999</v>
      </c>
      <c r="O433" s="394">
        <f t="shared" si="230"/>
        <v>19.0807</v>
      </c>
      <c r="P433" s="394">
        <f t="shared" si="230"/>
        <v>19.352499999999999</v>
      </c>
      <c r="Q433" s="394">
        <f t="shared" si="230"/>
        <v>19.702099999999998</v>
      </c>
      <c r="R433" s="394">
        <f t="shared" si="230"/>
        <v>19.9377</v>
      </c>
      <c r="S433" s="394">
        <f t="shared" si="230"/>
        <v>20.312799999999999</v>
      </c>
      <c r="T433" s="394">
        <f t="shared" si="230"/>
        <v>20.7059</v>
      </c>
      <c r="U433" s="394">
        <f t="shared" si="230"/>
        <v>21.079699999999999</v>
      </c>
      <c r="V433" s="394">
        <f t="shared" si="230"/>
        <v>21.418299999999999</v>
      </c>
      <c r="W433" s="394">
        <f t="shared" si="230"/>
        <v>21.827599999999997</v>
      </c>
      <c r="X433" s="394">
        <f t="shared" si="230"/>
        <v>22.165799999999997</v>
      </c>
      <c r="Y433" s="394">
        <f t="shared" si="230"/>
        <v>22.553899999999999</v>
      </c>
      <c r="Z433" s="394">
        <f t="shared" si="230"/>
        <v>22.9419</v>
      </c>
      <c r="AA433" s="394">
        <f t="shared" si="230"/>
        <v>23.3278</v>
      </c>
      <c r="AB433" s="394">
        <f t="shared" si="230"/>
        <v>23.692399999999999</v>
      </c>
      <c r="AC433" s="394">
        <f t="shared" si="230"/>
        <v>24.079499999999999</v>
      </c>
      <c r="AD433" s="394">
        <f t="shared" si="230"/>
        <v>24.367999999999999</v>
      </c>
      <c r="AE433" s="394">
        <f t="shared" si="230"/>
        <v>24.755499999999998</v>
      </c>
      <c r="AF433" s="394">
        <f t="shared" si="230"/>
        <v>25.070199999999996</v>
      </c>
      <c r="AG433" s="394">
        <f t="shared" si="230"/>
        <v>25.481499999999997</v>
      </c>
      <c r="AH433" s="394">
        <f t="shared" si="230"/>
        <v>25.802499999999998</v>
      </c>
      <c r="AI433" s="394">
        <f t="shared" si="230"/>
        <v>26.133799999999997</v>
      </c>
      <c r="AJ433" s="394">
        <f t="shared" si="230"/>
        <v>26.459599999999998</v>
      </c>
      <c r="AK433" s="394">
        <f t="shared" si="230"/>
        <v>26.798999999999999</v>
      </c>
      <c r="AL433" s="394">
        <f t="shared" si="230"/>
        <v>27.4984</v>
      </c>
      <c r="AM433" s="394">
        <f t="shared" si="230"/>
        <v>27.862200000000001</v>
      </c>
      <c r="AN433" s="394">
        <f t="shared" si="230"/>
        <v>28.228900000000003</v>
      </c>
      <c r="AO433" s="394">
        <f t="shared" si="230"/>
        <v>28.594100000000005</v>
      </c>
      <c r="AP433" s="394">
        <f t="shared" si="230"/>
        <v>28.971000000000004</v>
      </c>
      <c r="AQ433" s="394">
        <f t="shared" si="230"/>
        <v>29.344900000000003</v>
      </c>
      <c r="AR433" s="394">
        <f t="shared" si="230"/>
        <v>29.718900000000001</v>
      </c>
      <c r="AS433" s="394">
        <f t="shared" si="230"/>
        <v>30.0929</v>
      </c>
      <c r="AT433" s="394">
        <f t="shared" si="230"/>
        <v>30.469799999999999</v>
      </c>
      <c r="AU433" s="394">
        <f t="shared" si="230"/>
        <v>30.852499999999999</v>
      </c>
      <c r="AV433" s="394">
        <f t="shared" si="230"/>
        <v>31.238099999999999</v>
      </c>
      <c r="AW433" s="394">
        <f t="shared" si="230"/>
        <v>31.6295</v>
      </c>
      <c r="AX433" s="394">
        <f t="shared" si="230"/>
        <v>32.019500000000001</v>
      </c>
      <c r="AY433" s="394">
        <f t="shared" si="230"/>
        <v>32.413800000000002</v>
      </c>
      <c r="AZ433" s="394">
        <f t="shared" si="230"/>
        <v>32.8125</v>
      </c>
      <c r="BA433" s="394">
        <f t="shared" si="230"/>
        <v>33.211199999999998</v>
      </c>
      <c r="BB433" s="394">
        <f t="shared" si="230"/>
        <v>33.6128</v>
      </c>
      <c r="BC433" s="394">
        <f t="shared" si="230"/>
        <v>34.017299999999999</v>
      </c>
      <c r="BD433" s="394">
        <f t="shared" si="230"/>
        <v>34.426200000000001</v>
      </c>
      <c r="BE433" s="394">
        <f t="shared" si="230"/>
        <v>34.838000000000001</v>
      </c>
      <c r="BF433" s="3"/>
      <c r="BG433" s="3"/>
      <c r="BH433" s="3"/>
    </row>
    <row r="434" spans="1:60" ht="14.25" customHeight="1" x14ac:dyDescent="0.45">
      <c r="A434" s="618"/>
      <c r="B434" s="215"/>
      <c r="C434" s="220"/>
      <c r="D434" s="234" t="s">
        <v>349</v>
      </c>
      <c r="E434" s="346">
        <f t="shared" si="220"/>
        <v>0</v>
      </c>
      <c r="F434" s="346">
        <f t="shared" si="220"/>
        <v>0</v>
      </c>
      <c r="G434" s="346">
        <f t="shared" si="220"/>
        <v>0</v>
      </c>
      <c r="H434" s="346">
        <f t="shared" si="220"/>
        <v>0</v>
      </c>
      <c r="I434" s="394"/>
      <c r="J434" s="394"/>
      <c r="K434" s="394"/>
      <c r="L434" s="394"/>
      <c r="M434" s="394"/>
      <c r="N434" s="394"/>
      <c r="O434" s="394"/>
      <c r="P434" s="394"/>
      <c r="Q434" s="394"/>
      <c r="R434" s="394"/>
      <c r="S434" s="394"/>
      <c r="T434" s="394"/>
      <c r="U434" s="394"/>
      <c r="V434" s="394"/>
      <c r="W434" s="394"/>
      <c r="X434" s="394"/>
      <c r="Y434" s="394"/>
      <c r="Z434" s="394"/>
      <c r="AA434" s="394"/>
      <c r="AB434" s="394"/>
      <c r="AC434" s="394"/>
      <c r="AD434" s="394"/>
      <c r="AE434" s="394"/>
      <c r="AF434" s="394"/>
      <c r="AG434" s="394"/>
      <c r="AH434" s="394"/>
      <c r="AI434" s="394"/>
      <c r="AJ434" s="394"/>
      <c r="AK434" s="394"/>
      <c r="AL434" s="394"/>
      <c r="AM434" s="394"/>
      <c r="AN434" s="394"/>
      <c r="AO434" s="394"/>
      <c r="AP434" s="394"/>
      <c r="AQ434" s="394"/>
      <c r="AR434" s="394"/>
      <c r="AS434" s="394"/>
      <c r="AT434" s="394"/>
      <c r="AU434" s="394"/>
      <c r="AV434" s="394"/>
      <c r="AW434" s="394"/>
      <c r="AX434" s="394"/>
      <c r="AY434" s="394"/>
      <c r="AZ434" s="394"/>
      <c r="BA434" s="394"/>
      <c r="BB434" s="394"/>
      <c r="BC434" s="394"/>
      <c r="BD434" s="394"/>
      <c r="BE434" s="394"/>
      <c r="BF434" s="3"/>
      <c r="BG434" s="3"/>
      <c r="BH434" s="3"/>
    </row>
    <row r="435" spans="1:60" ht="14.25" customHeight="1" x14ac:dyDescent="0.45">
      <c r="A435" s="618"/>
      <c r="B435" s="215"/>
      <c r="C435" s="164" t="s">
        <v>213</v>
      </c>
      <c r="D435" s="304" t="s">
        <v>201</v>
      </c>
      <c r="E435" s="346">
        <f t="shared" si="220"/>
        <v>0.96160000000000001</v>
      </c>
      <c r="F435" s="346">
        <f t="shared" si="220"/>
        <v>0.9667</v>
      </c>
      <c r="G435" s="346">
        <f t="shared" si="220"/>
        <v>1.0782</v>
      </c>
      <c r="H435" s="346">
        <f t="shared" si="220"/>
        <v>1.331</v>
      </c>
      <c r="I435" s="394">
        <f t="shared" ref="I435:AZ435" si="231">ROUND(I$396*$I327*0.99,4)+H435</f>
        <v>1.3284</v>
      </c>
      <c r="J435" s="394">
        <f t="shared" si="231"/>
        <v>1.3248</v>
      </c>
      <c r="K435" s="394">
        <f t="shared" si="231"/>
        <v>1.3345</v>
      </c>
      <c r="L435" s="394">
        <f t="shared" si="231"/>
        <v>1.3717999999999999</v>
      </c>
      <c r="M435" s="394">
        <f t="shared" si="231"/>
        <v>1.4085999999999999</v>
      </c>
      <c r="N435" s="394">
        <f t="shared" si="231"/>
        <v>1.4533999999999998</v>
      </c>
      <c r="O435" s="394">
        <f t="shared" si="231"/>
        <v>1.4525999999999999</v>
      </c>
      <c r="P435" s="394">
        <f t="shared" si="231"/>
        <v>1.4846999999999999</v>
      </c>
      <c r="Q435" s="394">
        <f t="shared" si="231"/>
        <v>1.5259999999999998</v>
      </c>
      <c r="R435" s="394">
        <f t="shared" si="231"/>
        <v>1.5538999999999998</v>
      </c>
      <c r="S435" s="394">
        <f t="shared" si="231"/>
        <v>1.5982999999999998</v>
      </c>
      <c r="T435" s="394">
        <f t="shared" si="231"/>
        <v>1.6447999999999998</v>
      </c>
      <c r="U435" s="394">
        <f t="shared" si="231"/>
        <v>1.6889999999999998</v>
      </c>
      <c r="V435" s="394">
        <f t="shared" si="231"/>
        <v>1.7289999999999999</v>
      </c>
      <c r="W435" s="394">
        <f t="shared" si="231"/>
        <v>1.7773999999999999</v>
      </c>
      <c r="X435" s="394">
        <f t="shared" si="231"/>
        <v>1.8173999999999999</v>
      </c>
      <c r="Y435" s="394">
        <f t="shared" si="231"/>
        <v>1.8633</v>
      </c>
      <c r="Z435" s="394">
        <f t="shared" si="231"/>
        <v>1.9092</v>
      </c>
      <c r="AA435" s="394">
        <f t="shared" si="231"/>
        <v>1.9548000000000001</v>
      </c>
      <c r="AB435" s="394">
        <f t="shared" si="231"/>
        <v>1.9979</v>
      </c>
      <c r="AC435" s="394">
        <f t="shared" si="231"/>
        <v>2.0436999999999999</v>
      </c>
      <c r="AD435" s="394">
        <f t="shared" si="231"/>
        <v>2.0777999999999999</v>
      </c>
      <c r="AE435" s="394">
        <f t="shared" si="231"/>
        <v>2.1235999999999997</v>
      </c>
      <c r="AF435" s="394">
        <f t="shared" si="231"/>
        <v>2.1607999999999996</v>
      </c>
      <c r="AG435" s="394">
        <f t="shared" si="231"/>
        <v>2.2093999999999996</v>
      </c>
      <c r="AH435" s="394">
        <f t="shared" si="231"/>
        <v>2.2473999999999994</v>
      </c>
      <c r="AI435" s="394">
        <f t="shared" si="231"/>
        <v>2.2865999999999995</v>
      </c>
      <c r="AJ435" s="394">
        <f t="shared" si="231"/>
        <v>2.3250999999999995</v>
      </c>
      <c r="AK435" s="394">
        <f t="shared" si="231"/>
        <v>2.3651999999999993</v>
      </c>
      <c r="AL435" s="394">
        <f t="shared" si="231"/>
        <v>2.4478999999999993</v>
      </c>
      <c r="AM435" s="394">
        <f t="shared" si="231"/>
        <v>2.4908999999999994</v>
      </c>
      <c r="AN435" s="394">
        <f t="shared" si="231"/>
        <v>2.5342999999999996</v>
      </c>
      <c r="AO435" s="394">
        <f t="shared" si="231"/>
        <v>2.5774999999999997</v>
      </c>
      <c r="AP435" s="394">
        <f t="shared" si="231"/>
        <v>2.6220999999999997</v>
      </c>
      <c r="AQ435" s="394">
        <f t="shared" si="231"/>
        <v>2.6662999999999997</v>
      </c>
      <c r="AR435" s="394">
        <f t="shared" si="231"/>
        <v>2.7104999999999997</v>
      </c>
      <c r="AS435" s="394">
        <f t="shared" si="231"/>
        <v>2.7546999999999997</v>
      </c>
      <c r="AT435" s="394">
        <f t="shared" si="231"/>
        <v>2.7992999999999997</v>
      </c>
      <c r="AU435" s="394">
        <f t="shared" si="231"/>
        <v>2.8445999999999998</v>
      </c>
      <c r="AV435" s="394">
        <f t="shared" si="231"/>
        <v>2.8901999999999997</v>
      </c>
      <c r="AW435" s="394">
        <f t="shared" si="231"/>
        <v>2.9364999999999997</v>
      </c>
      <c r="AX435" s="394">
        <f t="shared" si="231"/>
        <v>2.9825999999999997</v>
      </c>
      <c r="AY435" s="394">
        <f t="shared" si="231"/>
        <v>3.0291999999999999</v>
      </c>
      <c r="AZ435" s="394">
        <f t="shared" si="231"/>
        <v>3.0762999999999998</v>
      </c>
      <c r="BA435" s="395">
        <f>AZ435</f>
        <v>3.0762999999999998</v>
      </c>
      <c r="BB435" s="395">
        <f>BA435</f>
        <v>3.0762999999999998</v>
      </c>
      <c r="BC435" s="395">
        <f>BB435</f>
        <v>3.0762999999999998</v>
      </c>
      <c r="BD435" s="395">
        <f>BC435</f>
        <v>3.0762999999999998</v>
      </c>
      <c r="BE435" s="395">
        <f>BD435</f>
        <v>3.0762999999999998</v>
      </c>
      <c r="BF435" s="3"/>
      <c r="BG435" s="3"/>
      <c r="BH435" s="3"/>
    </row>
    <row r="436" spans="1:60" ht="14.25" customHeight="1" x14ac:dyDescent="0.45">
      <c r="A436" s="288"/>
      <c r="B436" s="396"/>
      <c r="C436" s="288" t="s">
        <v>214</v>
      </c>
      <c r="D436" s="391" t="s">
        <v>203</v>
      </c>
      <c r="E436" s="346">
        <f t="shared" si="220"/>
        <v>1.3863000000000001</v>
      </c>
      <c r="F436" s="346">
        <f t="shared" si="220"/>
        <v>4.7888000000000002</v>
      </c>
      <c r="G436" s="346">
        <f t="shared" si="220"/>
        <v>4.8202999999999996</v>
      </c>
      <c r="H436" s="346">
        <f t="shared" si="220"/>
        <v>5.4884000000000004</v>
      </c>
      <c r="I436" s="346">
        <f t="shared" ref="I436:BE436" si="232">ROUND(0.99*I241,4)</f>
        <v>5.4885000000000002</v>
      </c>
      <c r="J436" s="346">
        <f t="shared" si="232"/>
        <v>5.4885000000000002</v>
      </c>
      <c r="K436" s="346">
        <f t="shared" si="232"/>
        <v>6.7233000000000001</v>
      </c>
      <c r="L436" s="346">
        <f t="shared" si="232"/>
        <v>6.7233000000000001</v>
      </c>
      <c r="M436" s="346">
        <f t="shared" si="232"/>
        <v>6.7233000000000001</v>
      </c>
      <c r="N436" s="346">
        <f t="shared" si="232"/>
        <v>6.7233000000000001</v>
      </c>
      <c r="O436" s="346">
        <f t="shared" si="232"/>
        <v>9.9172999999999991</v>
      </c>
      <c r="P436" s="346">
        <f t="shared" si="232"/>
        <v>9.9172999999999991</v>
      </c>
      <c r="Q436" s="346">
        <f t="shared" si="232"/>
        <v>9.9172999999999991</v>
      </c>
      <c r="R436" s="346">
        <f t="shared" si="232"/>
        <v>9.9172999999999991</v>
      </c>
      <c r="S436" s="346">
        <f t="shared" si="232"/>
        <v>9.9172999999999991</v>
      </c>
      <c r="T436" s="346">
        <f t="shared" si="232"/>
        <v>9.9172999999999991</v>
      </c>
      <c r="U436" s="346">
        <f t="shared" si="232"/>
        <v>9.9172999999999991</v>
      </c>
      <c r="V436" s="346">
        <f t="shared" si="232"/>
        <v>9.9172999999999991</v>
      </c>
      <c r="W436" s="346">
        <f t="shared" si="232"/>
        <v>9.9172999999999991</v>
      </c>
      <c r="X436" s="346">
        <f t="shared" si="232"/>
        <v>9.9172999999999991</v>
      </c>
      <c r="Y436" s="346">
        <f t="shared" si="232"/>
        <v>9.9172999999999991</v>
      </c>
      <c r="Z436" s="346">
        <f t="shared" si="232"/>
        <v>9.9172999999999991</v>
      </c>
      <c r="AA436" s="346">
        <f t="shared" si="232"/>
        <v>9.9172999999999991</v>
      </c>
      <c r="AB436" s="346">
        <f t="shared" si="232"/>
        <v>9.9172999999999991</v>
      </c>
      <c r="AC436" s="346">
        <f t="shared" si="232"/>
        <v>9.9172999999999991</v>
      </c>
      <c r="AD436" s="346">
        <f t="shared" si="232"/>
        <v>9.9172999999999991</v>
      </c>
      <c r="AE436" s="346">
        <f t="shared" si="232"/>
        <v>9.9172999999999991</v>
      </c>
      <c r="AF436" s="346">
        <f t="shared" si="232"/>
        <v>9.9172999999999991</v>
      </c>
      <c r="AG436" s="346">
        <f t="shared" si="232"/>
        <v>9.9172999999999991</v>
      </c>
      <c r="AH436" s="346">
        <f t="shared" si="232"/>
        <v>9.9172999999999991</v>
      </c>
      <c r="AI436" s="346">
        <f t="shared" si="232"/>
        <v>9.9172999999999991</v>
      </c>
      <c r="AJ436" s="346">
        <f t="shared" si="232"/>
        <v>9.9172999999999991</v>
      </c>
      <c r="AK436" s="346">
        <f t="shared" si="232"/>
        <v>9.9172999999999991</v>
      </c>
      <c r="AL436" s="346">
        <f t="shared" si="232"/>
        <v>9.9172999999999991</v>
      </c>
      <c r="AM436" s="346">
        <f t="shared" si="232"/>
        <v>9.9172999999999991</v>
      </c>
      <c r="AN436" s="346">
        <f t="shared" si="232"/>
        <v>9.9172999999999991</v>
      </c>
      <c r="AO436" s="346">
        <f t="shared" si="232"/>
        <v>9.9172999999999991</v>
      </c>
      <c r="AP436" s="346">
        <f t="shared" si="232"/>
        <v>9.9172999999999991</v>
      </c>
      <c r="AQ436" s="346">
        <f t="shared" si="232"/>
        <v>9.9172999999999991</v>
      </c>
      <c r="AR436" s="346">
        <f t="shared" si="232"/>
        <v>9.9172999999999991</v>
      </c>
      <c r="AS436" s="346">
        <f t="shared" si="232"/>
        <v>9.9172999999999991</v>
      </c>
      <c r="AT436" s="346">
        <f t="shared" si="232"/>
        <v>9.9172999999999991</v>
      </c>
      <c r="AU436" s="346">
        <f t="shared" si="232"/>
        <v>9.9172999999999991</v>
      </c>
      <c r="AV436" s="346">
        <f t="shared" si="232"/>
        <v>9.9172999999999991</v>
      </c>
      <c r="AW436" s="346">
        <f t="shared" si="232"/>
        <v>9.9172999999999991</v>
      </c>
      <c r="AX436" s="346">
        <f t="shared" si="232"/>
        <v>9.9172999999999991</v>
      </c>
      <c r="AY436" s="346">
        <f t="shared" si="232"/>
        <v>9.9172999999999991</v>
      </c>
      <c r="AZ436" s="346">
        <f t="shared" si="232"/>
        <v>9.9172999999999991</v>
      </c>
      <c r="BA436" s="346">
        <f t="shared" si="232"/>
        <v>9.9172999999999991</v>
      </c>
      <c r="BB436" s="346">
        <f t="shared" si="232"/>
        <v>9.9172999999999991</v>
      </c>
      <c r="BC436" s="346">
        <f t="shared" si="232"/>
        <v>9.9172999999999991</v>
      </c>
      <c r="BD436" s="346">
        <f t="shared" si="232"/>
        <v>9.9172999999999991</v>
      </c>
      <c r="BE436" s="346">
        <f t="shared" si="232"/>
        <v>9.9172999999999991</v>
      </c>
      <c r="BF436" s="397"/>
      <c r="BG436" s="397"/>
      <c r="BH436" s="397"/>
    </row>
    <row r="437" spans="1:60" ht="14.25" customHeight="1" x14ac:dyDescent="0.45">
      <c r="A437" s="288"/>
      <c r="B437" s="396"/>
      <c r="C437" s="288" t="s">
        <v>215</v>
      </c>
      <c r="D437" s="391" t="s">
        <v>205</v>
      </c>
      <c r="E437" s="346">
        <f t="shared" si="220"/>
        <v>0</v>
      </c>
      <c r="F437" s="346">
        <f t="shared" si="220"/>
        <v>0</v>
      </c>
      <c r="G437" s="346">
        <f t="shared" si="220"/>
        <v>0</v>
      </c>
      <c r="H437" s="346">
        <f t="shared" si="220"/>
        <v>0</v>
      </c>
      <c r="I437" s="346">
        <f t="shared" ref="I437:BE437" si="233">0.99*I242</f>
        <v>0</v>
      </c>
      <c r="J437" s="346">
        <f t="shared" si="233"/>
        <v>0</v>
      </c>
      <c r="K437" s="346">
        <f t="shared" si="233"/>
        <v>0</v>
      </c>
      <c r="L437" s="346">
        <f t="shared" si="233"/>
        <v>0</v>
      </c>
      <c r="M437" s="346">
        <f t="shared" si="233"/>
        <v>0</v>
      </c>
      <c r="N437" s="346">
        <f t="shared" si="233"/>
        <v>0</v>
      </c>
      <c r="O437" s="346">
        <f t="shared" si="233"/>
        <v>0</v>
      </c>
      <c r="P437" s="346">
        <f t="shared" si="233"/>
        <v>0</v>
      </c>
      <c r="Q437" s="346">
        <f t="shared" si="233"/>
        <v>0</v>
      </c>
      <c r="R437" s="346">
        <f t="shared" si="233"/>
        <v>0</v>
      </c>
      <c r="S437" s="346">
        <f t="shared" si="233"/>
        <v>0</v>
      </c>
      <c r="T437" s="346">
        <f t="shared" si="233"/>
        <v>0</v>
      </c>
      <c r="U437" s="346">
        <f t="shared" si="233"/>
        <v>0</v>
      </c>
      <c r="V437" s="346">
        <f t="shared" si="233"/>
        <v>0</v>
      </c>
      <c r="W437" s="346">
        <f t="shared" si="233"/>
        <v>0</v>
      </c>
      <c r="X437" s="346">
        <f t="shared" si="233"/>
        <v>0</v>
      </c>
      <c r="Y437" s="346">
        <f t="shared" si="233"/>
        <v>0</v>
      </c>
      <c r="Z437" s="346">
        <f t="shared" si="233"/>
        <v>0</v>
      </c>
      <c r="AA437" s="346">
        <f t="shared" si="233"/>
        <v>0</v>
      </c>
      <c r="AB437" s="346">
        <f t="shared" si="233"/>
        <v>0</v>
      </c>
      <c r="AC437" s="346">
        <f t="shared" si="233"/>
        <v>0</v>
      </c>
      <c r="AD437" s="346">
        <f t="shared" si="233"/>
        <v>0</v>
      </c>
      <c r="AE437" s="346">
        <f t="shared" si="233"/>
        <v>0</v>
      </c>
      <c r="AF437" s="346">
        <f t="shared" si="233"/>
        <v>0</v>
      </c>
      <c r="AG437" s="346">
        <f t="shared" si="233"/>
        <v>0</v>
      </c>
      <c r="AH437" s="346">
        <f t="shared" si="233"/>
        <v>0</v>
      </c>
      <c r="AI437" s="346">
        <f t="shared" si="233"/>
        <v>0</v>
      </c>
      <c r="AJ437" s="346">
        <f t="shared" si="233"/>
        <v>0</v>
      </c>
      <c r="AK437" s="346">
        <f t="shared" si="233"/>
        <v>0</v>
      </c>
      <c r="AL437" s="346">
        <f t="shared" si="233"/>
        <v>0</v>
      </c>
      <c r="AM437" s="346">
        <f t="shared" si="233"/>
        <v>0</v>
      </c>
      <c r="AN437" s="346">
        <f t="shared" si="233"/>
        <v>0</v>
      </c>
      <c r="AO437" s="346">
        <f t="shared" si="233"/>
        <v>0</v>
      </c>
      <c r="AP437" s="346">
        <f t="shared" si="233"/>
        <v>0</v>
      </c>
      <c r="AQ437" s="346">
        <f t="shared" si="233"/>
        <v>0</v>
      </c>
      <c r="AR437" s="346">
        <f t="shared" si="233"/>
        <v>0</v>
      </c>
      <c r="AS437" s="346">
        <f t="shared" si="233"/>
        <v>0</v>
      </c>
      <c r="AT437" s="346">
        <f t="shared" si="233"/>
        <v>0</v>
      </c>
      <c r="AU437" s="346">
        <f t="shared" si="233"/>
        <v>0</v>
      </c>
      <c r="AV437" s="346">
        <f t="shared" si="233"/>
        <v>0</v>
      </c>
      <c r="AW437" s="346">
        <f t="shared" si="233"/>
        <v>0</v>
      </c>
      <c r="AX437" s="346">
        <f t="shared" si="233"/>
        <v>0</v>
      </c>
      <c r="AY437" s="346">
        <f t="shared" si="233"/>
        <v>0</v>
      </c>
      <c r="AZ437" s="346">
        <f t="shared" si="233"/>
        <v>0</v>
      </c>
      <c r="BA437" s="346">
        <f t="shared" si="233"/>
        <v>0</v>
      </c>
      <c r="BB437" s="346">
        <f t="shared" si="233"/>
        <v>0</v>
      </c>
      <c r="BC437" s="346">
        <f t="shared" si="233"/>
        <v>0</v>
      </c>
      <c r="BD437" s="346">
        <f t="shared" si="233"/>
        <v>0</v>
      </c>
      <c r="BE437" s="346">
        <f t="shared" si="233"/>
        <v>0</v>
      </c>
      <c r="BF437" s="397"/>
      <c r="BG437" s="397"/>
      <c r="BH437" s="397"/>
    </row>
    <row r="438" spans="1:60" ht="14.25" customHeight="1" x14ac:dyDescent="0.45">
      <c r="A438" s="618"/>
      <c r="B438" s="215"/>
      <c r="C438" s="220" t="s">
        <v>216</v>
      </c>
      <c r="D438" s="304" t="s">
        <v>207</v>
      </c>
      <c r="E438" s="346">
        <f t="shared" si="220"/>
        <v>9.6889000000000003</v>
      </c>
      <c r="F438" s="346">
        <f t="shared" si="220"/>
        <v>11.860799999999999</v>
      </c>
      <c r="G438" s="346">
        <f t="shared" si="220"/>
        <v>10.1967</v>
      </c>
      <c r="H438" s="346">
        <f t="shared" si="220"/>
        <v>10.993499999999999</v>
      </c>
      <c r="I438" s="394">
        <f t="shared" ref="I438:BE438" si="234">ROUND(I$396*$I330*0.99,4)+H438</f>
        <v>10.967899999999998</v>
      </c>
      <c r="J438" s="394">
        <f t="shared" si="234"/>
        <v>10.932699999999999</v>
      </c>
      <c r="K438" s="394">
        <f t="shared" si="234"/>
        <v>11.029199999999999</v>
      </c>
      <c r="L438" s="394">
        <f t="shared" si="234"/>
        <v>11.398299999999999</v>
      </c>
      <c r="M438" s="394">
        <f t="shared" si="234"/>
        <v>11.7624</v>
      </c>
      <c r="N438" s="394">
        <f t="shared" si="234"/>
        <v>12.205299999999999</v>
      </c>
      <c r="O438" s="394">
        <f t="shared" si="234"/>
        <v>12.1976</v>
      </c>
      <c r="P438" s="394">
        <f t="shared" si="234"/>
        <v>12.515699999999999</v>
      </c>
      <c r="Q438" s="394">
        <f t="shared" si="234"/>
        <v>12.924799999999999</v>
      </c>
      <c r="R438" s="394">
        <f t="shared" si="234"/>
        <v>13.2006</v>
      </c>
      <c r="S438" s="394">
        <f t="shared" si="234"/>
        <v>13.6396</v>
      </c>
      <c r="T438" s="394">
        <f t="shared" si="234"/>
        <v>14.099600000000001</v>
      </c>
      <c r="U438" s="394">
        <f t="shared" si="234"/>
        <v>14.537100000000001</v>
      </c>
      <c r="V438" s="394">
        <f t="shared" si="234"/>
        <v>14.933400000000001</v>
      </c>
      <c r="W438" s="394">
        <f t="shared" si="234"/>
        <v>15.4124</v>
      </c>
      <c r="X438" s="394">
        <f t="shared" si="234"/>
        <v>15.8081</v>
      </c>
      <c r="Y438" s="394">
        <f t="shared" si="234"/>
        <v>16.2623</v>
      </c>
      <c r="Z438" s="394">
        <f t="shared" si="234"/>
        <v>16.7164</v>
      </c>
      <c r="AA438" s="394">
        <f t="shared" si="234"/>
        <v>17.167999999999999</v>
      </c>
      <c r="AB438" s="394">
        <f t="shared" si="234"/>
        <v>17.5946</v>
      </c>
      <c r="AC438" s="394">
        <f t="shared" si="234"/>
        <v>18.047599999999999</v>
      </c>
      <c r="AD438" s="394">
        <f t="shared" si="234"/>
        <v>18.385199999999998</v>
      </c>
      <c r="AE438" s="394">
        <f t="shared" si="234"/>
        <v>18.838599999999996</v>
      </c>
      <c r="AF438" s="394">
        <f t="shared" si="234"/>
        <v>19.206899999999997</v>
      </c>
      <c r="AG438" s="394">
        <f t="shared" si="234"/>
        <v>19.688199999999998</v>
      </c>
      <c r="AH438" s="394">
        <f t="shared" si="234"/>
        <v>20.063799999999997</v>
      </c>
      <c r="AI438" s="394">
        <f t="shared" si="234"/>
        <v>20.451499999999996</v>
      </c>
      <c r="AJ438" s="394">
        <f t="shared" si="234"/>
        <v>20.832799999999995</v>
      </c>
      <c r="AK438" s="394">
        <f t="shared" si="234"/>
        <v>21.229999999999997</v>
      </c>
      <c r="AL438" s="394">
        <f t="shared" si="234"/>
        <v>22.048499999999997</v>
      </c>
      <c r="AM438" s="394">
        <f t="shared" si="234"/>
        <v>22.474199999999996</v>
      </c>
      <c r="AN438" s="394">
        <f t="shared" si="234"/>
        <v>22.903299999999994</v>
      </c>
      <c r="AO438" s="394">
        <f t="shared" si="234"/>
        <v>23.330699999999993</v>
      </c>
      <c r="AP438" s="394">
        <f t="shared" si="234"/>
        <v>23.771799999999992</v>
      </c>
      <c r="AQ438" s="394">
        <f t="shared" si="234"/>
        <v>24.209399999999992</v>
      </c>
      <c r="AR438" s="394">
        <f t="shared" si="234"/>
        <v>24.646999999999991</v>
      </c>
      <c r="AS438" s="394">
        <f t="shared" si="234"/>
        <v>25.084699999999991</v>
      </c>
      <c r="AT438" s="394">
        <f t="shared" si="234"/>
        <v>25.52569999999999</v>
      </c>
      <c r="AU438" s="394">
        <f t="shared" si="234"/>
        <v>25.97359999999999</v>
      </c>
      <c r="AV438" s="394">
        <f t="shared" si="234"/>
        <v>26.424799999999991</v>
      </c>
      <c r="AW438" s="394">
        <f t="shared" si="234"/>
        <v>26.882899999999992</v>
      </c>
      <c r="AX438" s="394">
        <f t="shared" si="234"/>
        <v>27.339299999999991</v>
      </c>
      <c r="AY438" s="394">
        <f t="shared" si="234"/>
        <v>27.800799999999992</v>
      </c>
      <c r="AZ438" s="394">
        <f t="shared" si="234"/>
        <v>28.267399999999991</v>
      </c>
      <c r="BA438" s="394">
        <f t="shared" si="234"/>
        <v>28.733999999999991</v>
      </c>
      <c r="BB438" s="394">
        <f t="shared" si="234"/>
        <v>29.20399999999999</v>
      </c>
      <c r="BC438" s="394">
        <f t="shared" si="234"/>
        <v>29.677399999999992</v>
      </c>
      <c r="BD438" s="394">
        <f t="shared" si="234"/>
        <v>30.155899999999992</v>
      </c>
      <c r="BE438" s="394">
        <f t="shared" si="234"/>
        <v>30.637799999999991</v>
      </c>
      <c r="BF438" s="3"/>
      <c r="BG438" s="3"/>
      <c r="BH438" s="3"/>
    </row>
    <row r="439" spans="1:60" ht="14.25" customHeight="1" x14ac:dyDescent="0.45">
      <c r="A439" s="618"/>
      <c r="B439" s="215"/>
      <c r="C439" s="164" t="s">
        <v>217</v>
      </c>
      <c r="D439" s="304" t="s">
        <v>209</v>
      </c>
      <c r="E439" s="346">
        <f t="shared" si="220"/>
        <v>4.3954000000000004</v>
      </c>
      <c r="F439" s="346">
        <f t="shared" si="220"/>
        <v>6.8478000000000003</v>
      </c>
      <c r="G439" s="346">
        <f t="shared" si="220"/>
        <v>8.7919</v>
      </c>
      <c r="H439" s="346">
        <f t="shared" si="220"/>
        <v>9.4092000000000002</v>
      </c>
      <c r="I439" s="394">
        <f t="shared" ref="I439:AK439" si="235">ROUND(I$396*$I331*0.99,4)+H439</f>
        <v>9.3917999999999999</v>
      </c>
      <c r="J439" s="394">
        <f t="shared" si="235"/>
        <v>9.3680000000000003</v>
      </c>
      <c r="K439" s="394">
        <f t="shared" si="235"/>
        <v>9.4333000000000009</v>
      </c>
      <c r="L439" s="394">
        <f t="shared" si="235"/>
        <v>9.6832000000000011</v>
      </c>
      <c r="M439" s="394">
        <f t="shared" si="235"/>
        <v>9.9297000000000004</v>
      </c>
      <c r="N439" s="394">
        <f t="shared" si="235"/>
        <v>10.2296</v>
      </c>
      <c r="O439" s="394">
        <f t="shared" si="235"/>
        <v>10.224399999999999</v>
      </c>
      <c r="P439" s="394">
        <f t="shared" si="235"/>
        <v>10.4398</v>
      </c>
      <c r="Q439" s="394">
        <f t="shared" si="235"/>
        <v>10.716799999999999</v>
      </c>
      <c r="R439" s="394">
        <f t="shared" si="235"/>
        <v>10.903599999999999</v>
      </c>
      <c r="S439" s="394">
        <f t="shared" si="235"/>
        <v>11.200899999999999</v>
      </c>
      <c r="T439" s="394">
        <f t="shared" si="235"/>
        <v>11.5124</v>
      </c>
      <c r="U439" s="394">
        <f t="shared" si="235"/>
        <v>11.8087</v>
      </c>
      <c r="V439" s="394">
        <f t="shared" si="235"/>
        <v>12.0771</v>
      </c>
      <c r="W439" s="394">
        <f t="shared" si="235"/>
        <v>12.4015</v>
      </c>
      <c r="X439" s="394">
        <f t="shared" si="235"/>
        <v>12.669500000000001</v>
      </c>
      <c r="Y439" s="394">
        <f t="shared" si="235"/>
        <v>12.977100000000002</v>
      </c>
      <c r="Z439" s="394">
        <f t="shared" si="235"/>
        <v>13.284600000000001</v>
      </c>
      <c r="AA439" s="394">
        <f t="shared" si="235"/>
        <v>13.5905</v>
      </c>
      <c r="AB439" s="394">
        <f t="shared" si="235"/>
        <v>13.8794</v>
      </c>
      <c r="AC439" s="394">
        <f t="shared" si="235"/>
        <v>14.186200000000001</v>
      </c>
      <c r="AD439" s="394">
        <f t="shared" si="235"/>
        <v>14.414800000000001</v>
      </c>
      <c r="AE439" s="394">
        <f t="shared" si="235"/>
        <v>14.721900000000002</v>
      </c>
      <c r="AF439" s="394">
        <f t="shared" si="235"/>
        <v>14.971300000000001</v>
      </c>
      <c r="AG439" s="394">
        <f t="shared" si="235"/>
        <v>15.297200000000002</v>
      </c>
      <c r="AH439" s="394">
        <f t="shared" si="235"/>
        <v>15.551600000000002</v>
      </c>
      <c r="AI439" s="394">
        <f t="shared" si="235"/>
        <v>15.814200000000003</v>
      </c>
      <c r="AJ439" s="394">
        <f t="shared" si="235"/>
        <v>16.072400000000002</v>
      </c>
      <c r="AK439" s="394">
        <f t="shared" si="235"/>
        <v>16.3414</v>
      </c>
      <c r="AL439" s="394">
        <f t="shared" ref="AL439:BE439" si="236">AK439</f>
        <v>16.3414</v>
      </c>
      <c r="AM439" s="394">
        <f t="shared" si="236"/>
        <v>16.3414</v>
      </c>
      <c r="AN439" s="394">
        <f t="shared" si="236"/>
        <v>16.3414</v>
      </c>
      <c r="AO439" s="394">
        <f t="shared" si="236"/>
        <v>16.3414</v>
      </c>
      <c r="AP439" s="394">
        <f t="shared" si="236"/>
        <v>16.3414</v>
      </c>
      <c r="AQ439" s="394">
        <f t="shared" si="236"/>
        <v>16.3414</v>
      </c>
      <c r="AR439" s="394">
        <f t="shared" si="236"/>
        <v>16.3414</v>
      </c>
      <c r="AS439" s="394">
        <f t="shared" si="236"/>
        <v>16.3414</v>
      </c>
      <c r="AT439" s="394">
        <f t="shared" si="236"/>
        <v>16.3414</v>
      </c>
      <c r="AU439" s="394">
        <f t="shared" si="236"/>
        <v>16.3414</v>
      </c>
      <c r="AV439" s="394">
        <f t="shared" si="236"/>
        <v>16.3414</v>
      </c>
      <c r="AW439" s="394">
        <f t="shared" si="236"/>
        <v>16.3414</v>
      </c>
      <c r="AX439" s="394">
        <f t="shared" si="236"/>
        <v>16.3414</v>
      </c>
      <c r="AY439" s="394">
        <f t="shared" si="236"/>
        <v>16.3414</v>
      </c>
      <c r="AZ439" s="394">
        <f t="shared" si="236"/>
        <v>16.3414</v>
      </c>
      <c r="BA439" s="394">
        <f t="shared" si="236"/>
        <v>16.3414</v>
      </c>
      <c r="BB439" s="394">
        <f t="shared" si="236"/>
        <v>16.3414</v>
      </c>
      <c r="BC439" s="394">
        <f t="shared" si="236"/>
        <v>16.3414</v>
      </c>
      <c r="BD439" s="394">
        <f t="shared" si="236"/>
        <v>16.3414</v>
      </c>
      <c r="BE439" s="394">
        <f t="shared" si="236"/>
        <v>16.3414</v>
      </c>
      <c r="BF439" s="3"/>
      <c r="BG439" s="3"/>
      <c r="BH439" s="3"/>
    </row>
    <row r="440" spans="1:60" ht="14.25" customHeight="1" x14ac:dyDescent="0.45">
      <c r="A440" s="618"/>
      <c r="B440" s="215"/>
      <c r="C440" s="220" t="s">
        <v>218</v>
      </c>
      <c r="D440" s="304" t="s">
        <v>211</v>
      </c>
      <c r="E440" s="346">
        <f t="shared" si="220"/>
        <v>29.699300000000001</v>
      </c>
      <c r="F440" s="346">
        <f t="shared" si="220"/>
        <v>31.339400000000001</v>
      </c>
      <c r="G440" s="346">
        <f t="shared" si="220"/>
        <v>32.947000000000003</v>
      </c>
      <c r="H440" s="346">
        <f t="shared" si="220"/>
        <v>32.794600000000003</v>
      </c>
      <c r="I440" s="394">
        <v>30</v>
      </c>
      <c r="J440" s="394">
        <f t="shared" ref="J440:BE440" si="237">ROUND(J$396*$I332*0.99,4)+I440</f>
        <v>29.895499999999998</v>
      </c>
      <c r="K440" s="394">
        <f t="shared" si="237"/>
        <v>30.181699999999999</v>
      </c>
      <c r="L440" s="394">
        <f t="shared" si="237"/>
        <v>31.276599999999998</v>
      </c>
      <c r="M440" s="394">
        <f t="shared" si="237"/>
        <v>32.356699999999996</v>
      </c>
      <c r="N440" s="394">
        <f t="shared" si="237"/>
        <v>33.670599999999993</v>
      </c>
      <c r="O440" s="394">
        <f t="shared" si="237"/>
        <v>33.647699999999993</v>
      </c>
      <c r="P440" s="394">
        <f t="shared" si="237"/>
        <v>34.591499999999996</v>
      </c>
      <c r="Q440" s="394">
        <f t="shared" si="237"/>
        <v>35.805199999999999</v>
      </c>
      <c r="R440" s="394">
        <f t="shared" si="237"/>
        <v>36.623399999999997</v>
      </c>
      <c r="S440" s="394">
        <f t="shared" si="237"/>
        <v>37.925799999999995</v>
      </c>
      <c r="T440" s="394">
        <f t="shared" si="237"/>
        <v>39.290599999999998</v>
      </c>
      <c r="U440" s="394">
        <f t="shared" si="237"/>
        <v>40.5886</v>
      </c>
      <c r="V440" s="394">
        <f t="shared" si="237"/>
        <v>41.764400000000002</v>
      </c>
      <c r="W440" s="394">
        <f t="shared" si="237"/>
        <v>43.185500000000005</v>
      </c>
      <c r="X440" s="394">
        <f t="shared" si="237"/>
        <v>44.359500000000004</v>
      </c>
      <c r="Y440" s="394">
        <f t="shared" si="237"/>
        <v>45.707100000000004</v>
      </c>
      <c r="Z440" s="394">
        <f t="shared" si="237"/>
        <v>47.054200000000002</v>
      </c>
      <c r="AA440" s="394">
        <f t="shared" si="237"/>
        <v>48.394100000000002</v>
      </c>
      <c r="AB440" s="394">
        <f t="shared" si="237"/>
        <v>49.659800000000004</v>
      </c>
      <c r="AC440" s="394">
        <f t="shared" si="237"/>
        <v>51.003800000000005</v>
      </c>
      <c r="AD440" s="394">
        <f t="shared" si="237"/>
        <v>52.005500000000005</v>
      </c>
      <c r="AE440" s="394">
        <f t="shared" si="237"/>
        <v>53.350700000000003</v>
      </c>
      <c r="AF440" s="394">
        <f t="shared" si="237"/>
        <v>54.443200000000004</v>
      </c>
      <c r="AG440" s="394">
        <f t="shared" si="237"/>
        <v>55.871100000000006</v>
      </c>
      <c r="AH440" s="394">
        <f t="shared" si="237"/>
        <v>56.985600000000005</v>
      </c>
      <c r="AI440" s="394">
        <f t="shared" si="237"/>
        <v>58.135900000000007</v>
      </c>
      <c r="AJ440" s="394">
        <f t="shared" si="237"/>
        <v>59.26720000000001</v>
      </c>
      <c r="AK440" s="394">
        <f t="shared" si="237"/>
        <v>60.445600000000013</v>
      </c>
      <c r="AL440" s="394">
        <f t="shared" si="237"/>
        <v>62.873900000000013</v>
      </c>
      <c r="AM440" s="394">
        <f t="shared" si="237"/>
        <v>64.137000000000015</v>
      </c>
      <c r="AN440" s="394">
        <f t="shared" si="237"/>
        <v>65.410200000000017</v>
      </c>
      <c r="AO440" s="394">
        <f t="shared" si="237"/>
        <v>66.678200000000018</v>
      </c>
      <c r="AP440" s="394">
        <f t="shared" si="237"/>
        <v>67.986700000000013</v>
      </c>
      <c r="AQ440" s="394">
        <f t="shared" si="237"/>
        <v>69.285000000000011</v>
      </c>
      <c r="AR440" s="394">
        <f t="shared" si="237"/>
        <v>70.583400000000012</v>
      </c>
      <c r="AS440" s="394">
        <f t="shared" si="237"/>
        <v>71.881900000000016</v>
      </c>
      <c r="AT440" s="394">
        <f t="shared" si="237"/>
        <v>73.190400000000011</v>
      </c>
      <c r="AU440" s="394">
        <f t="shared" si="237"/>
        <v>74.519100000000009</v>
      </c>
      <c r="AV440" s="394">
        <f t="shared" si="237"/>
        <v>75.857800000000012</v>
      </c>
      <c r="AW440" s="394">
        <f t="shared" si="237"/>
        <v>77.216800000000006</v>
      </c>
      <c r="AX440" s="394">
        <f t="shared" si="237"/>
        <v>78.570800000000006</v>
      </c>
      <c r="AY440" s="394">
        <f t="shared" si="237"/>
        <v>79.939900000000009</v>
      </c>
      <c r="AZ440" s="394">
        <f t="shared" si="237"/>
        <v>81.324100000000016</v>
      </c>
      <c r="BA440" s="394">
        <f t="shared" si="237"/>
        <v>82.708400000000012</v>
      </c>
      <c r="BB440" s="394">
        <f t="shared" si="237"/>
        <v>84.102800000000016</v>
      </c>
      <c r="BC440" s="394">
        <f t="shared" si="237"/>
        <v>85.507300000000015</v>
      </c>
      <c r="BD440" s="394">
        <f t="shared" si="237"/>
        <v>86.926900000000018</v>
      </c>
      <c r="BE440" s="394">
        <f t="shared" si="237"/>
        <v>88.356700000000018</v>
      </c>
      <c r="BF440" s="3"/>
      <c r="BG440" s="3"/>
      <c r="BH440" s="3"/>
    </row>
    <row r="441" spans="1:60" ht="14.25" customHeight="1" x14ac:dyDescent="0.45">
      <c r="A441" s="618"/>
      <c r="B441" s="215"/>
      <c r="C441" s="220"/>
      <c r="D441" s="221" t="s">
        <v>59</v>
      </c>
      <c r="E441" s="232">
        <f>E404+E403+E412+E415+E416+E418+E420+E421+E423+E426+E428+E429+E430+E431+E432+E433+E435+E436+E437+E438+E439+E440</f>
        <v>90.381799999999998</v>
      </c>
      <c r="F441" s="232">
        <f>F404+F403+F412+F415+F416+F418+F420+F421+F423+F426+F428+F429+F430+F431+F432+F433+F435+F436+F437+F438+F439+F440</f>
        <v>100.31400000000001</v>
      </c>
      <c r="G441" s="232">
        <f>G404+G403+G412+G415+G416+G418+G420+G421+G423+G426+G428+G429+G430+G431+G432+G433+G435+G436+G437+G438+G439+G440</f>
        <v>97.238200000000006</v>
      </c>
      <c r="H441" s="232">
        <f t="shared" ref="H441:BE441" si="238">H404+H403+H412+H415+H416+H418+H420+H421+H423+H426+H428+H429+H430+H431+H432+H433+H435+H436+H437+H438+H439+H440+H400</f>
        <v>100.34750000000001</v>
      </c>
      <c r="I441" s="232">
        <f t="shared" si="238"/>
        <v>98.790600000000012</v>
      </c>
      <c r="J441" s="232">
        <f t="shared" si="238"/>
        <v>101.62390000000001</v>
      </c>
      <c r="K441" s="232">
        <f t="shared" si="238"/>
        <v>104.63560000000001</v>
      </c>
      <c r="L441" s="232">
        <f t="shared" si="238"/>
        <v>107.17830000000001</v>
      </c>
      <c r="M441" s="232">
        <f t="shared" si="238"/>
        <v>109.68639999999999</v>
      </c>
      <c r="N441" s="232">
        <f t="shared" si="238"/>
        <v>112.7375</v>
      </c>
      <c r="O441" s="232">
        <f t="shared" si="238"/>
        <v>115.8783</v>
      </c>
      <c r="P441" s="232">
        <f t="shared" si="238"/>
        <v>118.0697</v>
      </c>
      <c r="Q441" s="232">
        <f t="shared" si="238"/>
        <v>120.88799999999999</v>
      </c>
      <c r="R441" s="232">
        <f t="shared" si="238"/>
        <v>124.18799999999999</v>
      </c>
      <c r="S441" s="232">
        <f t="shared" si="238"/>
        <v>127.21249999999999</v>
      </c>
      <c r="T441" s="232">
        <f t="shared" si="238"/>
        <v>130.38199999999998</v>
      </c>
      <c r="U441" s="232">
        <f t="shared" si="238"/>
        <v>133.39580000000001</v>
      </c>
      <c r="V441" s="232">
        <f t="shared" si="238"/>
        <v>136.1259</v>
      </c>
      <c r="W441" s="232">
        <f t="shared" si="238"/>
        <v>139.41540000000001</v>
      </c>
      <c r="X441" s="232">
        <f t="shared" si="238"/>
        <v>142.13339999999999</v>
      </c>
      <c r="Y441" s="232">
        <f t="shared" si="238"/>
        <v>145.25240000000002</v>
      </c>
      <c r="Z441" s="232">
        <f t="shared" si="238"/>
        <v>148.3707</v>
      </c>
      <c r="AA441" s="232">
        <f t="shared" si="238"/>
        <v>151.47210000000001</v>
      </c>
      <c r="AB441" s="232">
        <f t="shared" si="238"/>
        <v>154.40200000000002</v>
      </c>
      <c r="AC441" s="232">
        <f t="shared" si="238"/>
        <v>157.51310000000001</v>
      </c>
      <c r="AD441" s="232">
        <f t="shared" si="238"/>
        <v>159.83160000000001</v>
      </c>
      <c r="AE441" s="232">
        <f t="shared" si="238"/>
        <v>162.94540000000001</v>
      </c>
      <c r="AF441" s="232">
        <f t="shared" si="238"/>
        <v>165.47479999999999</v>
      </c>
      <c r="AG441" s="232">
        <f t="shared" si="238"/>
        <v>168.7799</v>
      </c>
      <c r="AH441" s="232">
        <f t="shared" si="238"/>
        <v>171.35980000000001</v>
      </c>
      <c r="AI441" s="232">
        <f t="shared" si="238"/>
        <v>174.02199999999999</v>
      </c>
      <c r="AJ441" s="232">
        <f t="shared" si="238"/>
        <v>176.64080000000001</v>
      </c>
      <c r="AK441" s="232">
        <f t="shared" si="238"/>
        <v>179.36850000000001</v>
      </c>
      <c r="AL441" s="232">
        <f t="shared" si="238"/>
        <v>184.43510000000001</v>
      </c>
      <c r="AM441" s="232">
        <f t="shared" si="238"/>
        <v>187.0703</v>
      </c>
      <c r="AN441" s="232">
        <f t="shared" si="238"/>
        <v>189.72659999999999</v>
      </c>
      <c r="AO441" s="232">
        <f t="shared" si="238"/>
        <v>192.37250000000003</v>
      </c>
      <c r="AP441" s="232">
        <f t="shared" si="238"/>
        <v>195.1027</v>
      </c>
      <c r="AQ441" s="232">
        <f t="shared" si="238"/>
        <v>197.8117</v>
      </c>
      <c r="AR441" s="232">
        <f t="shared" si="238"/>
        <v>200.52080000000001</v>
      </c>
      <c r="AS441" s="232">
        <f t="shared" si="238"/>
        <v>203.22990000000001</v>
      </c>
      <c r="AT441" s="232">
        <f t="shared" si="238"/>
        <v>205.96010000000001</v>
      </c>
      <c r="AU441" s="232">
        <f t="shared" si="238"/>
        <v>208.73240000000001</v>
      </c>
      <c r="AV441" s="232">
        <f t="shared" si="238"/>
        <v>211.52579999999998</v>
      </c>
      <c r="AW441" s="232">
        <f t="shared" si="238"/>
        <v>214.3613</v>
      </c>
      <c r="AX441" s="232">
        <f t="shared" si="238"/>
        <v>217.18640000000002</v>
      </c>
      <c r="AY441" s="232">
        <f t="shared" si="238"/>
        <v>220.04300000000003</v>
      </c>
      <c r="AZ441" s="232">
        <f t="shared" si="238"/>
        <v>222.93120000000002</v>
      </c>
      <c r="BA441" s="232">
        <f t="shared" si="238"/>
        <v>225.7723</v>
      </c>
      <c r="BB441" s="232">
        <f t="shared" si="238"/>
        <v>228.63400000000004</v>
      </c>
      <c r="BC441" s="232">
        <f t="shared" si="238"/>
        <v>231.51650000000001</v>
      </c>
      <c r="BD441" s="232">
        <f t="shared" si="238"/>
        <v>234.43020000000001</v>
      </c>
      <c r="BE441" s="232">
        <f t="shared" si="238"/>
        <v>237.36460000000002</v>
      </c>
      <c r="BF441" s="3"/>
      <c r="BG441" s="3"/>
      <c r="BH441" s="3"/>
    </row>
    <row r="442" spans="1:60" ht="14.25" customHeight="1" x14ac:dyDescent="0.45">
      <c r="A442" s="618"/>
      <c r="B442" s="215"/>
      <c r="C442" s="220"/>
      <c r="D442" s="221"/>
      <c r="E442" s="232"/>
      <c r="F442" s="232"/>
      <c r="G442" s="232"/>
      <c r="H442" s="294"/>
      <c r="I442" s="618"/>
      <c r="J442" s="618"/>
      <c r="K442" s="618"/>
      <c r="L442" s="618"/>
      <c r="M442" s="618"/>
      <c r="N442" s="618"/>
      <c r="O442" s="618"/>
      <c r="P442" s="618"/>
      <c r="Q442" s="618"/>
      <c r="R442" s="618"/>
      <c r="S442" s="618"/>
      <c r="T442" s="618"/>
      <c r="U442" s="618"/>
      <c r="V442" s="618"/>
      <c r="W442" s="618"/>
      <c r="X442" s="618"/>
      <c r="Y442" s="618"/>
      <c r="Z442" s="618"/>
      <c r="AA442" s="618"/>
      <c r="AB442" s="618"/>
      <c r="AC442" s="618"/>
      <c r="AD442" s="618"/>
      <c r="AE442" s="618"/>
      <c r="AF442" s="618"/>
      <c r="AG442" s="618"/>
      <c r="AH442" s="618"/>
      <c r="AI442" s="618"/>
      <c r="AJ442" s="618"/>
      <c r="AK442" s="618"/>
      <c r="AL442" s="618"/>
      <c r="AM442" s="618"/>
      <c r="AN442" s="618"/>
      <c r="AO442" s="618"/>
      <c r="AP442" s="618"/>
      <c r="AQ442" s="618"/>
      <c r="AR442" s="618"/>
      <c r="AS442" s="618"/>
      <c r="AT442" s="618"/>
      <c r="AU442" s="618"/>
      <c r="AV442" s="618"/>
      <c r="AW442" s="618"/>
      <c r="AX442" s="618"/>
      <c r="AY442" s="618"/>
      <c r="AZ442" s="618"/>
      <c r="BA442" s="618"/>
      <c r="BB442" s="618"/>
      <c r="BC442" s="618"/>
      <c r="BD442" s="618"/>
      <c r="BE442" s="618"/>
      <c r="BF442" s="3"/>
      <c r="BG442" s="3"/>
      <c r="BH442" s="3"/>
    </row>
    <row r="443" spans="1:60" ht="14.25" customHeight="1" x14ac:dyDescent="0.45">
      <c r="A443" s="618"/>
      <c r="B443" s="215"/>
      <c r="C443" s="220"/>
      <c r="D443" s="243" t="s">
        <v>351</v>
      </c>
      <c r="E443" s="222">
        <v>2018</v>
      </c>
      <c r="F443" s="222">
        <v>2019</v>
      </c>
      <c r="G443" s="222">
        <v>2020</v>
      </c>
      <c r="H443" s="223">
        <v>2021</v>
      </c>
      <c r="I443" s="618"/>
      <c r="J443" s="618"/>
      <c r="K443" s="618"/>
      <c r="L443" s="618"/>
      <c r="M443" s="618"/>
      <c r="N443" s="618"/>
      <c r="O443" s="618"/>
      <c r="P443" s="618"/>
      <c r="Q443" s="618"/>
      <c r="R443" s="618"/>
      <c r="S443" s="618"/>
      <c r="T443" s="618"/>
      <c r="U443" s="618"/>
      <c r="V443" s="618"/>
      <c r="W443" s="618"/>
      <c r="X443" s="618"/>
      <c r="Y443" s="618"/>
      <c r="Z443" s="618"/>
      <c r="AA443" s="618"/>
      <c r="AB443" s="618"/>
      <c r="AC443" s="618"/>
      <c r="AD443" s="618"/>
      <c r="AE443" s="618"/>
      <c r="AF443" s="618"/>
      <c r="AG443" s="618"/>
      <c r="AH443" s="618"/>
      <c r="AI443" s="618"/>
      <c r="AJ443" s="618"/>
      <c r="AK443" s="618"/>
      <c r="AL443" s="618"/>
      <c r="AM443" s="618"/>
      <c r="AN443" s="618"/>
      <c r="AO443" s="618"/>
      <c r="AP443" s="618"/>
      <c r="AQ443" s="618"/>
      <c r="AR443" s="618"/>
      <c r="AS443" s="618"/>
      <c r="AT443" s="618"/>
      <c r="AU443" s="618"/>
      <c r="AV443" s="618"/>
      <c r="AW443" s="618"/>
      <c r="AX443" s="618"/>
      <c r="AY443" s="618"/>
      <c r="AZ443" s="618"/>
      <c r="BA443" s="618"/>
      <c r="BB443" s="618"/>
      <c r="BC443" s="618"/>
      <c r="BD443" s="618"/>
      <c r="BE443" s="618"/>
      <c r="BF443" s="3"/>
      <c r="BG443" s="3"/>
      <c r="BH443" s="3"/>
    </row>
    <row r="444" spans="1:60" ht="14.25" customHeight="1" x14ac:dyDescent="0.45">
      <c r="A444" s="618"/>
      <c r="B444" s="215"/>
      <c r="C444" s="220"/>
      <c r="D444" s="224" t="s">
        <v>339</v>
      </c>
      <c r="E444" s="346">
        <f t="shared" ref="E444:H463" si="239">ROUND(0.99*E249,4)</f>
        <v>0</v>
      </c>
      <c r="F444" s="346">
        <f t="shared" si="239"/>
        <v>0</v>
      </c>
      <c r="G444" s="346">
        <f t="shared" si="239"/>
        <v>0</v>
      </c>
      <c r="H444" s="346">
        <f t="shared" si="239"/>
        <v>0</v>
      </c>
      <c r="I444" s="346">
        <f t="shared" ref="I444:BE444" si="240">0.99*I249</f>
        <v>0</v>
      </c>
      <c r="J444" s="346">
        <f t="shared" si="240"/>
        <v>0</v>
      </c>
      <c r="K444" s="346">
        <f t="shared" si="240"/>
        <v>0</v>
      </c>
      <c r="L444" s="346">
        <f t="shared" si="240"/>
        <v>0</v>
      </c>
      <c r="M444" s="346">
        <f t="shared" si="240"/>
        <v>0</v>
      </c>
      <c r="N444" s="346">
        <f t="shared" si="240"/>
        <v>0</v>
      </c>
      <c r="O444" s="346">
        <f t="shared" si="240"/>
        <v>0</v>
      </c>
      <c r="P444" s="346">
        <f t="shared" si="240"/>
        <v>0</v>
      </c>
      <c r="Q444" s="346">
        <f t="shared" si="240"/>
        <v>0</v>
      </c>
      <c r="R444" s="346">
        <f t="shared" si="240"/>
        <v>0</v>
      </c>
      <c r="S444" s="346">
        <f t="shared" si="240"/>
        <v>0</v>
      </c>
      <c r="T444" s="346">
        <f t="shared" si="240"/>
        <v>0</v>
      </c>
      <c r="U444" s="346">
        <f t="shared" si="240"/>
        <v>0</v>
      </c>
      <c r="V444" s="346">
        <f t="shared" si="240"/>
        <v>0</v>
      </c>
      <c r="W444" s="346">
        <f t="shared" si="240"/>
        <v>0</v>
      </c>
      <c r="X444" s="346">
        <f t="shared" si="240"/>
        <v>0</v>
      </c>
      <c r="Y444" s="346">
        <f t="shared" si="240"/>
        <v>0</v>
      </c>
      <c r="Z444" s="346">
        <f t="shared" si="240"/>
        <v>0</v>
      </c>
      <c r="AA444" s="346">
        <f t="shared" si="240"/>
        <v>0</v>
      </c>
      <c r="AB444" s="346">
        <f t="shared" si="240"/>
        <v>0</v>
      </c>
      <c r="AC444" s="346">
        <f t="shared" si="240"/>
        <v>0</v>
      </c>
      <c r="AD444" s="346">
        <f t="shared" si="240"/>
        <v>0</v>
      </c>
      <c r="AE444" s="346">
        <f t="shared" si="240"/>
        <v>0</v>
      </c>
      <c r="AF444" s="346">
        <f t="shared" si="240"/>
        <v>0</v>
      </c>
      <c r="AG444" s="346">
        <f t="shared" si="240"/>
        <v>0</v>
      </c>
      <c r="AH444" s="346">
        <f t="shared" si="240"/>
        <v>0</v>
      </c>
      <c r="AI444" s="346">
        <f t="shared" si="240"/>
        <v>0</v>
      </c>
      <c r="AJ444" s="346">
        <f t="shared" si="240"/>
        <v>0</v>
      </c>
      <c r="AK444" s="346">
        <f t="shared" si="240"/>
        <v>0</v>
      </c>
      <c r="AL444" s="346">
        <f t="shared" si="240"/>
        <v>0</v>
      </c>
      <c r="AM444" s="346">
        <f t="shared" si="240"/>
        <v>0</v>
      </c>
      <c r="AN444" s="346">
        <f t="shared" si="240"/>
        <v>0</v>
      </c>
      <c r="AO444" s="346">
        <f t="shared" si="240"/>
        <v>0</v>
      </c>
      <c r="AP444" s="346">
        <f t="shared" si="240"/>
        <v>0</v>
      </c>
      <c r="AQ444" s="346">
        <f t="shared" si="240"/>
        <v>0</v>
      </c>
      <c r="AR444" s="346">
        <f t="shared" si="240"/>
        <v>0</v>
      </c>
      <c r="AS444" s="346">
        <f t="shared" si="240"/>
        <v>0</v>
      </c>
      <c r="AT444" s="346">
        <f t="shared" si="240"/>
        <v>0</v>
      </c>
      <c r="AU444" s="346">
        <f t="shared" si="240"/>
        <v>0</v>
      </c>
      <c r="AV444" s="346">
        <f t="shared" si="240"/>
        <v>0</v>
      </c>
      <c r="AW444" s="346">
        <f t="shared" si="240"/>
        <v>0</v>
      </c>
      <c r="AX444" s="346">
        <f t="shared" si="240"/>
        <v>0</v>
      </c>
      <c r="AY444" s="346">
        <f t="shared" si="240"/>
        <v>0</v>
      </c>
      <c r="AZ444" s="346">
        <f t="shared" si="240"/>
        <v>0</v>
      </c>
      <c r="BA444" s="346">
        <f t="shared" si="240"/>
        <v>0</v>
      </c>
      <c r="BB444" s="346">
        <f t="shared" si="240"/>
        <v>0</v>
      </c>
      <c r="BC444" s="346">
        <f t="shared" si="240"/>
        <v>0</v>
      </c>
      <c r="BD444" s="346">
        <f t="shared" si="240"/>
        <v>0</v>
      </c>
      <c r="BE444" s="346">
        <f t="shared" si="240"/>
        <v>0</v>
      </c>
      <c r="BF444" s="3"/>
      <c r="BG444" s="3"/>
      <c r="BH444" s="3"/>
    </row>
    <row r="445" spans="1:60" ht="14.25" customHeight="1" x14ac:dyDescent="0.45">
      <c r="A445" s="618"/>
      <c r="B445" s="215"/>
      <c r="C445" s="220"/>
      <c r="D445" s="224" t="s">
        <v>171</v>
      </c>
      <c r="E445" s="346">
        <f t="shared" si="239"/>
        <v>2.3400000000000001E-2</v>
      </c>
      <c r="F445" s="346">
        <f t="shared" si="239"/>
        <v>1.9800000000000002E-2</v>
      </c>
      <c r="G445" s="346">
        <f t="shared" si="239"/>
        <v>1.95E-2</v>
      </c>
      <c r="H445" s="346">
        <f t="shared" si="239"/>
        <v>6.8999999999999999E-3</v>
      </c>
      <c r="I445" s="394"/>
      <c r="J445" s="394"/>
      <c r="K445" s="394"/>
      <c r="L445" s="394"/>
      <c r="M445" s="394"/>
      <c r="N445" s="394"/>
      <c r="O445" s="394"/>
      <c r="P445" s="394"/>
      <c r="Q445" s="394"/>
      <c r="R445" s="394"/>
      <c r="S445" s="394"/>
      <c r="T445" s="394"/>
      <c r="U445" s="394"/>
      <c r="V445" s="394"/>
      <c r="W445" s="394"/>
      <c r="X445" s="394"/>
      <c r="Y445" s="394"/>
      <c r="Z445" s="394"/>
      <c r="AA445" s="394"/>
      <c r="AB445" s="394"/>
      <c r="AC445" s="394"/>
      <c r="AD445" s="394"/>
      <c r="AE445" s="394"/>
      <c r="AF445" s="394"/>
      <c r="AG445" s="394"/>
      <c r="AH445" s="394"/>
      <c r="AI445" s="394"/>
      <c r="AJ445" s="394"/>
      <c r="AK445" s="394"/>
      <c r="AL445" s="394"/>
      <c r="AM445" s="394"/>
      <c r="AN445" s="394"/>
      <c r="AO445" s="394"/>
      <c r="AP445" s="394"/>
      <c r="AQ445" s="394"/>
      <c r="AR445" s="394"/>
      <c r="AS445" s="394"/>
      <c r="AT445" s="394"/>
      <c r="AU445" s="394"/>
      <c r="AV445" s="394"/>
      <c r="AW445" s="394"/>
      <c r="AX445" s="394"/>
      <c r="AY445" s="394"/>
      <c r="AZ445" s="394"/>
      <c r="BA445" s="394"/>
      <c r="BB445" s="394"/>
      <c r="BC445" s="394"/>
      <c r="BD445" s="394"/>
      <c r="BE445" s="394"/>
      <c r="BF445" s="3"/>
      <c r="BG445" s="3"/>
      <c r="BH445" s="3"/>
    </row>
    <row r="446" spans="1:60" ht="14.25" customHeight="1" x14ac:dyDescent="0.45">
      <c r="A446" s="618"/>
      <c r="B446" s="215"/>
      <c r="C446" s="220" t="s">
        <v>222</v>
      </c>
      <c r="D446" s="247" t="s">
        <v>223</v>
      </c>
      <c r="E446" s="346">
        <f t="shared" si="239"/>
        <v>2.3400000000000001E-2</v>
      </c>
      <c r="F446" s="346">
        <f t="shared" si="239"/>
        <v>1.9800000000000002E-2</v>
      </c>
      <c r="G446" s="346">
        <f t="shared" si="239"/>
        <v>1.95E-2</v>
      </c>
      <c r="H446" s="346">
        <f t="shared" si="239"/>
        <v>6.8999999999999999E-3</v>
      </c>
      <c r="I446" s="346">
        <f t="shared" ref="I446:BE446" si="241">0.99*I251</f>
        <v>2.5288379845712819E-2</v>
      </c>
      <c r="J446" s="346">
        <f t="shared" si="241"/>
        <v>2.5918073054243845E-2</v>
      </c>
      <c r="K446" s="346">
        <f t="shared" si="241"/>
        <v>2.6547766262774861E-2</v>
      </c>
      <c r="L446" s="346">
        <f t="shared" si="241"/>
        <v>2.7177459471305898E-2</v>
      </c>
      <c r="M446" s="346">
        <f t="shared" si="241"/>
        <v>2.7807152679836931E-2</v>
      </c>
      <c r="N446" s="346">
        <f t="shared" si="241"/>
        <v>2.8436845888367958E-2</v>
      </c>
      <c r="O446" s="346">
        <f t="shared" si="241"/>
        <v>2.9066539096898988E-2</v>
      </c>
      <c r="P446" s="346">
        <f t="shared" si="241"/>
        <v>2.9696232305430011E-2</v>
      </c>
      <c r="Q446" s="346">
        <f t="shared" si="241"/>
        <v>3.0325925513961037E-2</v>
      </c>
      <c r="R446" s="346">
        <f t="shared" si="241"/>
        <v>3.0565500946826914E-2</v>
      </c>
      <c r="S446" s="346">
        <f t="shared" si="241"/>
        <v>3.0805076379692788E-2</v>
      </c>
      <c r="T446" s="346">
        <f t="shared" si="241"/>
        <v>3.1044651812558673E-2</v>
      </c>
      <c r="U446" s="346">
        <f t="shared" si="241"/>
        <v>3.1284227245424547E-2</v>
      </c>
      <c r="V446" s="346">
        <f t="shared" si="241"/>
        <v>3.1523802678290427E-2</v>
      </c>
      <c r="W446" s="346">
        <f t="shared" si="241"/>
        <v>3.1763378111156301E-2</v>
      </c>
      <c r="X446" s="346">
        <f t="shared" si="241"/>
        <v>3.2002953544022168E-2</v>
      </c>
      <c r="Y446" s="346">
        <f t="shared" si="241"/>
        <v>3.2242528976888063E-2</v>
      </c>
      <c r="Z446" s="346">
        <f t="shared" si="241"/>
        <v>3.248210440975393E-2</v>
      </c>
      <c r="AA446" s="346">
        <f t="shared" si="241"/>
        <v>3.2721679842619797E-2</v>
      </c>
      <c r="AB446" s="346">
        <f t="shared" si="241"/>
        <v>3.2754401936666136E-2</v>
      </c>
      <c r="AC446" s="346">
        <f t="shared" si="241"/>
        <v>3.2787124030712482E-2</v>
      </c>
      <c r="AD446" s="346">
        <f t="shared" si="241"/>
        <v>3.2819846124758828E-2</v>
      </c>
      <c r="AE446" s="346">
        <f t="shared" si="241"/>
        <v>3.2852568218805167E-2</v>
      </c>
      <c r="AF446" s="346">
        <f t="shared" si="241"/>
        <v>3.288529031285152E-2</v>
      </c>
      <c r="AG446" s="346">
        <f t="shared" si="241"/>
        <v>3.2918012406897852E-2</v>
      </c>
      <c r="AH446" s="346">
        <f t="shared" si="241"/>
        <v>3.2950734500944205E-2</v>
      </c>
      <c r="AI446" s="346">
        <f t="shared" si="241"/>
        <v>3.2983456594990544E-2</v>
      </c>
      <c r="AJ446" s="346">
        <f t="shared" si="241"/>
        <v>3.301617868903689E-2</v>
      </c>
      <c r="AK446" s="346">
        <f t="shared" si="241"/>
        <v>3.3048900783083215E-2</v>
      </c>
      <c r="AL446" s="346">
        <f t="shared" si="241"/>
        <v>3.4766401617825175E-2</v>
      </c>
      <c r="AM446" s="346">
        <f t="shared" si="241"/>
        <v>3.5025042664382368E-2</v>
      </c>
      <c r="AN446" s="346">
        <f t="shared" si="241"/>
        <v>3.5283683710939651E-2</v>
      </c>
      <c r="AO446" s="346">
        <f t="shared" si="241"/>
        <v>3.554232475749694E-2</v>
      </c>
      <c r="AP446" s="346">
        <f t="shared" si="241"/>
        <v>3.580096580405423E-2</v>
      </c>
      <c r="AQ446" s="346">
        <f t="shared" si="241"/>
        <v>3.605960685061152E-2</v>
      </c>
      <c r="AR446" s="346">
        <f t="shared" si="241"/>
        <v>3.6318247897168802E-2</v>
      </c>
      <c r="AS446" s="346">
        <f t="shared" si="241"/>
        <v>3.6576888943726099E-2</v>
      </c>
      <c r="AT446" s="346">
        <f t="shared" si="241"/>
        <v>3.6835529990283389E-2</v>
      </c>
      <c r="AU446" s="346">
        <f t="shared" si="241"/>
        <v>3.7094171036840672E-2</v>
      </c>
      <c r="AV446" s="346">
        <f t="shared" si="241"/>
        <v>3.7352812083397968E-2</v>
      </c>
      <c r="AW446" s="346">
        <f t="shared" si="241"/>
        <v>3.7611453129955251E-2</v>
      </c>
      <c r="AX446" s="346">
        <f t="shared" si="241"/>
        <v>3.7870094176512444E-2</v>
      </c>
      <c r="AY446" s="346">
        <f t="shared" si="241"/>
        <v>3.8128735223069733E-2</v>
      </c>
      <c r="AZ446" s="346">
        <f t="shared" si="241"/>
        <v>3.8387376269627023E-2</v>
      </c>
      <c r="BA446" s="346">
        <f t="shared" si="241"/>
        <v>3.8646017316184313E-2</v>
      </c>
      <c r="BB446" s="346">
        <f t="shared" si="241"/>
        <v>3.8904658362741595E-2</v>
      </c>
      <c r="BC446" s="346">
        <f t="shared" si="241"/>
        <v>3.9163299409298892E-2</v>
      </c>
      <c r="BD446" s="346">
        <f t="shared" si="241"/>
        <v>3.9421940455856175E-2</v>
      </c>
      <c r="BE446" s="346">
        <f t="shared" si="241"/>
        <v>3.9680581502413464E-2</v>
      </c>
      <c r="BF446" s="3"/>
      <c r="BG446" s="3"/>
      <c r="BH446" s="3"/>
    </row>
    <row r="447" spans="1:60" ht="14.25" customHeight="1" x14ac:dyDescent="0.45">
      <c r="A447" s="618"/>
      <c r="B447" s="215"/>
      <c r="C447" s="220"/>
      <c r="D447" s="224" t="s">
        <v>172</v>
      </c>
      <c r="E447" s="346">
        <f t="shared" si="239"/>
        <v>5.8500000000000003E-2</v>
      </c>
      <c r="F447" s="346">
        <f t="shared" si="239"/>
        <v>7.6399999999999996E-2</v>
      </c>
      <c r="G447" s="346">
        <f t="shared" si="239"/>
        <v>7.2700000000000001E-2</v>
      </c>
      <c r="H447" s="346">
        <f t="shared" si="239"/>
        <v>6.8000000000000005E-2</v>
      </c>
      <c r="I447" s="394"/>
      <c r="J447" s="394"/>
      <c r="K447" s="394"/>
      <c r="L447" s="394"/>
      <c r="M447" s="394"/>
      <c r="N447" s="394"/>
      <c r="O447" s="394"/>
      <c r="P447" s="394"/>
      <c r="Q447" s="394"/>
      <c r="R447" s="394"/>
      <c r="S447" s="394"/>
      <c r="T447" s="394"/>
      <c r="U447" s="394"/>
      <c r="V447" s="394"/>
      <c r="W447" s="394"/>
      <c r="X447" s="394"/>
      <c r="Y447" s="394"/>
      <c r="Z447" s="394"/>
      <c r="AA447" s="394"/>
      <c r="AB447" s="394"/>
      <c r="AC447" s="394"/>
      <c r="AD447" s="394"/>
      <c r="AE447" s="394"/>
      <c r="AF447" s="394"/>
      <c r="AG447" s="394"/>
      <c r="AH447" s="394"/>
      <c r="AI447" s="394"/>
      <c r="AJ447" s="394"/>
      <c r="AK447" s="394"/>
      <c r="AL447" s="394"/>
      <c r="AM447" s="394"/>
      <c r="AN447" s="394"/>
      <c r="AO447" s="394"/>
      <c r="AP447" s="394"/>
      <c r="AQ447" s="394"/>
      <c r="AR447" s="394"/>
      <c r="AS447" s="394"/>
      <c r="AT447" s="394"/>
      <c r="AU447" s="394"/>
      <c r="AV447" s="394"/>
      <c r="AW447" s="394"/>
      <c r="AX447" s="394"/>
      <c r="AY447" s="394"/>
      <c r="AZ447" s="394"/>
      <c r="BA447" s="394"/>
      <c r="BB447" s="394"/>
      <c r="BC447" s="394"/>
      <c r="BD447" s="394"/>
      <c r="BE447" s="394"/>
      <c r="BF447" s="3"/>
      <c r="BG447" s="3"/>
      <c r="BH447" s="3"/>
    </row>
    <row r="448" spans="1:60" ht="14.25" customHeight="1" x14ac:dyDescent="0.45">
      <c r="A448" s="618"/>
      <c r="B448" s="215"/>
      <c r="C448" s="220"/>
      <c r="D448" s="228" t="s">
        <v>224</v>
      </c>
      <c r="E448" s="346">
        <f t="shared" si="239"/>
        <v>5.8500000000000003E-2</v>
      </c>
      <c r="F448" s="346">
        <f t="shared" si="239"/>
        <v>7.6399999999999996E-2</v>
      </c>
      <c r="G448" s="346">
        <f t="shared" si="239"/>
        <v>7.2700000000000001E-2</v>
      </c>
      <c r="H448" s="346">
        <f t="shared" si="239"/>
        <v>6.8000000000000005E-2</v>
      </c>
      <c r="I448" s="394"/>
      <c r="J448" s="394"/>
      <c r="K448" s="394"/>
      <c r="L448" s="394"/>
      <c r="M448" s="394"/>
      <c r="N448" s="394"/>
      <c r="O448" s="394"/>
      <c r="P448" s="394"/>
      <c r="Q448" s="394"/>
      <c r="R448" s="394"/>
      <c r="S448" s="394"/>
      <c r="T448" s="394"/>
      <c r="U448" s="394"/>
      <c r="V448" s="394"/>
      <c r="W448" s="394"/>
      <c r="X448" s="394"/>
      <c r="Y448" s="394"/>
      <c r="Z448" s="394"/>
      <c r="AA448" s="394"/>
      <c r="AB448" s="394"/>
      <c r="AC448" s="394"/>
      <c r="AD448" s="394"/>
      <c r="AE448" s="394"/>
      <c r="AF448" s="394"/>
      <c r="AG448" s="394"/>
      <c r="AH448" s="394"/>
      <c r="AI448" s="394"/>
      <c r="AJ448" s="394"/>
      <c r="AK448" s="394"/>
      <c r="AL448" s="394"/>
      <c r="AM448" s="394"/>
      <c r="AN448" s="394"/>
      <c r="AO448" s="394"/>
      <c r="AP448" s="394"/>
      <c r="AQ448" s="394"/>
      <c r="AR448" s="394"/>
      <c r="AS448" s="394"/>
      <c r="AT448" s="394"/>
      <c r="AU448" s="394"/>
      <c r="AV448" s="394"/>
      <c r="AW448" s="394"/>
      <c r="AX448" s="394"/>
      <c r="AY448" s="394"/>
      <c r="AZ448" s="394"/>
      <c r="BA448" s="394"/>
      <c r="BB448" s="394"/>
      <c r="BC448" s="394"/>
      <c r="BD448" s="394"/>
      <c r="BE448" s="394"/>
      <c r="BF448" s="3"/>
      <c r="BG448" s="3"/>
      <c r="BH448" s="3"/>
    </row>
    <row r="449" spans="1:60" ht="14.25" customHeight="1" x14ac:dyDescent="0.45">
      <c r="A449" s="618"/>
      <c r="B449" s="215"/>
      <c r="C449" s="220"/>
      <c r="D449" s="247" t="s">
        <v>225</v>
      </c>
      <c r="E449" s="346">
        <f t="shared" si="239"/>
        <v>0</v>
      </c>
      <c r="F449" s="346">
        <f t="shared" si="239"/>
        <v>0</v>
      </c>
      <c r="G449" s="346">
        <f t="shared" si="239"/>
        <v>0</v>
      </c>
      <c r="H449" s="346">
        <f t="shared" si="239"/>
        <v>0</v>
      </c>
      <c r="I449" s="394"/>
      <c r="J449" s="394"/>
      <c r="K449" s="394"/>
      <c r="L449" s="394"/>
      <c r="M449" s="394"/>
      <c r="N449" s="394"/>
      <c r="O449" s="394"/>
      <c r="P449" s="394"/>
      <c r="Q449" s="394"/>
      <c r="R449" s="394"/>
      <c r="S449" s="394"/>
      <c r="T449" s="394"/>
      <c r="U449" s="394"/>
      <c r="V449" s="394"/>
      <c r="W449" s="394"/>
      <c r="X449" s="394"/>
      <c r="Y449" s="394"/>
      <c r="Z449" s="394"/>
      <c r="AA449" s="394"/>
      <c r="AB449" s="394"/>
      <c r="AC449" s="394"/>
      <c r="AD449" s="394"/>
      <c r="AE449" s="394"/>
      <c r="AF449" s="394"/>
      <c r="AG449" s="394"/>
      <c r="AH449" s="394"/>
      <c r="AI449" s="394"/>
      <c r="AJ449" s="394"/>
      <c r="AK449" s="394"/>
      <c r="AL449" s="394"/>
      <c r="AM449" s="394"/>
      <c r="AN449" s="394"/>
      <c r="AO449" s="394"/>
      <c r="AP449" s="394"/>
      <c r="AQ449" s="394"/>
      <c r="AR449" s="394"/>
      <c r="AS449" s="394"/>
      <c r="AT449" s="394"/>
      <c r="AU449" s="394"/>
      <c r="AV449" s="394"/>
      <c r="AW449" s="394"/>
      <c r="AX449" s="394"/>
      <c r="AY449" s="394"/>
      <c r="AZ449" s="394"/>
      <c r="BA449" s="394"/>
      <c r="BB449" s="394"/>
      <c r="BC449" s="394"/>
      <c r="BD449" s="394"/>
      <c r="BE449" s="394"/>
      <c r="BF449" s="3"/>
      <c r="BG449" s="3"/>
      <c r="BH449" s="3"/>
    </row>
    <row r="450" spans="1:60" ht="14.25" customHeight="1" x14ac:dyDescent="0.45">
      <c r="A450" s="618"/>
      <c r="B450" s="215"/>
      <c r="C450" s="220" t="s">
        <v>226</v>
      </c>
      <c r="D450" s="221" t="s">
        <v>227</v>
      </c>
      <c r="E450" s="346">
        <f t="shared" si="239"/>
        <v>1.7000000000000001E-2</v>
      </c>
      <c r="F450" s="346">
        <f t="shared" si="239"/>
        <v>2.01E-2</v>
      </c>
      <c r="G450" s="346">
        <f t="shared" si="239"/>
        <v>1.7399999999999999E-2</v>
      </c>
      <c r="H450" s="346">
        <f t="shared" si="239"/>
        <v>1.2800000000000001E-2</v>
      </c>
      <c r="I450" s="346">
        <f t="shared" ref="I450:BE450" si="242">0.99*I255</f>
        <v>2.0081156737732194E-2</v>
      </c>
      <c r="J450" s="346">
        <f t="shared" si="242"/>
        <v>2.0415358440804828E-2</v>
      </c>
      <c r="K450" s="346">
        <f t="shared" si="242"/>
        <v>2.0755241047268339E-2</v>
      </c>
      <c r="L450" s="346">
        <f t="shared" si="242"/>
        <v>2.1096373590783462E-2</v>
      </c>
      <c r="M450" s="346">
        <f t="shared" si="242"/>
        <v>2.1442448831436291E-2</v>
      </c>
      <c r="N450" s="346">
        <f t="shared" si="242"/>
        <v>2.1790972081584408E-2</v>
      </c>
      <c r="O450" s="346">
        <f t="shared" si="242"/>
        <v>2.2143971247398666E-2</v>
      </c>
      <c r="P450" s="346">
        <f t="shared" si="242"/>
        <v>2.249961723703868E-2</v>
      </c>
      <c r="Q450" s="346">
        <f t="shared" si="242"/>
        <v>2.2860492907980395E-2</v>
      </c>
      <c r="R450" s="346">
        <f t="shared" si="242"/>
        <v>2.3222443905126962E-2</v>
      </c>
      <c r="S450" s="346">
        <f t="shared" si="242"/>
        <v>2.3587038268458746E-2</v>
      </c>
      <c r="T450" s="346">
        <f t="shared" si="242"/>
        <v>2.3955206103278337E-2</v>
      </c>
      <c r="U450" s="346">
        <f t="shared" si="242"/>
        <v>2.4325718218377312E-2</v>
      </c>
      <c r="V450" s="346">
        <f t="shared" si="242"/>
        <v>2.4697770712332413E-2</v>
      </c>
      <c r="W450" s="346">
        <f t="shared" si="242"/>
        <v>2.5071880502402902E-2</v>
      </c>
      <c r="X450" s="346">
        <f t="shared" si="242"/>
        <v>2.5446654159455157E-2</v>
      </c>
      <c r="Y450" s="346">
        <f t="shared" si="242"/>
        <v>2.5823198128458805E-2</v>
      </c>
      <c r="Z450" s="346">
        <f t="shared" si="242"/>
        <v>2.6201882376950553E-2</v>
      </c>
      <c r="AA450" s="346">
        <f t="shared" si="242"/>
        <v>2.6579821503908065E-2</v>
      </c>
      <c r="AB450" s="346">
        <f t="shared" si="242"/>
        <v>2.6959748774170369E-2</v>
      </c>
      <c r="AC450" s="346">
        <f t="shared" si="242"/>
        <v>2.7337101831058044E-2</v>
      </c>
      <c r="AD450" s="346">
        <f t="shared" si="242"/>
        <v>2.7714475633788906E-2</v>
      </c>
      <c r="AE450" s="346">
        <f t="shared" si="242"/>
        <v>2.8087382164954929E-2</v>
      </c>
      <c r="AF450" s="346">
        <f t="shared" si="242"/>
        <v>2.8456174103890206E-2</v>
      </c>
      <c r="AG450" s="346">
        <f t="shared" si="242"/>
        <v>2.8820337990975997E-2</v>
      </c>
      <c r="AH450" s="346">
        <f t="shared" si="242"/>
        <v>2.9178641177363355E-2</v>
      </c>
      <c r="AI450" s="346">
        <f t="shared" si="242"/>
        <v>2.9530907323385255E-2</v>
      </c>
      <c r="AJ450" s="346">
        <f t="shared" si="242"/>
        <v>2.9878460705364679E-2</v>
      </c>
      <c r="AK450" s="346">
        <f t="shared" si="242"/>
        <v>3.0219638198206701E-2</v>
      </c>
      <c r="AL450" s="346">
        <f t="shared" si="242"/>
        <v>3.0614512776091399E-2</v>
      </c>
      <c r="AM450" s="346">
        <f t="shared" si="242"/>
        <v>3.0981503021155134E-2</v>
      </c>
      <c r="AN450" s="346">
        <f t="shared" si="242"/>
        <v>3.1348493266218871E-2</v>
      </c>
      <c r="AO450" s="346">
        <f t="shared" si="242"/>
        <v>3.1715483511282609E-2</v>
      </c>
      <c r="AP450" s="346">
        <f t="shared" si="242"/>
        <v>3.2082473756346257E-2</v>
      </c>
      <c r="AQ450" s="346">
        <f t="shared" si="242"/>
        <v>3.2449464001409994E-2</v>
      </c>
      <c r="AR450" s="346">
        <f t="shared" si="242"/>
        <v>3.2816454246473732E-2</v>
      </c>
      <c r="AS450" s="346">
        <f t="shared" si="242"/>
        <v>3.3183444491537373E-2</v>
      </c>
      <c r="AT450" s="346">
        <f t="shared" si="242"/>
        <v>3.355043473660111E-2</v>
      </c>
      <c r="AU450" s="346">
        <f t="shared" si="242"/>
        <v>3.3917424981664848E-2</v>
      </c>
      <c r="AV450" s="346">
        <f t="shared" si="242"/>
        <v>3.4284415226728586E-2</v>
      </c>
      <c r="AW450" s="346">
        <f t="shared" si="242"/>
        <v>3.4651405471792233E-2</v>
      </c>
      <c r="AX450" s="346">
        <f t="shared" si="242"/>
        <v>3.5018395716855971E-2</v>
      </c>
      <c r="AY450" s="346">
        <f t="shared" si="242"/>
        <v>3.5385385961919709E-2</v>
      </c>
      <c r="AZ450" s="346">
        <f t="shared" si="242"/>
        <v>3.5752376206983447E-2</v>
      </c>
      <c r="BA450" s="346">
        <f t="shared" si="242"/>
        <v>3.6119366452047087E-2</v>
      </c>
      <c r="BB450" s="346">
        <f t="shared" si="242"/>
        <v>3.6486356697110825E-2</v>
      </c>
      <c r="BC450" s="346">
        <f t="shared" si="242"/>
        <v>3.6853346942174563E-2</v>
      </c>
      <c r="BD450" s="346">
        <f t="shared" si="242"/>
        <v>3.72203371872383E-2</v>
      </c>
      <c r="BE450" s="346">
        <f t="shared" si="242"/>
        <v>3.7587327432301948E-2</v>
      </c>
    </row>
    <row r="451" spans="1:60" ht="14.25" customHeight="1" x14ac:dyDescent="0.45">
      <c r="A451" s="618"/>
      <c r="B451" s="215"/>
      <c r="C451" s="220" t="s">
        <v>228</v>
      </c>
      <c r="D451" s="221" t="s">
        <v>229</v>
      </c>
      <c r="E451" s="346">
        <f t="shared" si="239"/>
        <v>3.6499999999999998E-2</v>
      </c>
      <c r="F451" s="346">
        <f t="shared" si="239"/>
        <v>4.1000000000000002E-2</v>
      </c>
      <c r="G451" s="346">
        <f t="shared" si="239"/>
        <v>5.4899999999999997E-2</v>
      </c>
      <c r="H451" s="346">
        <f t="shared" si="239"/>
        <v>5.4300000000000001E-2</v>
      </c>
      <c r="I451" s="346">
        <f t="shared" ref="I451:BE451" si="243">0.99*I256</f>
        <v>5.0145463060173708E-2</v>
      </c>
      <c r="J451" s="346">
        <f t="shared" si="243"/>
        <v>5.0980011556306236E-2</v>
      </c>
      <c r="K451" s="346">
        <f t="shared" si="243"/>
        <v>5.1828746064472637E-2</v>
      </c>
      <c r="L451" s="346">
        <f t="shared" si="243"/>
        <v>5.2680601840655018E-2</v>
      </c>
      <c r="M451" s="346">
        <f t="shared" si="243"/>
        <v>5.354480022438602E-2</v>
      </c>
      <c r="N451" s="346">
        <f t="shared" si="243"/>
        <v>5.4415111630953306E-2</v>
      </c>
      <c r="O451" s="346">
        <f t="shared" si="243"/>
        <v>5.5296600026308075E-2</v>
      </c>
      <c r="P451" s="346">
        <f t="shared" si="243"/>
        <v>5.618469791174923E-2</v>
      </c>
      <c r="Q451" s="346">
        <f t="shared" si="243"/>
        <v>5.708585504442179E-2</v>
      </c>
      <c r="R451" s="346">
        <f t="shared" si="243"/>
        <v>5.7989697417351542E-2</v>
      </c>
      <c r="S451" s="346">
        <f t="shared" si="243"/>
        <v>5.8900140646154613E-2</v>
      </c>
      <c r="T451" s="346">
        <f t="shared" si="243"/>
        <v>5.9819507334140307E-2</v>
      </c>
      <c r="U451" s="346">
        <f t="shared" si="243"/>
        <v>6.0744728018570872E-2</v>
      </c>
      <c r="V451" s="346">
        <f t="shared" si="243"/>
        <v>6.1673795244913239E-2</v>
      </c>
      <c r="W451" s="346">
        <f t="shared" si="243"/>
        <v>6.2607999828017735E-2</v>
      </c>
      <c r="X451" s="346">
        <f t="shared" si="243"/>
        <v>6.3543862180026972E-2</v>
      </c>
      <c r="Y451" s="346">
        <f t="shared" si="243"/>
        <v>6.4484145249115554E-2</v>
      </c>
      <c r="Z451" s="346">
        <f t="shared" si="243"/>
        <v>6.5429772896079319E-2</v>
      </c>
      <c r="AA451" s="346">
        <f t="shared" si="243"/>
        <v>6.6373539870131754E-2</v>
      </c>
      <c r="AB451" s="346">
        <f t="shared" si="243"/>
        <v>6.7322271516685434E-2</v>
      </c>
      <c r="AC451" s="346">
        <f t="shared" si="243"/>
        <v>6.8264574991626678E-2</v>
      </c>
      <c r="AD451" s="346">
        <f t="shared" si="243"/>
        <v>6.9206930271846157E-2</v>
      </c>
      <c r="AE451" s="346">
        <f t="shared" si="243"/>
        <v>7.0138130148810804E-2</v>
      </c>
      <c r="AF451" s="346">
        <f t="shared" si="243"/>
        <v>7.1059055312251221E-2</v>
      </c>
      <c r="AG451" s="346">
        <f t="shared" si="243"/>
        <v>7.1968423581530105E-2</v>
      </c>
      <c r="AH451" s="346">
        <f t="shared" si="243"/>
        <v>7.2863156859696798E-2</v>
      </c>
      <c r="AI451" s="346">
        <f t="shared" si="243"/>
        <v>7.3742814801885923E-2</v>
      </c>
      <c r="AJ451" s="346">
        <f t="shared" si="243"/>
        <v>7.4610704311693893E-2</v>
      </c>
      <c r="AK451" s="346">
        <f t="shared" si="243"/>
        <v>7.5462672332645864E-2</v>
      </c>
      <c r="AL451" s="346">
        <f t="shared" si="243"/>
        <v>7.644872950142996E-2</v>
      </c>
      <c r="AM451" s="346">
        <f t="shared" si="243"/>
        <v>7.7365155582737752E-2</v>
      </c>
      <c r="AN451" s="346">
        <f t="shared" si="243"/>
        <v>7.8281581664045433E-2</v>
      </c>
      <c r="AO451" s="346">
        <f t="shared" si="243"/>
        <v>7.9198007745353211E-2</v>
      </c>
      <c r="AP451" s="346">
        <f t="shared" si="243"/>
        <v>8.0114433826660988E-2</v>
      </c>
      <c r="AQ451" s="346">
        <f t="shared" si="243"/>
        <v>8.1030859907968669E-2</v>
      </c>
      <c r="AR451" s="346">
        <f t="shared" si="243"/>
        <v>8.1947285989276461E-2</v>
      </c>
      <c r="AS451" s="346">
        <f t="shared" si="243"/>
        <v>8.2863712070584142E-2</v>
      </c>
      <c r="AT451" s="346">
        <f t="shared" si="243"/>
        <v>8.378013815189192E-2</v>
      </c>
      <c r="AU451" s="346">
        <f t="shared" si="243"/>
        <v>8.4696564233199698E-2</v>
      </c>
      <c r="AV451" s="346">
        <f t="shared" si="243"/>
        <v>8.5612990314507392E-2</v>
      </c>
      <c r="AW451" s="346">
        <f t="shared" si="243"/>
        <v>8.652941639581517E-2</v>
      </c>
      <c r="AX451" s="346">
        <f t="shared" si="243"/>
        <v>8.7445842477122934E-2</v>
      </c>
      <c r="AY451" s="346">
        <f t="shared" si="243"/>
        <v>8.8362268558430615E-2</v>
      </c>
      <c r="AZ451" s="346">
        <f t="shared" si="243"/>
        <v>8.9278694639738407E-2</v>
      </c>
      <c r="BA451" s="346">
        <f t="shared" si="243"/>
        <v>9.0195120721046088E-2</v>
      </c>
      <c r="BB451" s="346">
        <f t="shared" si="243"/>
        <v>9.1111546802353865E-2</v>
      </c>
      <c r="BC451" s="346">
        <f t="shared" si="243"/>
        <v>9.2027972883661643E-2</v>
      </c>
      <c r="BD451" s="346">
        <f t="shared" si="243"/>
        <v>9.2944398964969324E-2</v>
      </c>
      <c r="BE451" s="346">
        <f t="shared" si="243"/>
        <v>9.3860825046277116E-2</v>
      </c>
    </row>
    <row r="452" spans="1:60" ht="14.25" customHeight="1" x14ac:dyDescent="0.45">
      <c r="A452" s="618"/>
      <c r="B452" s="215"/>
      <c r="C452" s="220"/>
      <c r="D452" s="247" t="s">
        <v>230</v>
      </c>
      <c r="E452" s="346">
        <f t="shared" si="239"/>
        <v>0</v>
      </c>
      <c r="F452" s="346">
        <f t="shared" si="239"/>
        <v>0</v>
      </c>
      <c r="G452" s="346">
        <f t="shared" si="239"/>
        <v>0</v>
      </c>
      <c r="H452" s="346">
        <f t="shared" si="239"/>
        <v>0</v>
      </c>
      <c r="I452" s="394"/>
      <c r="J452" s="394"/>
      <c r="K452" s="394"/>
      <c r="L452" s="394"/>
      <c r="M452" s="394"/>
      <c r="N452" s="394"/>
      <c r="O452" s="394"/>
      <c r="P452" s="394"/>
      <c r="Q452" s="394"/>
      <c r="R452" s="394"/>
      <c r="S452" s="394"/>
      <c r="T452" s="394"/>
      <c r="U452" s="394"/>
      <c r="V452" s="394"/>
      <c r="W452" s="394"/>
      <c r="X452" s="394"/>
      <c r="Y452" s="394"/>
      <c r="Z452" s="394"/>
      <c r="AA452" s="394"/>
      <c r="AB452" s="394"/>
      <c r="AC452" s="394"/>
      <c r="AD452" s="394"/>
      <c r="AE452" s="394"/>
      <c r="AF452" s="394"/>
      <c r="AG452" s="394"/>
      <c r="AH452" s="394"/>
      <c r="AI452" s="394"/>
      <c r="AJ452" s="394"/>
      <c r="AK452" s="394"/>
      <c r="AL452" s="394"/>
      <c r="AM452" s="394"/>
      <c r="AN452" s="394"/>
      <c r="AO452" s="394"/>
      <c r="AP452" s="394"/>
      <c r="AQ452" s="394"/>
      <c r="AR452" s="394"/>
      <c r="AS452" s="394"/>
      <c r="AT452" s="394"/>
      <c r="AU452" s="394"/>
      <c r="AV452" s="394"/>
      <c r="AW452" s="394"/>
      <c r="AX452" s="394"/>
      <c r="AY452" s="394"/>
      <c r="AZ452" s="394"/>
      <c r="BA452" s="394"/>
      <c r="BB452" s="394"/>
      <c r="BC452" s="394"/>
      <c r="BD452" s="394"/>
      <c r="BE452" s="394"/>
    </row>
    <row r="453" spans="1:60" ht="14.25" customHeight="1" x14ac:dyDescent="0.45">
      <c r="A453" s="618"/>
      <c r="B453" s="215"/>
      <c r="C453" s="220" t="s">
        <v>231</v>
      </c>
      <c r="D453" s="221" t="s">
        <v>227</v>
      </c>
      <c r="E453" s="346">
        <f t="shared" si="239"/>
        <v>4.8999999999999998E-3</v>
      </c>
      <c r="F453" s="346">
        <f t="shared" si="239"/>
        <v>1.5299999999999999E-2</v>
      </c>
      <c r="G453" s="346">
        <f t="shared" si="239"/>
        <v>4.0000000000000002E-4</v>
      </c>
      <c r="H453" s="346">
        <f t="shared" si="239"/>
        <v>8.9999999999999998E-4</v>
      </c>
      <c r="I453" s="346">
        <f t="shared" ref="I453:BE453" si="244">0.99*I258</f>
        <v>4.2078683429492615E-4</v>
      </c>
      <c r="J453" s="346">
        <f t="shared" si="244"/>
        <v>4.2078683429492615E-4</v>
      </c>
      <c r="K453" s="346">
        <f t="shared" si="244"/>
        <v>4.2078683429492615E-4</v>
      </c>
      <c r="L453" s="346">
        <f t="shared" si="244"/>
        <v>4.2078683429492615E-4</v>
      </c>
      <c r="M453" s="346">
        <f t="shared" si="244"/>
        <v>4.2078683429492615E-4</v>
      </c>
      <c r="N453" s="346">
        <f t="shared" si="244"/>
        <v>4.2078683429492615E-4</v>
      </c>
      <c r="O453" s="346">
        <f t="shared" si="244"/>
        <v>4.2078683429492615E-4</v>
      </c>
      <c r="P453" s="346">
        <f t="shared" si="244"/>
        <v>4.2078683429492615E-4</v>
      </c>
      <c r="Q453" s="346">
        <f t="shared" si="244"/>
        <v>4.2078683429492615E-4</v>
      </c>
      <c r="R453" s="346">
        <f t="shared" si="244"/>
        <v>4.2078683429492615E-4</v>
      </c>
      <c r="S453" s="346">
        <f t="shared" si="244"/>
        <v>4.2078683429492615E-4</v>
      </c>
      <c r="T453" s="346">
        <f t="shared" si="244"/>
        <v>4.2078683429492615E-4</v>
      </c>
      <c r="U453" s="346">
        <f t="shared" si="244"/>
        <v>4.2078683429492615E-4</v>
      </c>
      <c r="V453" s="346">
        <f t="shared" si="244"/>
        <v>4.2078683429492615E-4</v>
      </c>
      <c r="W453" s="346">
        <f t="shared" si="244"/>
        <v>4.2078683429492615E-4</v>
      </c>
      <c r="X453" s="346">
        <f t="shared" si="244"/>
        <v>4.2078683429492615E-4</v>
      </c>
      <c r="Y453" s="346">
        <f t="shared" si="244"/>
        <v>4.2078683429492615E-4</v>
      </c>
      <c r="Z453" s="346">
        <f t="shared" si="244"/>
        <v>4.2078683429492615E-4</v>
      </c>
      <c r="AA453" s="346">
        <f t="shared" si="244"/>
        <v>4.2078683429492615E-4</v>
      </c>
      <c r="AB453" s="346">
        <f t="shared" si="244"/>
        <v>4.2078683429492615E-4</v>
      </c>
      <c r="AC453" s="346">
        <f t="shared" si="244"/>
        <v>4.2078683429492615E-4</v>
      </c>
      <c r="AD453" s="346">
        <f t="shared" si="244"/>
        <v>4.2078683429492615E-4</v>
      </c>
      <c r="AE453" s="346">
        <f t="shared" si="244"/>
        <v>4.2078683429492615E-4</v>
      </c>
      <c r="AF453" s="346">
        <f t="shared" si="244"/>
        <v>4.2078683429492615E-4</v>
      </c>
      <c r="AG453" s="346">
        <f t="shared" si="244"/>
        <v>4.2078683429492615E-4</v>
      </c>
      <c r="AH453" s="346">
        <f t="shared" si="244"/>
        <v>4.2078683429492615E-4</v>
      </c>
      <c r="AI453" s="346">
        <f t="shared" si="244"/>
        <v>4.2078683429492615E-4</v>
      </c>
      <c r="AJ453" s="346">
        <f t="shared" si="244"/>
        <v>4.2078683429492615E-4</v>
      </c>
      <c r="AK453" s="346">
        <f t="shared" si="244"/>
        <v>4.2078683429492615E-4</v>
      </c>
      <c r="AL453" s="346">
        <f t="shared" si="244"/>
        <v>4.2078683429492615E-4</v>
      </c>
      <c r="AM453" s="346">
        <f t="shared" si="244"/>
        <v>4.2078683429492615E-4</v>
      </c>
      <c r="AN453" s="346">
        <f t="shared" si="244"/>
        <v>4.2078683429492615E-4</v>
      </c>
      <c r="AO453" s="346">
        <f t="shared" si="244"/>
        <v>4.2078683429492615E-4</v>
      </c>
      <c r="AP453" s="346">
        <f t="shared" si="244"/>
        <v>4.2078683429492615E-4</v>
      </c>
      <c r="AQ453" s="346">
        <f t="shared" si="244"/>
        <v>4.2078683429492615E-4</v>
      </c>
      <c r="AR453" s="346">
        <f t="shared" si="244"/>
        <v>4.2078683429492615E-4</v>
      </c>
      <c r="AS453" s="346">
        <f t="shared" si="244"/>
        <v>4.2078683429492615E-4</v>
      </c>
      <c r="AT453" s="346">
        <f t="shared" si="244"/>
        <v>4.2078683429492615E-4</v>
      </c>
      <c r="AU453" s="346">
        <f t="shared" si="244"/>
        <v>4.2078683429492615E-4</v>
      </c>
      <c r="AV453" s="346">
        <f t="shared" si="244"/>
        <v>4.2078683429492615E-4</v>
      </c>
      <c r="AW453" s="346">
        <f t="shared" si="244"/>
        <v>4.2078683429492615E-4</v>
      </c>
      <c r="AX453" s="346">
        <f t="shared" si="244"/>
        <v>4.2078683429492615E-4</v>
      </c>
      <c r="AY453" s="346">
        <f t="shared" si="244"/>
        <v>4.2078683429492615E-4</v>
      </c>
      <c r="AZ453" s="346">
        <f t="shared" si="244"/>
        <v>4.2078683429492615E-4</v>
      </c>
      <c r="BA453" s="346">
        <f t="shared" si="244"/>
        <v>4.2078683429492615E-4</v>
      </c>
      <c r="BB453" s="346">
        <f t="shared" si="244"/>
        <v>4.2078683429492615E-4</v>
      </c>
      <c r="BC453" s="346">
        <f t="shared" si="244"/>
        <v>4.2078683429492615E-4</v>
      </c>
      <c r="BD453" s="346">
        <f t="shared" si="244"/>
        <v>4.2078683429492615E-4</v>
      </c>
      <c r="BE453" s="346">
        <f t="shared" si="244"/>
        <v>4.2078683429492615E-4</v>
      </c>
    </row>
    <row r="454" spans="1:60" ht="14.25" customHeight="1" x14ac:dyDescent="0.45">
      <c r="A454" s="618"/>
      <c r="B454" s="215"/>
      <c r="C454" s="220" t="s">
        <v>232</v>
      </c>
      <c r="D454" s="221" t="s">
        <v>229</v>
      </c>
      <c r="E454" s="346">
        <f t="shared" si="239"/>
        <v>0</v>
      </c>
      <c r="F454" s="346">
        <f t="shared" si="239"/>
        <v>0</v>
      </c>
      <c r="G454" s="346">
        <f t="shared" si="239"/>
        <v>0</v>
      </c>
      <c r="H454" s="346">
        <f t="shared" si="239"/>
        <v>0</v>
      </c>
      <c r="I454" s="346">
        <f t="shared" ref="I454:BE454" si="245">0.99*I259</f>
        <v>0</v>
      </c>
      <c r="J454" s="346">
        <f t="shared" si="245"/>
        <v>0</v>
      </c>
      <c r="K454" s="346">
        <f t="shared" si="245"/>
        <v>0</v>
      </c>
      <c r="L454" s="346">
        <f t="shared" si="245"/>
        <v>0</v>
      </c>
      <c r="M454" s="346">
        <f t="shared" si="245"/>
        <v>0</v>
      </c>
      <c r="N454" s="346">
        <f t="shared" si="245"/>
        <v>0</v>
      </c>
      <c r="O454" s="346">
        <f t="shared" si="245"/>
        <v>0</v>
      </c>
      <c r="P454" s="346">
        <f t="shared" si="245"/>
        <v>0</v>
      </c>
      <c r="Q454" s="346">
        <f t="shared" si="245"/>
        <v>0</v>
      </c>
      <c r="R454" s="346">
        <f t="shared" si="245"/>
        <v>0</v>
      </c>
      <c r="S454" s="346">
        <f t="shared" si="245"/>
        <v>0</v>
      </c>
      <c r="T454" s="346">
        <f t="shared" si="245"/>
        <v>0</v>
      </c>
      <c r="U454" s="346">
        <f t="shared" si="245"/>
        <v>0</v>
      </c>
      <c r="V454" s="346">
        <f t="shared" si="245"/>
        <v>0</v>
      </c>
      <c r="W454" s="346">
        <f t="shared" si="245"/>
        <v>0</v>
      </c>
      <c r="X454" s="346">
        <f t="shared" si="245"/>
        <v>0</v>
      </c>
      <c r="Y454" s="346">
        <f t="shared" si="245"/>
        <v>0</v>
      </c>
      <c r="Z454" s="346">
        <f t="shared" si="245"/>
        <v>0</v>
      </c>
      <c r="AA454" s="346">
        <f t="shared" si="245"/>
        <v>0</v>
      </c>
      <c r="AB454" s="346">
        <f t="shared" si="245"/>
        <v>0</v>
      </c>
      <c r="AC454" s="346">
        <f t="shared" si="245"/>
        <v>0</v>
      </c>
      <c r="AD454" s="346">
        <f t="shared" si="245"/>
        <v>0</v>
      </c>
      <c r="AE454" s="346">
        <f t="shared" si="245"/>
        <v>0</v>
      </c>
      <c r="AF454" s="346">
        <f t="shared" si="245"/>
        <v>0</v>
      </c>
      <c r="AG454" s="346">
        <f t="shared" si="245"/>
        <v>0</v>
      </c>
      <c r="AH454" s="346">
        <f t="shared" si="245"/>
        <v>0</v>
      </c>
      <c r="AI454" s="346">
        <f t="shared" si="245"/>
        <v>0</v>
      </c>
      <c r="AJ454" s="346">
        <f t="shared" si="245"/>
        <v>0</v>
      </c>
      <c r="AK454" s="346">
        <f t="shared" si="245"/>
        <v>0</v>
      </c>
      <c r="AL454" s="346">
        <f t="shared" si="245"/>
        <v>0</v>
      </c>
      <c r="AM454" s="346">
        <f t="shared" si="245"/>
        <v>0</v>
      </c>
      <c r="AN454" s="346">
        <f t="shared" si="245"/>
        <v>0</v>
      </c>
      <c r="AO454" s="346">
        <f t="shared" si="245"/>
        <v>0</v>
      </c>
      <c r="AP454" s="346">
        <f t="shared" si="245"/>
        <v>0</v>
      </c>
      <c r="AQ454" s="346">
        <f t="shared" si="245"/>
        <v>0</v>
      </c>
      <c r="AR454" s="346">
        <f t="shared" si="245"/>
        <v>0</v>
      </c>
      <c r="AS454" s="346">
        <f t="shared" si="245"/>
        <v>0</v>
      </c>
      <c r="AT454" s="346">
        <f t="shared" si="245"/>
        <v>0</v>
      </c>
      <c r="AU454" s="346">
        <f t="shared" si="245"/>
        <v>0</v>
      </c>
      <c r="AV454" s="346">
        <f t="shared" si="245"/>
        <v>0</v>
      </c>
      <c r="AW454" s="346">
        <f t="shared" si="245"/>
        <v>0</v>
      </c>
      <c r="AX454" s="346">
        <f t="shared" si="245"/>
        <v>0</v>
      </c>
      <c r="AY454" s="346">
        <f t="shared" si="245"/>
        <v>0</v>
      </c>
      <c r="AZ454" s="346">
        <f t="shared" si="245"/>
        <v>0</v>
      </c>
      <c r="BA454" s="346">
        <f t="shared" si="245"/>
        <v>0</v>
      </c>
      <c r="BB454" s="346">
        <f t="shared" si="245"/>
        <v>0</v>
      </c>
      <c r="BC454" s="346">
        <f t="shared" si="245"/>
        <v>0</v>
      </c>
      <c r="BD454" s="346">
        <f t="shared" si="245"/>
        <v>0</v>
      </c>
      <c r="BE454" s="346">
        <f t="shared" si="245"/>
        <v>0</v>
      </c>
    </row>
    <row r="455" spans="1:60" ht="14.25" customHeight="1" x14ac:dyDescent="0.45">
      <c r="A455" s="618"/>
      <c r="B455" s="215"/>
      <c r="C455" s="220"/>
      <c r="D455" s="224" t="s">
        <v>178</v>
      </c>
      <c r="E455" s="346">
        <f t="shared" si="239"/>
        <v>1.18E-2</v>
      </c>
      <c r="F455" s="346">
        <f t="shared" si="239"/>
        <v>1.6E-2</v>
      </c>
      <c r="G455" s="346">
        <f t="shared" si="239"/>
        <v>1.41E-2</v>
      </c>
      <c r="H455" s="346">
        <f t="shared" si="239"/>
        <v>1.2200000000000001E-2</v>
      </c>
      <c r="I455" s="394"/>
      <c r="J455" s="394"/>
      <c r="K455" s="394"/>
      <c r="L455" s="394"/>
      <c r="M455" s="394"/>
      <c r="N455" s="394"/>
      <c r="O455" s="394"/>
      <c r="P455" s="394"/>
      <c r="Q455" s="394"/>
      <c r="R455" s="394"/>
      <c r="S455" s="394"/>
      <c r="T455" s="394"/>
      <c r="U455" s="394"/>
      <c r="V455" s="394"/>
      <c r="W455" s="394"/>
      <c r="X455" s="394"/>
      <c r="Y455" s="394"/>
      <c r="Z455" s="394"/>
      <c r="AA455" s="394"/>
      <c r="AB455" s="394"/>
      <c r="AC455" s="394"/>
      <c r="AD455" s="394"/>
      <c r="AE455" s="394"/>
      <c r="AF455" s="394"/>
      <c r="AG455" s="394"/>
      <c r="AH455" s="394"/>
      <c r="AI455" s="394"/>
      <c r="AJ455" s="394"/>
      <c r="AK455" s="394"/>
      <c r="AL455" s="394"/>
      <c r="AM455" s="394"/>
      <c r="AN455" s="394"/>
      <c r="AO455" s="394"/>
      <c r="AP455" s="394"/>
      <c r="AQ455" s="394"/>
      <c r="AR455" s="394"/>
      <c r="AS455" s="394"/>
      <c r="AT455" s="394"/>
      <c r="AU455" s="394"/>
      <c r="AV455" s="394"/>
      <c r="AW455" s="394"/>
      <c r="AX455" s="394"/>
      <c r="AY455" s="394"/>
      <c r="AZ455" s="394"/>
      <c r="BA455" s="394"/>
      <c r="BB455" s="394"/>
      <c r="BC455" s="394"/>
      <c r="BD455" s="394"/>
      <c r="BE455" s="394"/>
    </row>
    <row r="456" spans="1:60" ht="14.25" customHeight="1" x14ac:dyDescent="0.45">
      <c r="A456" s="618"/>
      <c r="B456" s="215"/>
      <c r="C456" s="220" t="s">
        <v>233</v>
      </c>
      <c r="D456" s="247" t="s">
        <v>223</v>
      </c>
      <c r="E456" s="346">
        <f t="shared" si="239"/>
        <v>2.7000000000000001E-3</v>
      </c>
      <c r="F456" s="346">
        <f t="shared" si="239"/>
        <v>2.5999999999999999E-3</v>
      </c>
      <c r="G456" s="346">
        <f t="shared" si="239"/>
        <v>2.5999999999999999E-3</v>
      </c>
      <c r="H456" s="346">
        <f t="shared" si="239"/>
        <v>2.5999999999999999E-3</v>
      </c>
      <c r="I456" s="346">
        <f t="shared" ref="I456:BE456" si="246">0.99*I261</f>
        <v>2.4908329802083625E-3</v>
      </c>
      <c r="J456" s="346">
        <f t="shared" si="246"/>
        <v>2.5528559575913215E-3</v>
      </c>
      <c r="K456" s="346">
        <f t="shared" si="246"/>
        <v>2.61487893497428E-3</v>
      </c>
      <c r="L456" s="346">
        <f t="shared" si="246"/>
        <v>2.6769019123572381E-3</v>
      </c>
      <c r="M456" s="346">
        <f t="shared" si="246"/>
        <v>2.7389248897401971E-3</v>
      </c>
      <c r="N456" s="346">
        <f t="shared" si="246"/>
        <v>2.8009478671231552E-3</v>
      </c>
      <c r="O456" s="346">
        <f t="shared" si="246"/>
        <v>2.8629708445061137E-3</v>
      </c>
      <c r="P456" s="346">
        <f t="shared" si="246"/>
        <v>2.9249938218890727E-3</v>
      </c>
      <c r="Q456" s="346">
        <f t="shared" si="246"/>
        <v>2.9870167992720295E-3</v>
      </c>
      <c r="R456" s="346">
        <f t="shared" si="246"/>
        <v>3.0106142931830998E-3</v>
      </c>
      <c r="S456" s="346">
        <f t="shared" si="246"/>
        <v>3.0342117870941696E-3</v>
      </c>
      <c r="T456" s="346">
        <f t="shared" si="246"/>
        <v>3.0578092810052381E-3</v>
      </c>
      <c r="U456" s="346">
        <f t="shared" si="246"/>
        <v>3.0814067749163074E-3</v>
      </c>
      <c r="V456" s="346">
        <f t="shared" si="246"/>
        <v>3.1050042688273781E-3</v>
      </c>
      <c r="W456" s="346">
        <f t="shared" si="246"/>
        <v>3.128601762738447E-3</v>
      </c>
      <c r="X456" s="346">
        <f t="shared" si="246"/>
        <v>3.1521992566495164E-3</v>
      </c>
      <c r="Y456" s="346">
        <f t="shared" si="246"/>
        <v>3.1757967505605862E-3</v>
      </c>
      <c r="Z456" s="346">
        <f t="shared" si="246"/>
        <v>3.199394244471656E-3</v>
      </c>
      <c r="AA456" s="346">
        <f t="shared" si="246"/>
        <v>3.2229917383827236E-3</v>
      </c>
      <c r="AB456" s="346">
        <f t="shared" si="246"/>
        <v>3.2262147709189869E-3</v>
      </c>
      <c r="AC456" s="346">
        <f t="shared" si="246"/>
        <v>3.2294378034552502E-3</v>
      </c>
      <c r="AD456" s="346">
        <f t="shared" si="246"/>
        <v>3.2326608359915135E-3</v>
      </c>
      <c r="AE456" s="346">
        <f t="shared" si="246"/>
        <v>3.2358838685277759E-3</v>
      </c>
      <c r="AF456" s="346">
        <f t="shared" si="246"/>
        <v>3.2391069010640401E-3</v>
      </c>
      <c r="AG456" s="346">
        <f t="shared" si="246"/>
        <v>3.2423299336003021E-3</v>
      </c>
      <c r="AH456" s="346">
        <f t="shared" si="246"/>
        <v>3.2455529661365654E-3</v>
      </c>
      <c r="AI456" s="346">
        <f t="shared" si="246"/>
        <v>3.2487759986728291E-3</v>
      </c>
      <c r="AJ456" s="346">
        <f t="shared" si="246"/>
        <v>3.2519990312090919E-3</v>
      </c>
      <c r="AK456" s="346">
        <f t="shared" si="246"/>
        <v>3.2552220637453535E-3</v>
      </c>
      <c r="AL456" s="346">
        <f t="shared" si="246"/>
        <v>3.4243909764559012E-3</v>
      </c>
      <c r="AM456" s="346">
        <f t="shared" si="246"/>
        <v>3.4498663787051148E-3</v>
      </c>
      <c r="AN456" s="346">
        <f t="shared" si="246"/>
        <v>3.475341780954328E-3</v>
      </c>
      <c r="AO456" s="346">
        <f t="shared" si="246"/>
        <v>3.5008171832035416E-3</v>
      </c>
      <c r="AP456" s="346">
        <f t="shared" si="246"/>
        <v>3.5262925854527647E-3</v>
      </c>
      <c r="AQ456" s="346">
        <f t="shared" si="246"/>
        <v>3.5517679877019783E-3</v>
      </c>
      <c r="AR456" s="346">
        <f t="shared" si="246"/>
        <v>3.577243389951191E-3</v>
      </c>
      <c r="AS456" s="346">
        <f t="shared" si="246"/>
        <v>3.6027187922004046E-3</v>
      </c>
      <c r="AT456" s="346">
        <f t="shared" si="246"/>
        <v>3.6281941944496178E-3</v>
      </c>
      <c r="AU456" s="346">
        <f t="shared" si="246"/>
        <v>3.6536695966988314E-3</v>
      </c>
      <c r="AV456" s="346">
        <f t="shared" si="246"/>
        <v>3.679144998948045E-3</v>
      </c>
      <c r="AW456" s="346">
        <f t="shared" si="246"/>
        <v>3.7046204011972582E-3</v>
      </c>
      <c r="AX456" s="346">
        <f t="shared" si="246"/>
        <v>3.7300958034464818E-3</v>
      </c>
      <c r="AY456" s="346">
        <f t="shared" si="246"/>
        <v>3.7555712056956949E-3</v>
      </c>
      <c r="AZ456" s="346">
        <f t="shared" si="246"/>
        <v>3.7810466079449085E-3</v>
      </c>
      <c r="BA456" s="346">
        <f t="shared" si="246"/>
        <v>3.8065220101941217E-3</v>
      </c>
      <c r="BB456" s="346">
        <f t="shared" si="246"/>
        <v>3.8319974124433353E-3</v>
      </c>
      <c r="BC456" s="346">
        <f t="shared" si="246"/>
        <v>3.8574728146925489E-3</v>
      </c>
      <c r="BD456" s="346">
        <f t="shared" si="246"/>
        <v>3.8829482169417721E-3</v>
      </c>
      <c r="BE456" s="346">
        <f t="shared" si="246"/>
        <v>3.9084236191909852E-3</v>
      </c>
    </row>
    <row r="457" spans="1:60" ht="14.25" customHeight="1" x14ac:dyDescent="0.45">
      <c r="A457" s="618"/>
      <c r="B457" s="215"/>
      <c r="C457" s="220" t="s">
        <v>234</v>
      </c>
      <c r="D457" s="247" t="s">
        <v>225</v>
      </c>
      <c r="E457" s="346">
        <f t="shared" si="239"/>
        <v>9.1000000000000004E-3</v>
      </c>
      <c r="F457" s="346">
        <f t="shared" si="239"/>
        <v>1.34E-2</v>
      </c>
      <c r="G457" s="346">
        <f t="shared" si="239"/>
        <v>1.14E-2</v>
      </c>
      <c r="H457" s="346">
        <f t="shared" si="239"/>
        <v>9.5999999999999992E-3</v>
      </c>
      <c r="I457" s="346">
        <f t="shared" ref="I457:BE457" si="247">0.99*I262</f>
        <v>1.1305940356146979E-2</v>
      </c>
      <c r="J457" s="346">
        <f t="shared" si="247"/>
        <v>1.1494100060849758E-2</v>
      </c>
      <c r="K457" s="346">
        <f t="shared" si="247"/>
        <v>1.1685458184634923E-2</v>
      </c>
      <c r="L457" s="346">
        <f t="shared" si="247"/>
        <v>1.1877520038485991E-2</v>
      </c>
      <c r="M457" s="346">
        <f t="shared" si="247"/>
        <v>1.2072364692141237E-2</v>
      </c>
      <c r="N457" s="346">
        <f t="shared" si="247"/>
        <v>1.226858760551062E-2</v>
      </c>
      <c r="O457" s="346">
        <f t="shared" si="247"/>
        <v>1.2467330514925127E-2</v>
      </c>
      <c r="P457" s="346">
        <f t="shared" si="247"/>
        <v>1.2667563618988185E-2</v>
      </c>
      <c r="Q457" s="346">
        <f t="shared" si="247"/>
        <v>1.2870741098499873E-2</v>
      </c>
      <c r="R457" s="346">
        <f t="shared" si="247"/>
        <v>1.3074524000004636E-2</v>
      </c>
      <c r="S457" s="346">
        <f t="shared" si="247"/>
        <v>1.327979514946343E-2</v>
      </c>
      <c r="T457" s="346">
        <f t="shared" si="247"/>
        <v>1.3487078207699857E-2</v>
      </c>
      <c r="U457" s="346">
        <f t="shared" si="247"/>
        <v>1.3695681124815071E-2</v>
      </c>
      <c r="V457" s="346">
        <f t="shared" si="247"/>
        <v>1.3905151294335156E-2</v>
      </c>
      <c r="W457" s="346">
        <f t="shared" si="247"/>
        <v>1.411577974708958E-2</v>
      </c>
      <c r="X457" s="346">
        <f t="shared" si="247"/>
        <v>1.4326781965190211E-2</v>
      </c>
      <c r="Y457" s="346">
        <f t="shared" si="247"/>
        <v>1.4538780890880726E-2</v>
      </c>
      <c r="Z457" s="346">
        <f t="shared" si="247"/>
        <v>1.4751984820473853E-2</v>
      </c>
      <c r="AA457" s="346">
        <f t="shared" si="247"/>
        <v>1.4964769237399755E-2</v>
      </c>
      <c r="AB457" s="346">
        <f t="shared" si="247"/>
        <v>1.5178673003669763E-2</v>
      </c>
      <c r="AC457" s="346">
        <f t="shared" si="247"/>
        <v>1.5391127455875965E-2</v>
      </c>
      <c r="AD457" s="346">
        <f t="shared" si="247"/>
        <v>1.5603593588249238E-2</v>
      </c>
      <c r="AE457" s="346">
        <f t="shared" si="247"/>
        <v>1.5813544591313664E-2</v>
      </c>
      <c r="AF457" s="346">
        <f t="shared" si="247"/>
        <v>1.6021179027909418E-2</v>
      </c>
      <c r="AG457" s="346">
        <f t="shared" si="247"/>
        <v>1.6226207813901525E-2</v>
      </c>
      <c r="AH457" s="346">
        <f t="shared" si="247"/>
        <v>1.6427936952696669E-2</v>
      </c>
      <c r="AI457" s="346">
        <f t="shared" si="247"/>
        <v>1.6626267162874745E-2</v>
      </c>
      <c r="AJ457" s="346">
        <f t="shared" si="247"/>
        <v>1.6821944028433653E-2</v>
      </c>
      <c r="AK457" s="346">
        <f t="shared" si="247"/>
        <v>1.7014031189313373E-2</v>
      </c>
      <c r="AL457" s="346">
        <f t="shared" si="247"/>
        <v>1.7236350475200647E-2</v>
      </c>
      <c r="AM457" s="346">
        <f t="shared" si="247"/>
        <v>1.7442970535796101E-2</v>
      </c>
      <c r="AN457" s="346">
        <f t="shared" si="247"/>
        <v>1.7649590596391655E-2</v>
      </c>
      <c r="AO457" s="346">
        <f t="shared" si="247"/>
        <v>1.7856210656987108E-2</v>
      </c>
      <c r="AP457" s="346">
        <f t="shared" si="247"/>
        <v>1.8062830717582662E-2</v>
      </c>
      <c r="AQ457" s="346">
        <f t="shared" si="247"/>
        <v>1.8269450778178212E-2</v>
      </c>
      <c r="AR457" s="346">
        <f t="shared" si="247"/>
        <v>1.8476070838773669E-2</v>
      </c>
      <c r="AS457" s="346">
        <f t="shared" si="247"/>
        <v>1.868269089936922E-2</v>
      </c>
      <c r="AT457" s="346">
        <f t="shared" si="247"/>
        <v>1.8889310959964673E-2</v>
      </c>
      <c r="AU457" s="346">
        <f t="shared" si="247"/>
        <v>1.9095931020560227E-2</v>
      </c>
      <c r="AV457" s="346">
        <f t="shared" si="247"/>
        <v>1.9302551081155681E-2</v>
      </c>
      <c r="AW457" s="346">
        <f t="shared" si="247"/>
        <v>1.9509171141751235E-2</v>
      </c>
      <c r="AX457" s="346">
        <f t="shared" si="247"/>
        <v>1.9715791202346688E-2</v>
      </c>
      <c r="AY457" s="346">
        <f t="shared" si="247"/>
        <v>1.9922411262942242E-2</v>
      </c>
      <c r="AZ457" s="346">
        <f t="shared" si="247"/>
        <v>2.0129031323537695E-2</v>
      </c>
      <c r="BA457" s="346">
        <f t="shared" si="247"/>
        <v>2.0335651384133249E-2</v>
      </c>
      <c r="BB457" s="346">
        <f t="shared" si="247"/>
        <v>2.0542271444728703E-2</v>
      </c>
      <c r="BC457" s="346">
        <f t="shared" si="247"/>
        <v>2.0748891505324257E-2</v>
      </c>
      <c r="BD457" s="346">
        <f t="shared" si="247"/>
        <v>2.0955511565919811E-2</v>
      </c>
      <c r="BE457" s="346">
        <f t="shared" si="247"/>
        <v>2.1162131626515264E-2</v>
      </c>
    </row>
    <row r="458" spans="1:60" ht="14.25" customHeight="1" x14ac:dyDescent="0.45">
      <c r="A458" s="618"/>
      <c r="B458" s="215"/>
      <c r="C458" s="220"/>
      <c r="D458" s="224" t="s">
        <v>179</v>
      </c>
      <c r="E458" s="346">
        <f t="shared" si="239"/>
        <v>13.681699999999999</v>
      </c>
      <c r="F458" s="346">
        <f t="shared" si="239"/>
        <v>14.5617</v>
      </c>
      <c r="G458" s="346">
        <f t="shared" si="239"/>
        <v>13.953799999999999</v>
      </c>
      <c r="H458" s="346">
        <f t="shared" si="239"/>
        <v>14.2788</v>
      </c>
      <c r="I458" s="394"/>
      <c r="J458" s="394"/>
      <c r="K458" s="394"/>
      <c r="L458" s="394"/>
      <c r="M458" s="394"/>
      <c r="N458" s="394"/>
      <c r="O458" s="394"/>
      <c r="P458" s="394"/>
      <c r="Q458" s="394"/>
      <c r="R458" s="394"/>
      <c r="S458" s="394"/>
      <c r="T458" s="394"/>
      <c r="U458" s="394"/>
      <c r="V458" s="394"/>
      <c r="W458" s="394"/>
      <c r="X458" s="394"/>
      <c r="Y458" s="394"/>
      <c r="Z458" s="394"/>
      <c r="AA458" s="394"/>
      <c r="AB458" s="394"/>
      <c r="AC458" s="394"/>
      <c r="AD458" s="394"/>
      <c r="AE458" s="394"/>
      <c r="AF458" s="394"/>
      <c r="AG458" s="394"/>
      <c r="AH458" s="394"/>
      <c r="AI458" s="394"/>
      <c r="AJ458" s="394"/>
      <c r="AK458" s="394"/>
      <c r="AL458" s="394"/>
      <c r="AM458" s="394"/>
      <c r="AN458" s="394"/>
      <c r="AO458" s="394"/>
      <c r="AP458" s="394"/>
      <c r="AQ458" s="394"/>
      <c r="AR458" s="394"/>
      <c r="AS458" s="394"/>
      <c r="AT458" s="394"/>
      <c r="AU458" s="394"/>
      <c r="AV458" s="394"/>
      <c r="AW458" s="394"/>
      <c r="AX458" s="394"/>
      <c r="AY458" s="394"/>
      <c r="AZ458" s="394"/>
      <c r="BA458" s="394"/>
      <c r="BB458" s="394"/>
      <c r="BC458" s="394"/>
      <c r="BD458" s="394"/>
      <c r="BE458" s="394"/>
    </row>
    <row r="459" spans="1:60" ht="14.25" customHeight="1" x14ac:dyDescent="0.45">
      <c r="A459" s="618"/>
      <c r="B459" s="215"/>
      <c r="C459" s="220"/>
      <c r="D459" s="228" t="s">
        <v>180</v>
      </c>
      <c r="E459" s="346">
        <f t="shared" si="239"/>
        <v>12.4422</v>
      </c>
      <c r="F459" s="346">
        <f t="shared" si="239"/>
        <v>13.4071</v>
      </c>
      <c r="G459" s="346">
        <f t="shared" si="239"/>
        <v>12.9613</v>
      </c>
      <c r="H459" s="346">
        <f t="shared" si="239"/>
        <v>13.0489</v>
      </c>
      <c r="I459" s="394"/>
      <c r="J459" s="394"/>
      <c r="K459" s="394"/>
      <c r="L459" s="394"/>
      <c r="M459" s="394"/>
      <c r="N459" s="394"/>
      <c r="O459" s="394"/>
      <c r="P459" s="394"/>
      <c r="Q459" s="394"/>
      <c r="R459" s="394"/>
      <c r="S459" s="394"/>
      <c r="T459" s="394"/>
      <c r="U459" s="394"/>
      <c r="V459" s="394"/>
      <c r="W459" s="394"/>
      <c r="X459" s="394"/>
      <c r="Y459" s="394"/>
      <c r="Z459" s="394"/>
      <c r="AA459" s="394"/>
      <c r="AB459" s="394"/>
      <c r="AC459" s="394"/>
      <c r="AD459" s="394"/>
      <c r="AE459" s="394"/>
      <c r="AF459" s="394"/>
      <c r="AG459" s="394"/>
      <c r="AH459" s="394"/>
      <c r="AI459" s="394"/>
      <c r="AJ459" s="394"/>
      <c r="AK459" s="394"/>
      <c r="AL459" s="394"/>
      <c r="AM459" s="394"/>
      <c r="AN459" s="394"/>
      <c r="AO459" s="394"/>
      <c r="AP459" s="394"/>
      <c r="AQ459" s="394"/>
      <c r="AR459" s="394"/>
      <c r="AS459" s="394"/>
      <c r="AT459" s="394"/>
      <c r="AU459" s="394"/>
      <c r="AV459" s="394"/>
      <c r="AW459" s="394"/>
      <c r="AX459" s="394"/>
      <c r="AY459" s="394"/>
      <c r="AZ459" s="394"/>
      <c r="BA459" s="394"/>
      <c r="BB459" s="394"/>
      <c r="BC459" s="394"/>
      <c r="BD459" s="394"/>
      <c r="BE459" s="394"/>
    </row>
    <row r="460" spans="1:60" ht="14.25" customHeight="1" x14ac:dyDescent="0.45">
      <c r="A460" s="618"/>
      <c r="B460" s="215"/>
      <c r="C460" s="220"/>
      <c r="D460" s="247" t="s">
        <v>225</v>
      </c>
      <c r="E460" s="346">
        <f t="shared" si="239"/>
        <v>0</v>
      </c>
      <c r="F460" s="346">
        <f t="shared" si="239"/>
        <v>0</v>
      </c>
      <c r="G460" s="346">
        <f t="shared" si="239"/>
        <v>0</v>
      </c>
      <c r="H460" s="346">
        <f t="shared" si="239"/>
        <v>0</v>
      </c>
      <c r="I460" s="394"/>
      <c r="J460" s="394"/>
      <c r="K460" s="394"/>
      <c r="L460" s="394"/>
      <c r="M460" s="394"/>
      <c r="N460" s="394"/>
      <c r="O460" s="394"/>
      <c r="P460" s="394"/>
      <c r="Q460" s="394"/>
      <c r="R460" s="394"/>
      <c r="S460" s="394"/>
      <c r="T460" s="394"/>
      <c r="U460" s="394"/>
      <c r="V460" s="394"/>
      <c r="W460" s="394"/>
      <c r="X460" s="394"/>
      <c r="Y460" s="394"/>
      <c r="Z460" s="394"/>
      <c r="AA460" s="394"/>
      <c r="AB460" s="394"/>
      <c r="AC460" s="394"/>
      <c r="AD460" s="394"/>
      <c r="AE460" s="394"/>
      <c r="AF460" s="394"/>
      <c r="AG460" s="394"/>
      <c r="AH460" s="394"/>
      <c r="AI460" s="394"/>
      <c r="AJ460" s="394"/>
      <c r="AK460" s="394"/>
      <c r="AL460" s="394"/>
      <c r="AM460" s="394"/>
      <c r="AN460" s="394"/>
      <c r="AO460" s="394"/>
      <c r="AP460" s="394"/>
      <c r="AQ460" s="394"/>
      <c r="AR460" s="394"/>
      <c r="AS460" s="394"/>
      <c r="AT460" s="394"/>
      <c r="AU460" s="394"/>
      <c r="AV460" s="394"/>
      <c r="AW460" s="394"/>
      <c r="AX460" s="394"/>
      <c r="AY460" s="394"/>
      <c r="AZ460" s="394"/>
      <c r="BA460" s="394"/>
      <c r="BB460" s="394"/>
      <c r="BC460" s="394"/>
      <c r="BD460" s="394"/>
      <c r="BE460" s="394"/>
    </row>
    <row r="461" spans="1:60" ht="14.25" customHeight="1" x14ac:dyDescent="0.45">
      <c r="A461" s="618"/>
      <c r="B461" s="215"/>
      <c r="C461" s="220" t="s">
        <v>235</v>
      </c>
      <c r="D461" s="243" t="s">
        <v>236</v>
      </c>
      <c r="E461" s="346">
        <f t="shared" si="239"/>
        <v>0.4284</v>
      </c>
      <c r="F461" s="346">
        <f t="shared" si="239"/>
        <v>0.38700000000000001</v>
      </c>
      <c r="G461" s="346">
        <f t="shared" si="239"/>
        <v>0.42599999999999999</v>
      </c>
      <c r="H461" s="346">
        <f t="shared" si="239"/>
        <v>5.3600000000000002E-2</v>
      </c>
      <c r="I461" s="346">
        <f t="shared" ref="I461:BE461" si="248">0.99*I266</f>
        <v>0.43914015604799989</v>
      </c>
      <c r="J461" s="346">
        <f t="shared" si="248"/>
        <v>0.43914015604799989</v>
      </c>
      <c r="K461" s="346">
        <f t="shared" si="248"/>
        <v>0.43914015604799989</v>
      </c>
      <c r="L461" s="346">
        <f t="shared" si="248"/>
        <v>0.43928157978061916</v>
      </c>
      <c r="M461" s="346">
        <f t="shared" si="248"/>
        <v>0.44648776987688049</v>
      </c>
      <c r="N461" s="346">
        <f t="shared" si="248"/>
        <v>0.45374493392246906</v>
      </c>
      <c r="O461" s="346">
        <f t="shared" si="248"/>
        <v>0.46109529821862816</v>
      </c>
      <c r="P461" s="346">
        <f t="shared" si="248"/>
        <v>0.4685007762975697</v>
      </c>
      <c r="Q461" s="346">
        <f t="shared" si="248"/>
        <v>0.47601514999566003</v>
      </c>
      <c r="R461" s="346">
        <f t="shared" si="248"/>
        <v>0.48355191479296028</v>
      </c>
      <c r="S461" s="346">
        <f t="shared" si="248"/>
        <v>0.49114372137593942</v>
      </c>
      <c r="T461" s="346">
        <f t="shared" si="248"/>
        <v>0.49880993696545745</v>
      </c>
      <c r="U461" s="346">
        <f t="shared" si="248"/>
        <v>0.5065249665911955</v>
      </c>
      <c r="V461" s="346">
        <f t="shared" si="248"/>
        <v>0.51427207092657379</v>
      </c>
      <c r="W461" s="346">
        <f t="shared" si="248"/>
        <v>0.52206201353857573</v>
      </c>
      <c r="X461" s="346">
        <f t="shared" si="248"/>
        <v>0.52986577959446324</v>
      </c>
      <c r="Y461" s="346">
        <f t="shared" si="248"/>
        <v>0.53770640816737814</v>
      </c>
      <c r="Z461" s="346">
        <f t="shared" si="248"/>
        <v>0.54559160294740272</v>
      </c>
      <c r="AA461" s="346">
        <f t="shared" si="248"/>
        <v>0.55346128235160785</v>
      </c>
      <c r="AB461" s="346">
        <f t="shared" si="248"/>
        <v>0.56137236009036551</v>
      </c>
      <c r="AC461" s="346">
        <f t="shared" si="248"/>
        <v>0.56922983598551558</v>
      </c>
      <c r="AD461" s="346">
        <f t="shared" si="248"/>
        <v>0.57708774386328732</v>
      </c>
      <c r="AE461" s="346">
        <f t="shared" si="248"/>
        <v>0.58485263148324729</v>
      </c>
      <c r="AF461" s="346">
        <f t="shared" si="248"/>
        <v>0.59253184254995983</v>
      </c>
      <c r="AG461" s="346">
        <f t="shared" si="248"/>
        <v>0.60011468549354452</v>
      </c>
      <c r="AH461" s="346">
        <f t="shared" si="248"/>
        <v>0.60757549334657901</v>
      </c>
      <c r="AI461" s="346">
        <f t="shared" si="248"/>
        <v>0.61491059425678141</v>
      </c>
      <c r="AJ461" s="346">
        <f t="shared" si="248"/>
        <v>0.62214756311481856</v>
      </c>
      <c r="AK461" s="346">
        <f t="shared" si="248"/>
        <v>0.62925176931387417</v>
      </c>
      <c r="AL461" s="346">
        <f t="shared" si="248"/>
        <v>0.63478422932196699</v>
      </c>
      <c r="AM461" s="346">
        <f t="shared" si="248"/>
        <v>0.64215005106300449</v>
      </c>
      <c r="AN461" s="346">
        <f t="shared" si="248"/>
        <v>0.64951587280404299</v>
      </c>
      <c r="AO461" s="346">
        <f t="shared" si="248"/>
        <v>0.6568816945450815</v>
      </c>
      <c r="AP461" s="346">
        <f t="shared" si="248"/>
        <v>0.66424751628612</v>
      </c>
      <c r="AQ461" s="346">
        <f t="shared" si="248"/>
        <v>0.6716133380271585</v>
      </c>
      <c r="AR461" s="346">
        <f t="shared" si="248"/>
        <v>0.67897915976819512</v>
      </c>
      <c r="AS461" s="346">
        <f t="shared" si="248"/>
        <v>0.68634498150923462</v>
      </c>
      <c r="AT461" s="346">
        <f t="shared" si="248"/>
        <v>0.69371080325027223</v>
      </c>
      <c r="AU461" s="346">
        <f t="shared" si="248"/>
        <v>0.70107662499131174</v>
      </c>
      <c r="AV461" s="346">
        <f t="shared" si="248"/>
        <v>0.70844244673235024</v>
      </c>
      <c r="AW461" s="346">
        <f t="shared" si="248"/>
        <v>0.71580826847338774</v>
      </c>
      <c r="AX461" s="346">
        <f t="shared" si="248"/>
        <v>0.72317409021442625</v>
      </c>
      <c r="AY461" s="346">
        <f t="shared" si="248"/>
        <v>0.73053991195546486</v>
      </c>
      <c r="AZ461" s="346">
        <f t="shared" si="248"/>
        <v>0.73790573369650236</v>
      </c>
      <c r="BA461" s="346">
        <f t="shared" si="248"/>
        <v>0.74527155543754187</v>
      </c>
      <c r="BB461" s="346">
        <f t="shared" si="248"/>
        <v>0.75263737717857937</v>
      </c>
      <c r="BC461" s="346">
        <f t="shared" si="248"/>
        <v>0.76000319891961787</v>
      </c>
      <c r="BD461" s="346">
        <f t="shared" si="248"/>
        <v>0.76736902066065638</v>
      </c>
      <c r="BE461" s="346">
        <f t="shared" si="248"/>
        <v>0.7747348424016951</v>
      </c>
    </row>
    <row r="462" spans="1:60" ht="14.25" customHeight="1" x14ac:dyDescent="0.45">
      <c r="A462" s="618"/>
      <c r="B462" s="215"/>
      <c r="C462" s="220"/>
      <c r="D462" s="247" t="s">
        <v>223</v>
      </c>
      <c r="E462" s="346">
        <f t="shared" si="239"/>
        <v>0</v>
      </c>
      <c r="F462" s="346">
        <f t="shared" si="239"/>
        <v>0</v>
      </c>
      <c r="G462" s="346">
        <f t="shared" si="239"/>
        <v>0</v>
      </c>
      <c r="H462" s="346">
        <f t="shared" si="239"/>
        <v>0</v>
      </c>
      <c r="I462" s="394"/>
      <c r="J462" s="394"/>
      <c r="K462" s="394"/>
      <c r="L462" s="394"/>
      <c r="M462" s="394"/>
      <c r="N462" s="394"/>
      <c r="O462" s="394"/>
      <c r="P462" s="394"/>
      <c r="Q462" s="394"/>
      <c r="R462" s="394"/>
      <c r="S462" s="394"/>
      <c r="T462" s="394"/>
      <c r="U462" s="394"/>
      <c r="V462" s="394"/>
      <c r="W462" s="394"/>
      <c r="X462" s="394"/>
      <c r="Y462" s="394"/>
      <c r="Z462" s="394"/>
      <c r="AA462" s="394"/>
      <c r="AB462" s="394"/>
      <c r="AC462" s="394"/>
      <c r="AD462" s="394"/>
      <c r="AE462" s="394"/>
      <c r="AF462" s="394"/>
      <c r="AG462" s="394"/>
      <c r="AH462" s="394"/>
      <c r="AI462" s="394"/>
      <c r="AJ462" s="394"/>
      <c r="AK462" s="394"/>
      <c r="AL462" s="394"/>
      <c r="AM462" s="394"/>
      <c r="AN462" s="394"/>
      <c r="AO462" s="394"/>
      <c r="AP462" s="394"/>
      <c r="AQ462" s="394"/>
      <c r="AR462" s="394"/>
      <c r="AS462" s="394"/>
      <c r="AT462" s="394"/>
      <c r="AU462" s="394"/>
      <c r="AV462" s="394"/>
      <c r="AW462" s="394"/>
      <c r="AX462" s="394"/>
      <c r="AY462" s="394"/>
      <c r="AZ462" s="394"/>
      <c r="BA462" s="394"/>
      <c r="BB462" s="394"/>
      <c r="BC462" s="394"/>
      <c r="BD462" s="394"/>
      <c r="BE462" s="394"/>
    </row>
    <row r="463" spans="1:60" ht="13.5" customHeight="1" x14ac:dyDescent="0.45">
      <c r="A463" s="618"/>
      <c r="B463" s="215"/>
      <c r="C463" s="220" t="s">
        <v>237</v>
      </c>
      <c r="D463" s="243" t="s">
        <v>236</v>
      </c>
      <c r="E463" s="346">
        <f t="shared" si="239"/>
        <v>0.1656</v>
      </c>
      <c r="F463" s="346">
        <f t="shared" si="239"/>
        <v>0.1709</v>
      </c>
      <c r="G463" s="346">
        <f t="shared" si="239"/>
        <v>0.15010000000000001</v>
      </c>
      <c r="H463" s="346">
        <f t="shared" si="239"/>
        <v>0.16569999999999999</v>
      </c>
      <c r="I463" s="346">
        <f t="shared" ref="I463:BE463" si="249">0.99*I268</f>
        <v>0.17642600211707543</v>
      </c>
      <c r="J463" s="346">
        <f t="shared" si="249"/>
        <v>0.18081909712827035</v>
      </c>
      <c r="K463" s="346">
        <f t="shared" si="249"/>
        <v>0.18521219213946527</v>
      </c>
      <c r="L463" s="346">
        <f t="shared" si="249"/>
        <v>0.18960528715066025</v>
      </c>
      <c r="M463" s="346">
        <f t="shared" si="249"/>
        <v>0.19399838216185514</v>
      </c>
      <c r="N463" s="346">
        <f t="shared" si="249"/>
        <v>0.19839147717305008</v>
      </c>
      <c r="O463" s="346">
        <f t="shared" si="249"/>
        <v>0.202784572184245</v>
      </c>
      <c r="P463" s="346">
        <f t="shared" si="249"/>
        <v>0.20717766719543995</v>
      </c>
      <c r="Q463" s="346">
        <f t="shared" si="249"/>
        <v>0.21157076220663487</v>
      </c>
      <c r="R463" s="346">
        <f t="shared" si="249"/>
        <v>0.21324217556264549</v>
      </c>
      <c r="S463" s="346">
        <f t="shared" si="249"/>
        <v>0.21491358891865603</v>
      </c>
      <c r="T463" s="346">
        <f t="shared" si="249"/>
        <v>0.2165850022746667</v>
      </c>
      <c r="U463" s="346">
        <f t="shared" si="249"/>
        <v>0.21825641563067735</v>
      </c>
      <c r="V463" s="346">
        <f t="shared" si="249"/>
        <v>0.21992782898668795</v>
      </c>
      <c r="W463" s="346">
        <f t="shared" si="249"/>
        <v>0.22159924234269859</v>
      </c>
      <c r="X463" s="346">
        <f t="shared" si="249"/>
        <v>0.22327065569870921</v>
      </c>
      <c r="Y463" s="346">
        <f t="shared" si="249"/>
        <v>0.22494206905471986</v>
      </c>
      <c r="Z463" s="346">
        <f t="shared" si="249"/>
        <v>0.22661348241073051</v>
      </c>
      <c r="AA463" s="346">
        <f t="shared" si="249"/>
        <v>0.22828489576674105</v>
      </c>
      <c r="AB463" s="346">
        <f t="shared" si="249"/>
        <v>0.22851318355222655</v>
      </c>
      <c r="AC463" s="346">
        <f t="shared" si="249"/>
        <v>0.22874147133771217</v>
      </c>
      <c r="AD463" s="346">
        <f t="shared" si="249"/>
        <v>0.2289697591231977</v>
      </c>
      <c r="AE463" s="346">
        <f t="shared" si="249"/>
        <v>0.22919804690868331</v>
      </c>
      <c r="AF463" s="346">
        <f t="shared" si="249"/>
        <v>0.22942633469416887</v>
      </c>
      <c r="AG463" s="346">
        <f t="shared" si="249"/>
        <v>0.22965462247965437</v>
      </c>
      <c r="AH463" s="346">
        <f t="shared" si="249"/>
        <v>0.22988291026513999</v>
      </c>
      <c r="AI463" s="346">
        <f t="shared" si="249"/>
        <v>0.23011119805062547</v>
      </c>
      <c r="AJ463" s="346">
        <f t="shared" si="249"/>
        <v>0.23033948583611111</v>
      </c>
      <c r="AK463" s="346">
        <f t="shared" si="249"/>
        <v>0.23056777362159644</v>
      </c>
      <c r="AL463" s="346">
        <f t="shared" si="249"/>
        <v>0.24255002822845412</v>
      </c>
      <c r="AM463" s="346">
        <f t="shared" si="249"/>
        <v>0.24435445405983874</v>
      </c>
      <c r="AN463" s="346">
        <f t="shared" si="249"/>
        <v>0.24615887989122343</v>
      </c>
      <c r="AO463" s="346">
        <f t="shared" si="249"/>
        <v>0.24796330572260908</v>
      </c>
      <c r="AP463" s="346">
        <f t="shared" si="249"/>
        <v>0.24976773155399373</v>
      </c>
      <c r="AQ463" s="346">
        <f t="shared" si="249"/>
        <v>0.25157215738537841</v>
      </c>
      <c r="AR463" s="346">
        <f t="shared" si="249"/>
        <v>0.2533765832167631</v>
      </c>
      <c r="AS463" s="346">
        <f t="shared" si="249"/>
        <v>0.25518100904814867</v>
      </c>
      <c r="AT463" s="346">
        <f t="shared" si="249"/>
        <v>0.25698543487953335</v>
      </c>
      <c r="AU463" s="346">
        <f t="shared" si="249"/>
        <v>0.25878986071091803</v>
      </c>
      <c r="AV463" s="346">
        <f t="shared" si="249"/>
        <v>0.26059428654230266</v>
      </c>
      <c r="AW463" s="346">
        <f t="shared" si="249"/>
        <v>0.26239871237368734</v>
      </c>
      <c r="AX463" s="346">
        <f t="shared" si="249"/>
        <v>0.26420313820507302</v>
      </c>
      <c r="AY463" s="346">
        <f t="shared" si="249"/>
        <v>0.26600756403645764</v>
      </c>
      <c r="AZ463" s="346">
        <f t="shared" si="249"/>
        <v>0.26781198986784233</v>
      </c>
      <c r="BA463" s="346">
        <f t="shared" si="249"/>
        <v>0.26961641569922695</v>
      </c>
      <c r="BB463" s="346">
        <f t="shared" si="249"/>
        <v>0.27142084153061258</v>
      </c>
      <c r="BC463" s="346">
        <f t="shared" si="249"/>
        <v>0.27322526736199726</v>
      </c>
      <c r="BD463" s="346">
        <f t="shared" si="249"/>
        <v>0.27502969319338194</v>
      </c>
      <c r="BE463" s="346">
        <f t="shared" si="249"/>
        <v>0.27683411902476662</v>
      </c>
    </row>
    <row r="464" spans="1:60" ht="14.25" customHeight="1" x14ac:dyDescent="0.45">
      <c r="A464" s="618"/>
      <c r="B464" s="215"/>
      <c r="C464" s="220"/>
      <c r="D464" s="247" t="s">
        <v>238</v>
      </c>
      <c r="E464" s="346">
        <f t="shared" ref="E464:H481" si="250">ROUND(0.99*E269,4)</f>
        <v>0</v>
      </c>
      <c r="F464" s="346">
        <f t="shared" si="250"/>
        <v>0</v>
      </c>
      <c r="G464" s="346">
        <f t="shared" si="250"/>
        <v>0</v>
      </c>
      <c r="H464" s="346">
        <f t="shared" si="250"/>
        <v>0</v>
      </c>
      <c r="I464" s="394"/>
      <c r="J464" s="394"/>
      <c r="K464" s="394"/>
      <c r="L464" s="394"/>
      <c r="M464" s="394"/>
      <c r="N464" s="394"/>
      <c r="O464" s="394"/>
      <c r="P464" s="394"/>
      <c r="Q464" s="394"/>
      <c r="R464" s="394"/>
      <c r="S464" s="394"/>
      <c r="T464" s="394"/>
      <c r="U464" s="394"/>
      <c r="V464" s="394"/>
      <c r="W464" s="394"/>
      <c r="X464" s="394"/>
      <c r="Y464" s="394"/>
      <c r="Z464" s="394"/>
      <c r="AA464" s="394"/>
      <c r="AB464" s="394"/>
      <c r="AC464" s="394"/>
      <c r="AD464" s="394"/>
      <c r="AE464" s="394"/>
      <c r="AF464" s="394"/>
      <c r="AG464" s="394"/>
      <c r="AH464" s="394"/>
      <c r="AI464" s="394"/>
      <c r="AJ464" s="394"/>
      <c r="AK464" s="394"/>
      <c r="AL464" s="394"/>
      <c r="AM464" s="394"/>
      <c r="AN464" s="394"/>
      <c r="AO464" s="394"/>
      <c r="AP464" s="394"/>
      <c r="AQ464" s="394"/>
      <c r="AR464" s="394"/>
      <c r="AS464" s="394"/>
      <c r="AT464" s="394"/>
      <c r="AU464" s="394"/>
      <c r="AV464" s="394"/>
      <c r="AW464" s="394"/>
      <c r="AX464" s="394"/>
      <c r="AY464" s="394"/>
      <c r="AZ464" s="394"/>
      <c r="BA464" s="394"/>
      <c r="BB464" s="394"/>
      <c r="BC464" s="394"/>
      <c r="BD464" s="394"/>
      <c r="BE464" s="394"/>
    </row>
    <row r="465" spans="1:57" ht="14.25" customHeight="1" x14ac:dyDescent="0.45">
      <c r="A465" s="618"/>
      <c r="B465" s="215"/>
      <c r="C465" s="220" t="s">
        <v>239</v>
      </c>
      <c r="D465" s="243" t="s">
        <v>240</v>
      </c>
      <c r="E465" s="346">
        <f t="shared" si="250"/>
        <v>6.1116000000000001</v>
      </c>
      <c r="F465" s="346">
        <f t="shared" si="250"/>
        <v>6.0225</v>
      </c>
      <c r="G465" s="346">
        <f t="shared" si="250"/>
        <v>5.8297999999999996</v>
      </c>
      <c r="H465" s="346">
        <f t="shared" si="250"/>
        <v>6.1805000000000003</v>
      </c>
      <c r="I465" s="346">
        <f t="shared" ref="I465:BE465" si="251">0.99*I270</f>
        <v>5.8093641113343812</v>
      </c>
      <c r="J465" s="346">
        <f t="shared" si="251"/>
        <v>5.8093641113343812</v>
      </c>
      <c r="K465" s="346">
        <f t="shared" si="251"/>
        <v>5.8093641113343812</v>
      </c>
      <c r="L465" s="346">
        <f t="shared" si="251"/>
        <v>5.8093641113343812</v>
      </c>
      <c r="M465" s="346">
        <f t="shared" si="251"/>
        <v>5.8093641113343812</v>
      </c>
      <c r="N465" s="346">
        <f t="shared" si="251"/>
        <v>5.8093641113343812</v>
      </c>
      <c r="O465" s="346">
        <f t="shared" si="251"/>
        <v>5.8093641113343812</v>
      </c>
      <c r="P465" s="346">
        <f t="shared" si="251"/>
        <v>5.8093641113343812</v>
      </c>
      <c r="Q465" s="346">
        <f t="shared" si="251"/>
        <v>5.8093641113343812</v>
      </c>
      <c r="R465" s="346">
        <f t="shared" si="251"/>
        <v>5.8093641113343812</v>
      </c>
      <c r="S465" s="346">
        <f t="shared" si="251"/>
        <v>5.8093641113343812</v>
      </c>
      <c r="T465" s="346">
        <f t="shared" si="251"/>
        <v>5.8093641113343812</v>
      </c>
      <c r="U465" s="346">
        <f t="shared" si="251"/>
        <v>5.8093641113343812</v>
      </c>
      <c r="V465" s="346">
        <f t="shared" si="251"/>
        <v>5.8093641113343812</v>
      </c>
      <c r="W465" s="346">
        <f t="shared" si="251"/>
        <v>5.8093641113343812</v>
      </c>
      <c r="X465" s="346">
        <f t="shared" si="251"/>
        <v>5.8093641113343812</v>
      </c>
      <c r="Y465" s="346">
        <f t="shared" si="251"/>
        <v>5.8093641113343812</v>
      </c>
      <c r="Z465" s="346">
        <f t="shared" si="251"/>
        <v>5.8093641113343812</v>
      </c>
      <c r="AA465" s="346">
        <f t="shared" si="251"/>
        <v>5.8093641113343812</v>
      </c>
      <c r="AB465" s="346">
        <f t="shared" si="251"/>
        <v>5.8093641113343812</v>
      </c>
      <c r="AC465" s="346">
        <f t="shared" si="251"/>
        <v>5.8093641113343812</v>
      </c>
      <c r="AD465" s="346">
        <f t="shared" si="251"/>
        <v>5.8093641113343812</v>
      </c>
      <c r="AE465" s="346">
        <f t="shared" si="251"/>
        <v>5.8093641113343812</v>
      </c>
      <c r="AF465" s="346">
        <f t="shared" si="251"/>
        <v>5.8093641113343812</v>
      </c>
      <c r="AG465" s="346">
        <f t="shared" si="251"/>
        <v>5.8093641113343812</v>
      </c>
      <c r="AH465" s="346">
        <f t="shared" si="251"/>
        <v>5.8093641113343812</v>
      </c>
      <c r="AI465" s="346">
        <f t="shared" si="251"/>
        <v>5.8093641113343812</v>
      </c>
      <c r="AJ465" s="346">
        <f t="shared" si="251"/>
        <v>5.8093641113343812</v>
      </c>
      <c r="AK465" s="346">
        <f t="shared" si="251"/>
        <v>5.8093641113343812</v>
      </c>
      <c r="AL465" s="346">
        <f t="shared" si="251"/>
        <v>5.8093641113343812</v>
      </c>
      <c r="AM465" s="346">
        <f t="shared" si="251"/>
        <v>5.8093641113343812</v>
      </c>
      <c r="AN465" s="346">
        <f t="shared" si="251"/>
        <v>5.8093641113343812</v>
      </c>
      <c r="AO465" s="346">
        <f t="shared" si="251"/>
        <v>5.8093641113343812</v>
      </c>
      <c r="AP465" s="346">
        <f t="shared" si="251"/>
        <v>5.8093641113343812</v>
      </c>
      <c r="AQ465" s="346">
        <f t="shared" si="251"/>
        <v>5.8093641113343812</v>
      </c>
      <c r="AR465" s="346">
        <f t="shared" si="251"/>
        <v>5.8093641113343812</v>
      </c>
      <c r="AS465" s="346">
        <f t="shared" si="251"/>
        <v>5.8093641113343812</v>
      </c>
      <c r="AT465" s="346">
        <f t="shared" si="251"/>
        <v>5.8093641113343812</v>
      </c>
      <c r="AU465" s="346">
        <f t="shared" si="251"/>
        <v>5.8093641113343812</v>
      </c>
      <c r="AV465" s="346">
        <f t="shared" si="251"/>
        <v>5.8093641113343812</v>
      </c>
      <c r="AW465" s="346">
        <f t="shared" si="251"/>
        <v>5.8093641113343812</v>
      </c>
      <c r="AX465" s="346">
        <f t="shared" si="251"/>
        <v>5.8093641113343812</v>
      </c>
      <c r="AY465" s="346">
        <f t="shared" si="251"/>
        <v>5.8093641113343812</v>
      </c>
      <c r="AZ465" s="346">
        <f t="shared" si="251"/>
        <v>5.8093641113343812</v>
      </c>
      <c r="BA465" s="346">
        <f t="shared" si="251"/>
        <v>5.8093641113343812</v>
      </c>
      <c r="BB465" s="346">
        <f t="shared" si="251"/>
        <v>5.8093641113343812</v>
      </c>
      <c r="BC465" s="346">
        <f t="shared" si="251"/>
        <v>5.8093641113343812</v>
      </c>
      <c r="BD465" s="346">
        <f t="shared" si="251"/>
        <v>5.8093641113343812</v>
      </c>
      <c r="BE465" s="346">
        <f t="shared" si="251"/>
        <v>5.8093641113343812</v>
      </c>
    </row>
    <row r="466" spans="1:57" ht="14.25" customHeight="1" x14ac:dyDescent="0.45">
      <c r="A466" s="618"/>
      <c r="B466" s="215"/>
      <c r="C466" s="220" t="s">
        <v>241</v>
      </c>
      <c r="D466" s="243" t="s">
        <v>236</v>
      </c>
      <c r="E466" s="346">
        <f t="shared" si="250"/>
        <v>3.3468</v>
      </c>
      <c r="F466" s="346">
        <f t="shared" si="250"/>
        <v>4.5654000000000003</v>
      </c>
      <c r="G466" s="346">
        <f t="shared" si="250"/>
        <v>4.3483999999999998</v>
      </c>
      <c r="H466" s="346">
        <f t="shared" si="250"/>
        <v>4.21</v>
      </c>
      <c r="I466" s="346">
        <f t="shared" ref="I466:BE466" si="252">0.99*I271</f>
        <v>4.2100421417044656</v>
      </c>
      <c r="J466" s="346">
        <f t="shared" si="252"/>
        <v>4.2100421417044656</v>
      </c>
      <c r="K466" s="346">
        <f t="shared" si="252"/>
        <v>4.2100421417044656</v>
      </c>
      <c r="L466" s="346">
        <f t="shared" si="252"/>
        <v>4.2100421417044656</v>
      </c>
      <c r="M466" s="346">
        <f t="shared" si="252"/>
        <v>4.2100421417044656</v>
      </c>
      <c r="N466" s="346">
        <f t="shared" si="252"/>
        <v>4.2100421417044656</v>
      </c>
      <c r="O466" s="346">
        <f t="shared" si="252"/>
        <v>4.2100421417044656</v>
      </c>
      <c r="P466" s="346">
        <f t="shared" si="252"/>
        <v>4.2100421417044656</v>
      </c>
      <c r="Q466" s="346">
        <f t="shared" si="252"/>
        <v>4.2100421417044656</v>
      </c>
      <c r="R466" s="346">
        <f t="shared" si="252"/>
        <v>4.2100421417044656</v>
      </c>
      <c r="S466" s="346">
        <f t="shared" si="252"/>
        <v>4.2100421417044656</v>
      </c>
      <c r="T466" s="346">
        <f t="shared" si="252"/>
        <v>4.2100421417044656</v>
      </c>
      <c r="U466" s="346">
        <f t="shared" si="252"/>
        <v>4.2100421417044656</v>
      </c>
      <c r="V466" s="346">
        <f t="shared" si="252"/>
        <v>4.2100421417044656</v>
      </c>
      <c r="W466" s="346">
        <f t="shared" si="252"/>
        <v>4.2100421417044656</v>
      </c>
      <c r="X466" s="346">
        <f t="shared" si="252"/>
        <v>4.2100421417044656</v>
      </c>
      <c r="Y466" s="346">
        <f t="shared" si="252"/>
        <v>4.2100421417044656</v>
      </c>
      <c r="Z466" s="346">
        <f t="shared" si="252"/>
        <v>4.2100421417044656</v>
      </c>
      <c r="AA466" s="346">
        <f t="shared" si="252"/>
        <v>4.2100421417044656</v>
      </c>
      <c r="AB466" s="346">
        <f t="shared" si="252"/>
        <v>4.2100421417044656</v>
      </c>
      <c r="AC466" s="346">
        <f t="shared" si="252"/>
        <v>4.2100421417044656</v>
      </c>
      <c r="AD466" s="346">
        <f t="shared" si="252"/>
        <v>4.2100421417044656</v>
      </c>
      <c r="AE466" s="346">
        <f t="shared" si="252"/>
        <v>4.2100421417044656</v>
      </c>
      <c r="AF466" s="346">
        <f t="shared" si="252"/>
        <v>4.2100421417044656</v>
      </c>
      <c r="AG466" s="346">
        <f t="shared" si="252"/>
        <v>4.2100421417044656</v>
      </c>
      <c r="AH466" s="346">
        <f t="shared" si="252"/>
        <v>4.2100421417044656</v>
      </c>
      <c r="AI466" s="346">
        <f t="shared" si="252"/>
        <v>4.2100421417044656</v>
      </c>
      <c r="AJ466" s="346">
        <f t="shared" si="252"/>
        <v>4.2100421417044656</v>
      </c>
      <c r="AK466" s="346">
        <f t="shared" si="252"/>
        <v>4.2100421417044656</v>
      </c>
      <c r="AL466" s="346">
        <f t="shared" si="252"/>
        <v>4.2100421417044656</v>
      </c>
      <c r="AM466" s="346">
        <f t="shared" si="252"/>
        <v>4.2100421417044656</v>
      </c>
      <c r="AN466" s="346">
        <f t="shared" si="252"/>
        <v>4.2100421417044656</v>
      </c>
      <c r="AO466" s="346">
        <f t="shared" si="252"/>
        <v>4.2100421417044656</v>
      </c>
      <c r="AP466" s="346">
        <f t="shared" si="252"/>
        <v>4.2100421417044656</v>
      </c>
      <c r="AQ466" s="346">
        <f t="shared" si="252"/>
        <v>4.2100421417044656</v>
      </c>
      <c r="AR466" s="346">
        <f t="shared" si="252"/>
        <v>4.2100421417044656</v>
      </c>
      <c r="AS466" s="346">
        <f t="shared" si="252"/>
        <v>4.2100421417044656</v>
      </c>
      <c r="AT466" s="346">
        <f t="shared" si="252"/>
        <v>4.2100421417044656</v>
      </c>
      <c r="AU466" s="346">
        <f t="shared" si="252"/>
        <v>4.2100421417044656</v>
      </c>
      <c r="AV466" s="346">
        <f t="shared" si="252"/>
        <v>4.2100421417044656</v>
      </c>
      <c r="AW466" s="346">
        <f t="shared" si="252"/>
        <v>4.2100421417044656</v>
      </c>
      <c r="AX466" s="346">
        <f t="shared" si="252"/>
        <v>4.2100421417044656</v>
      </c>
      <c r="AY466" s="346">
        <f t="shared" si="252"/>
        <v>4.2100421417044656</v>
      </c>
      <c r="AZ466" s="346">
        <f t="shared" si="252"/>
        <v>4.2100421417044656</v>
      </c>
      <c r="BA466" s="346">
        <f t="shared" si="252"/>
        <v>4.2100421417044656</v>
      </c>
      <c r="BB466" s="346">
        <f t="shared" si="252"/>
        <v>4.2100421417044656</v>
      </c>
      <c r="BC466" s="346">
        <f t="shared" si="252"/>
        <v>4.2100421417044656</v>
      </c>
      <c r="BD466" s="346">
        <f t="shared" si="252"/>
        <v>4.2100421417044656</v>
      </c>
      <c r="BE466" s="346">
        <f t="shared" si="252"/>
        <v>4.2100421417044656</v>
      </c>
    </row>
    <row r="467" spans="1:57" ht="14.25" customHeight="1" x14ac:dyDescent="0.45">
      <c r="A467" s="618"/>
      <c r="B467" s="215"/>
      <c r="C467" s="220" t="s">
        <v>242</v>
      </c>
      <c r="D467" s="243" t="s">
        <v>243</v>
      </c>
      <c r="E467" s="346">
        <f t="shared" si="250"/>
        <v>0.255</v>
      </c>
      <c r="F467" s="346">
        <f t="shared" si="250"/>
        <v>0.23549999999999999</v>
      </c>
      <c r="G467" s="346">
        <f t="shared" si="250"/>
        <v>0.24729999999999999</v>
      </c>
      <c r="H467" s="346">
        <f t="shared" si="250"/>
        <v>0.25280000000000002</v>
      </c>
      <c r="I467" s="346">
        <f t="shared" ref="I467:BE467" si="253">0.99*I272</f>
        <v>0.24728357166953693</v>
      </c>
      <c r="J467" s="346">
        <f t="shared" si="253"/>
        <v>0.24728357166953693</v>
      </c>
      <c r="K467" s="346">
        <f t="shared" si="253"/>
        <v>0.24728357166953693</v>
      </c>
      <c r="L467" s="346">
        <f t="shared" si="253"/>
        <v>0.24728357166953693</v>
      </c>
      <c r="M467" s="346">
        <f t="shared" si="253"/>
        <v>0.24728357166953693</v>
      </c>
      <c r="N467" s="346">
        <f t="shared" si="253"/>
        <v>0.24728357166953693</v>
      </c>
      <c r="O467" s="346">
        <f t="shared" si="253"/>
        <v>0.24728357166953693</v>
      </c>
      <c r="P467" s="346">
        <f t="shared" si="253"/>
        <v>0.24728357166953693</v>
      </c>
      <c r="Q467" s="346">
        <f t="shared" si="253"/>
        <v>0.24728357166953693</v>
      </c>
      <c r="R467" s="346">
        <f t="shared" si="253"/>
        <v>0.24728357166953693</v>
      </c>
      <c r="S467" s="346">
        <f t="shared" si="253"/>
        <v>0.24728357166953693</v>
      </c>
      <c r="T467" s="346">
        <f t="shared" si="253"/>
        <v>0.24728357166953693</v>
      </c>
      <c r="U467" s="346">
        <f t="shared" si="253"/>
        <v>0.24728357166953693</v>
      </c>
      <c r="V467" s="346">
        <f t="shared" si="253"/>
        <v>0.24728357166953693</v>
      </c>
      <c r="W467" s="346">
        <f t="shared" si="253"/>
        <v>0.24728357166953693</v>
      </c>
      <c r="X467" s="346">
        <f t="shared" si="253"/>
        <v>0.24728357166953693</v>
      </c>
      <c r="Y467" s="346">
        <f t="shared" si="253"/>
        <v>0.24728357166953693</v>
      </c>
      <c r="Z467" s="346">
        <f t="shared" si="253"/>
        <v>0.24728357166953693</v>
      </c>
      <c r="AA467" s="346">
        <f t="shared" si="253"/>
        <v>0.24728357166953693</v>
      </c>
      <c r="AB467" s="346">
        <f t="shared" si="253"/>
        <v>0.24728357166953693</v>
      </c>
      <c r="AC467" s="346">
        <f t="shared" si="253"/>
        <v>0.24728357166953693</v>
      </c>
      <c r="AD467" s="346">
        <f t="shared" si="253"/>
        <v>0.24728357166953693</v>
      </c>
      <c r="AE467" s="346">
        <f t="shared" si="253"/>
        <v>0.24728357166953693</v>
      </c>
      <c r="AF467" s="346">
        <f t="shared" si="253"/>
        <v>0.24728357166953693</v>
      </c>
      <c r="AG467" s="346">
        <f t="shared" si="253"/>
        <v>0.24728357166953693</v>
      </c>
      <c r="AH467" s="346">
        <f t="shared" si="253"/>
        <v>0.24728357166953693</v>
      </c>
      <c r="AI467" s="346">
        <f t="shared" si="253"/>
        <v>0.24728357166953693</v>
      </c>
      <c r="AJ467" s="346">
        <f t="shared" si="253"/>
        <v>0.24728357166953693</v>
      </c>
      <c r="AK467" s="346">
        <f t="shared" si="253"/>
        <v>0.24728357166953693</v>
      </c>
      <c r="AL467" s="346">
        <f t="shared" si="253"/>
        <v>0.24728357166953693</v>
      </c>
      <c r="AM467" s="346">
        <f t="shared" si="253"/>
        <v>0.24728357166953693</v>
      </c>
      <c r="AN467" s="346">
        <f t="shared" si="253"/>
        <v>0.24728357166953693</v>
      </c>
      <c r="AO467" s="346">
        <f t="shared" si="253"/>
        <v>0.24728357166953693</v>
      </c>
      <c r="AP467" s="346">
        <f t="shared" si="253"/>
        <v>0.24728357166953693</v>
      </c>
      <c r="AQ467" s="346">
        <f t="shared" si="253"/>
        <v>0.24728357166953693</v>
      </c>
      <c r="AR467" s="346">
        <f t="shared" si="253"/>
        <v>0.24728357166953693</v>
      </c>
      <c r="AS467" s="346">
        <f t="shared" si="253"/>
        <v>0.24728357166953693</v>
      </c>
      <c r="AT467" s="346">
        <f t="shared" si="253"/>
        <v>0.24728357166953693</v>
      </c>
      <c r="AU467" s="346">
        <f t="shared" si="253"/>
        <v>0.24728357166953693</v>
      </c>
      <c r="AV467" s="346">
        <f t="shared" si="253"/>
        <v>0.24728357166953693</v>
      </c>
      <c r="AW467" s="346">
        <f t="shared" si="253"/>
        <v>0.24728357166953693</v>
      </c>
      <c r="AX467" s="346">
        <f t="shared" si="253"/>
        <v>0.24728357166953693</v>
      </c>
      <c r="AY467" s="346">
        <f t="shared" si="253"/>
        <v>0.24728357166953693</v>
      </c>
      <c r="AZ467" s="346">
        <f t="shared" si="253"/>
        <v>0.24728357166953693</v>
      </c>
      <c r="BA467" s="346">
        <f t="shared" si="253"/>
        <v>0.24728357166953693</v>
      </c>
      <c r="BB467" s="346">
        <f t="shared" si="253"/>
        <v>0.24728357166953693</v>
      </c>
      <c r="BC467" s="346">
        <f t="shared" si="253"/>
        <v>0.24728357166953693</v>
      </c>
      <c r="BD467" s="346">
        <f t="shared" si="253"/>
        <v>0.24728357166953693</v>
      </c>
      <c r="BE467" s="346">
        <f t="shared" si="253"/>
        <v>0.24728357166953693</v>
      </c>
    </row>
    <row r="468" spans="1:57" ht="14.25" customHeight="1" x14ac:dyDescent="0.45">
      <c r="A468" s="618"/>
      <c r="B468" s="215"/>
      <c r="C468" s="220" t="s">
        <v>244</v>
      </c>
      <c r="D468" s="243" t="s">
        <v>245</v>
      </c>
      <c r="E468" s="346">
        <f t="shared" si="250"/>
        <v>2.1347999999999998</v>
      </c>
      <c r="F468" s="346">
        <f t="shared" si="250"/>
        <v>2.0257999999999998</v>
      </c>
      <c r="G468" s="346">
        <f t="shared" si="250"/>
        <v>1.9597</v>
      </c>
      <c r="H468" s="346">
        <f t="shared" si="250"/>
        <v>2.1863999999999999</v>
      </c>
      <c r="I468" s="346">
        <f t="shared" ref="I468:BE468" si="254">0.99*I273</f>
        <v>1.9776891455401198</v>
      </c>
      <c r="J468" s="346">
        <f t="shared" si="254"/>
        <v>1.9776891455401198</v>
      </c>
      <c r="K468" s="346">
        <f t="shared" si="254"/>
        <v>1.9776891455401198</v>
      </c>
      <c r="L468" s="346">
        <f t="shared" si="254"/>
        <v>1.9776891455401198</v>
      </c>
      <c r="M468" s="346">
        <f t="shared" si="254"/>
        <v>1.9776891455401198</v>
      </c>
      <c r="N468" s="346">
        <f t="shared" si="254"/>
        <v>1.9776891455401198</v>
      </c>
      <c r="O468" s="346">
        <f t="shared" si="254"/>
        <v>1.9776891455401198</v>
      </c>
      <c r="P468" s="346">
        <f t="shared" si="254"/>
        <v>1.9776891455401198</v>
      </c>
      <c r="Q468" s="346">
        <f t="shared" si="254"/>
        <v>1.9776891455401198</v>
      </c>
      <c r="R468" s="346">
        <f t="shared" si="254"/>
        <v>1.9776891455401198</v>
      </c>
      <c r="S468" s="346">
        <f t="shared" si="254"/>
        <v>1.9776891455401198</v>
      </c>
      <c r="T468" s="346">
        <f t="shared" si="254"/>
        <v>1.9776891455401198</v>
      </c>
      <c r="U468" s="346">
        <f t="shared" si="254"/>
        <v>1.9776891455401198</v>
      </c>
      <c r="V468" s="346">
        <f t="shared" si="254"/>
        <v>1.9776891455401198</v>
      </c>
      <c r="W468" s="346">
        <f t="shared" si="254"/>
        <v>1.9776891455401198</v>
      </c>
      <c r="X468" s="346">
        <f t="shared" si="254"/>
        <v>1.9776891455401198</v>
      </c>
      <c r="Y468" s="346">
        <f t="shared" si="254"/>
        <v>1.9776891455401198</v>
      </c>
      <c r="Z468" s="346">
        <f t="shared" si="254"/>
        <v>1.9776891455401198</v>
      </c>
      <c r="AA468" s="346">
        <f t="shared" si="254"/>
        <v>1.9776891455401198</v>
      </c>
      <c r="AB468" s="346">
        <f t="shared" si="254"/>
        <v>1.9776891455401198</v>
      </c>
      <c r="AC468" s="346">
        <f t="shared" si="254"/>
        <v>1.9776891455401198</v>
      </c>
      <c r="AD468" s="346">
        <f t="shared" si="254"/>
        <v>1.9776891455401198</v>
      </c>
      <c r="AE468" s="346">
        <f t="shared" si="254"/>
        <v>1.9776891455401198</v>
      </c>
      <c r="AF468" s="346">
        <f t="shared" si="254"/>
        <v>1.9776891455401198</v>
      </c>
      <c r="AG468" s="346">
        <f t="shared" si="254"/>
        <v>1.9776891455401198</v>
      </c>
      <c r="AH468" s="346">
        <f t="shared" si="254"/>
        <v>1.9776891455401198</v>
      </c>
      <c r="AI468" s="346">
        <f t="shared" si="254"/>
        <v>1.9776891455401198</v>
      </c>
      <c r="AJ468" s="346">
        <f t="shared" si="254"/>
        <v>1.9776891455401198</v>
      </c>
      <c r="AK468" s="346">
        <f t="shared" si="254"/>
        <v>1.9776891455401198</v>
      </c>
      <c r="AL468" s="346">
        <f t="shared" si="254"/>
        <v>1.9776891455401198</v>
      </c>
      <c r="AM468" s="346">
        <f t="shared" si="254"/>
        <v>1.9776891455401198</v>
      </c>
      <c r="AN468" s="346">
        <f t="shared" si="254"/>
        <v>1.9776891455401198</v>
      </c>
      <c r="AO468" s="346">
        <f t="shared" si="254"/>
        <v>1.9776891455401198</v>
      </c>
      <c r="AP468" s="346">
        <f t="shared" si="254"/>
        <v>1.9776891455401198</v>
      </c>
      <c r="AQ468" s="346">
        <f t="shared" si="254"/>
        <v>1.9776891455401198</v>
      </c>
      <c r="AR468" s="346">
        <f t="shared" si="254"/>
        <v>1.9776891455401198</v>
      </c>
      <c r="AS468" s="346">
        <f t="shared" si="254"/>
        <v>1.9776891455401198</v>
      </c>
      <c r="AT468" s="346">
        <f t="shared" si="254"/>
        <v>1.9776891455401198</v>
      </c>
      <c r="AU468" s="346">
        <f t="shared" si="254"/>
        <v>1.9776891455401198</v>
      </c>
      <c r="AV468" s="346">
        <f t="shared" si="254"/>
        <v>1.9776891455401198</v>
      </c>
      <c r="AW468" s="346">
        <f t="shared" si="254"/>
        <v>1.9776891455401198</v>
      </c>
      <c r="AX468" s="346">
        <f t="shared" si="254"/>
        <v>1.9776891455401198</v>
      </c>
      <c r="AY468" s="346">
        <f t="shared" si="254"/>
        <v>1.9776891455401198</v>
      </c>
      <c r="AZ468" s="346">
        <f t="shared" si="254"/>
        <v>1.9776891455401198</v>
      </c>
      <c r="BA468" s="346">
        <f t="shared" si="254"/>
        <v>1.9776891455401198</v>
      </c>
      <c r="BB468" s="346">
        <f t="shared" si="254"/>
        <v>1.9776891455401198</v>
      </c>
      <c r="BC468" s="346">
        <f t="shared" si="254"/>
        <v>1.9776891455401198</v>
      </c>
      <c r="BD468" s="346">
        <f t="shared" si="254"/>
        <v>1.9776891455401198</v>
      </c>
      <c r="BE468" s="346">
        <f t="shared" si="254"/>
        <v>1.9776891455401198</v>
      </c>
    </row>
    <row r="469" spans="1:57" ht="14.25" customHeight="1" x14ac:dyDescent="0.45">
      <c r="A469" s="618"/>
      <c r="B469" s="215"/>
      <c r="C469" s="220"/>
      <c r="D469" s="228" t="s">
        <v>188</v>
      </c>
      <c r="E469" s="346">
        <f t="shared" si="250"/>
        <v>1.1348</v>
      </c>
      <c r="F469" s="346">
        <f t="shared" si="250"/>
        <v>1.0581</v>
      </c>
      <c r="G469" s="346">
        <f t="shared" si="250"/>
        <v>0.97450000000000003</v>
      </c>
      <c r="H469" s="346">
        <f t="shared" si="250"/>
        <v>1.1301000000000001</v>
      </c>
      <c r="I469" s="394"/>
      <c r="J469" s="394"/>
      <c r="K469" s="394"/>
      <c r="L469" s="394"/>
      <c r="M469" s="394"/>
      <c r="N469" s="394"/>
      <c r="O469" s="394"/>
      <c r="P469" s="394"/>
      <c r="Q469" s="394"/>
      <c r="R469" s="394"/>
      <c r="S469" s="394"/>
      <c r="T469" s="394"/>
      <c r="U469" s="394"/>
      <c r="V469" s="394"/>
      <c r="W469" s="394"/>
      <c r="X469" s="394"/>
      <c r="Y469" s="394"/>
      <c r="Z469" s="394"/>
      <c r="AA469" s="394"/>
      <c r="AB469" s="394"/>
      <c r="AC469" s="394"/>
      <c r="AD469" s="394"/>
      <c r="AE469" s="394"/>
      <c r="AF469" s="394"/>
      <c r="AG469" s="394"/>
      <c r="AH469" s="394"/>
      <c r="AI469" s="394"/>
      <c r="AJ469" s="394"/>
      <c r="AK469" s="394"/>
      <c r="AL469" s="394"/>
      <c r="AM469" s="394"/>
      <c r="AN469" s="394"/>
      <c r="AO469" s="394"/>
      <c r="AP469" s="394"/>
      <c r="AQ469" s="394"/>
      <c r="AR469" s="394"/>
      <c r="AS469" s="394"/>
      <c r="AT469" s="394"/>
      <c r="AU469" s="394"/>
      <c r="AV469" s="394"/>
      <c r="AW469" s="394"/>
      <c r="AX469" s="394"/>
      <c r="AY469" s="394"/>
      <c r="AZ469" s="394"/>
      <c r="BA469" s="394"/>
      <c r="BB469" s="394"/>
      <c r="BC469" s="394"/>
      <c r="BD469" s="394"/>
      <c r="BE469" s="394"/>
    </row>
    <row r="470" spans="1:57" ht="14.25" customHeight="1" x14ac:dyDescent="0.45">
      <c r="A470" s="618"/>
      <c r="B470" s="215"/>
      <c r="C470" s="220"/>
      <c r="D470" s="247" t="s">
        <v>238</v>
      </c>
      <c r="E470" s="346">
        <f t="shared" si="250"/>
        <v>0</v>
      </c>
      <c r="F470" s="346">
        <f t="shared" si="250"/>
        <v>0</v>
      </c>
      <c r="G470" s="346">
        <f t="shared" si="250"/>
        <v>0</v>
      </c>
      <c r="H470" s="346">
        <f t="shared" si="250"/>
        <v>0</v>
      </c>
      <c r="I470" s="394"/>
      <c r="J470" s="394"/>
      <c r="K470" s="394"/>
      <c r="L470" s="394"/>
      <c r="M470" s="394"/>
      <c r="N470" s="394"/>
      <c r="O470" s="394"/>
      <c r="P470" s="394"/>
      <c r="Q470" s="394"/>
      <c r="R470" s="394"/>
      <c r="S470" s="394"/>
      <c r="T470" s="394"/>
      <c r="U470" s="394"/>
      <c r="V470" s="394"/>
      <c r="W470" s="394"/>
      <c r="X470" s="394"/>
      <c r="Y470" s="394"/>
      <c r="Z470" s="394"/>
      <c r="AA470" s="394"/>
      <c r="AB470" s="394"/>
      <c r="AC470" s="394"/>
      <c r="AD470" s="394"/>
      <c r="AE470" s="394"/>
      <c r="AF470" s="394"/>
      <c r="AG470" s="394"/>
      <c r="AH470" s="394"/>
      <c r="AI470" s="394"/>
      <c r="AJ470" s="394"/>
      <c r="AK470" s="394"/>
      <c r="AL470" s="394"/>
      <c r="AM470" s="394"/>
      <c r="AN470" s="394"/>
      <c r="AO470" s="394"/>
      <c r="AP470" s="394"/>
      <c r="AQ470" s="394"/>
      <c r="AR470" s="394"/>
      <c r="AS470" s="394"/>
      <c r="AT470" s="394"/>
      <c r="AU470" s="394"/>
      <c r="AV470" s="394"/>
      <c r="AW470" s="394"/>
      <c r="AX470" s="394"/>
      <c r="AY470" s="394"/>
      <c r="AZ470" s="394"/>
      <c r="BA470" s="394"/>
      <c r="BB470" s="394"/>
      <c r="BC470" s="394"/>
      <c r="BD470" s="394"/>
      <c r="BE470" s="394"/>
    </row>
    <row r="471" spans="1:57" ht="14.25" customHeight="1" x14ac:dyDescent="0.45">
      <c r="A471" s="618"/>
      <c r="B471" s="215"/>
      <c r="C471" s="220" t="s">
        <v>246</v>
      </c>
      <c r="D471" s="243" t="s">
        <v>236</v>
      </c>
      <c r="E471" s="346">
        <f t="shared" si="250"/>
        <v>0.55889999999999995</v>
      </c>
      <c r="F471" s="346">
        <f t="shared" si="250"/>
        <v>0.54859999999999998</v>
      </c>
      <c r="G471" s="346">
        <f t="shared" si="250"/>
        <v>0.4889</v>
      </c>
      <c r="H471" s="346">
        <f t="shared" si="250"/>
        <v>0.4985</v>
      </c>
      <c r="I471" s="346">
        <f t="shared" ref="I471:BE471" si="255">0.99*I276</f>
        <v>0.48832458152262437</v>
      </c>
      <c r="J471" s="346">
        <f t="shared" si="255"/>
        <v>0.48832458152262437</v>
      </c>
      <c r="K471" s="346">
        <f t="shared" si="255"/>
        <v>0.48832458152262437</v>
      </c>
      <c r="L471" s="346">
        <f t="shared" si="255"/>
        <v>0.48832458152262437</v>
      </c>
      <c r="M471" s="346">
        <f t="shared" si="255"/>
        <v>0.48832458152262437</v>
      </c>
      <c r="N471" s="346">
        <f t="shared" si="255"/>
        <v>0.48832458152262437</v>
      </c>
      <c r="O471" s="346">
        <f t="shared" si="255"/>
        <v>0.48832458152262437</v>
      </c>
      <c r="P471" s="346">
        <f t="shared" si="255"/>
        <v>0.48832458152262437</v>
      </c>
      <c r="Q471" s="346">
        <f t="shared" si="255"/>
        <v>0.48832458152262437</v>
      </c>
      <c r="R471" s="346">
        <f t="shared" si="255"/>
        <v>0.48832458152262437</v>
      </c>
      <c r="S471" s="346">
        <f t="shared" si="255"/>
        <v>0.48832458152262437</v>
      </c>
      <c r="T471" s="346">
        <f t="shared" si="255"/>
        <v>0.48832458152262437</v>
      </c>
      <c r="U471" s="346">
        <f t="shared" si="255"/>
        <v>0.48832458152262437</v>
      </c>
      <c r="V471" s="346">
        <f t="shared" si="255"/>
        <v>0.48832458152262437</v>
      </c>
      <c r="W471" s="346">
        <f t="shared" si="255"/>
        <v>0.48832458152262437</v>
      </c>
      <c r="X471" s="346">
        <f t="shared" si="255"/>
        <v>0.48832458152262437</v>
      </c>
      <c r="Y471" s="346">
        <f t="shared" si="255"/>
        <v>0.48832458152262437</v>
      </c>
      <c r="Z471" s="346">
        <f t="shared" si="255"/>
        <v>0.48832458152262437</v>
      </c>
      <c r="AA471" s="346">
        <f t="shared" si="255"/>
        <v>0.48832458152262437</v>
      </c>
      <c r="AB471" s="346">
        <f t="shared" si="255"/>
        <v>0.48832458152262437</v>
      </c>
      <c r="AC471" s="346">
        <f t="shared" si="255"/>
        <v>0.48832458152262437</v>
      </c>
      <c r="AD471" s="346">
        <f t="shared" si="255"/>
        <v>0.48832458152262437</v>
      </c>
      <c r="AE471" s="346">
        <f t="shared" si="255"/>
        <v>0.48832458152262437</v>
      </c>
      <c r="AF471" s="346">
        <f t="shared" si="255"/>
        <v>0.48832458152262437</v>
      </c>
      <c r="AG471" s="346">
        <f t="shared" si="255"/>
        <v>0.48832458152262437</v>
      </c>
      <c r="AH471" s="346">
        <f t="shared" si="255"/>
        <v>0.48832458152262437</v>
      </c>
      <c r="AI471" s="346">
        <f t="shared" si="255"/>
        <v>0.48832458152262437</v>
      </c>
      <c r="AJ471" s="346">
        <f t="shared" si="255"/>
        <v>0.48832458152262437</v>
      </c>
      <c r="AK471" s="346">
        <f t="shared" si="255"/>
        <v>0.48832458152262437</v>
      </c>
      <c r="AL471" s="346">
        <f t="shared" si="255"/>
        <v>0.48832458152262437</v>
      </c>
      <c r="AM471" s="346">
        <f t="shared" si="255"/>
        <v>0.48832458152262437</v>
      </c>
      <c r="AN471" s="346">
        <f t="shared" si="255"/>
        <v>0.48832458152262437</v>
      </c>
      <c r="AO471" s="346">
        <f t="shared" si="255"/>
        <v>0.48832458152262437</v>
      </c>
      <c r="AP471" s="346">
        <f t="shared" si="255"/>
        <v>0.48832458152262437</v>
      </c>
      <c r="AQ471" s="346">
        <f t="shared" si="255"/>
        <v>0.48832458152262437</v>
      </c>
      <c r="AR471" s="346">
        <f t="shared" si="255"/>
        <v>0.48832458152262437</v>
      </c>
      <c r="AS471" s="346">
        <f t="shared" si="255"/>
        <v>0.48832458152262437</v>
      </c>
      <c r="AT471" s="346">
        <f t="shared" si="255"/>
        <v>0.48832458152262437</v>
      </c>
      <c r="AU471" s="346">
        <f t="shared" si="255"/>
        <v>0.48832458152262437</v>
      </c>
      <c r="AV471" s="346">
        <f t="shared" si="255"/>
        <v>0.48832458152262437</v>
      </c>
      <c r="AW471" s="346">
        <f t="shared" si="255"/>
        <v>0.48832458152262437</v>
      </c>
      <c r="AX471" s="346">
        <f t="shared" si="255"/>
        <v>0.48832458152262437</v>
      </c>
      <c r="AY471" s="346">
        <f t="shared" si="255"/>
        <v>0.48832458152262437</v>
      </c>
      <c r="AZ471" s="346">
        <f t="shared" si="255"/>
        <v>0.48832458152262437</v>
      </c>
      <c r="BA471" s="346">
        <f t="shared" si="255"/>
        <v>0.48832458152262437</v>
      </c>
      <c r="BB471" s="346">
        <f t="shared" si="255"/>
        <v>0.48832458152262437</v>
      </c>
      <c r="BC471" s="346">
        <f t="shared" si="255"/>
        <v>0.48832458152262437</v>
      </c>
      <c r="BD471" s="346">
        <f t="shared" si="255"/>
        <v>0.48832458152262437</v>
      </c>
      <c r="BE471" s="346">
        <f t="shared" si="255"/>
        <v>0.48832458152262437</v>
      </c>
    </row>
    <row r="472" spans="1:57" ht="14.25" customHeight="1" x14ac:dyDescent="0.45">
      <c r="A472" s="618"/>
      <c r="B472" s="215"/>
      <c r="C472" s="220" t="s">
        <v>247</v>
      </c>
      <c r="D472" s="243" t="s">
        <v>245</v>
      </c>
      <c r="E472" s="346">
        <f t="shared" si="250"/>
        <v>0.53010000000000002</v>
      </c>
      <c r="F472" s="346">
        <f t="shared" si="250"/>
        <v>0.48280000000000001</v>
      </c>
      <c r="G472" s="346">
        <f t="shared" si="250"/>
        <v>0.46189999999999998</v>
      </c>
      <c r="H472" s="346">
        <f t="shared" si="250"/>
        <v>0.62470000000000003</v>
      </c>
      <c r="I472" s="346">
        <f t="shared" ref="I472:BE472" si="256">0.99*I277</f>
        <v>0.44385356786635954</v>
      </c>
      <c r="J472" s="346">
        <f t="shared" si="256"/>
        <v>0.44385356786635954</v>
      </c>
      <c r="K472" s="346">
        <f t="shared" si="256"/>
        <v>0.44385356786635954</v>
      </c>
      <c r="L472" s="346">
        <f t="shared" si="256"/>
        <v>0.44385356786635954</v>
      </c>
      <c r="M472" s="346">
        <f t="shared" si="256"/>
        <v>0.44385356786635954</v>
      </c>
      <c r="N472" s="346">
        <f t="shared" si="256"/>
        <v>0.44385356786635954</v>
      </c>
      <c r="O472" s="346">
        <f t="shared" si="256"/>
        <v>0.44385356786635954</v>
      </c>
      <c r="P472" s="346">
        <f t="shared" si="256"/>
        <v>0.44385356786635954</v>
      </c>
      <c r="Q472" s="346">
        <f t="shared" si="256"/>
        <v>0.44385356786635954</v>
      </c>
      <c r="R472" s="346">
        <f t="shared" si="256"/>
        <v>0.44385356786635954</v>
      </c>
      <c r="S472" s="346">
        <f t="shared" si="256"/>
        <v>0.44385356786635954</v>
      </c>
      <c r="T472" s="346">
        <f t="shared" si="256"/>
        <v>0.44385356786635954</v>
      </c>
      <c r="U472" s="346">
        <f t="shared" si="256"/>
        <v>0.44385356786635954</v>
      </c>
      <c r="V472" s="346">
        <f t="shared" si="256"/>
        <v>0.44385356786635954</v>
      </c>
      <c r="W472" s="346">
        <f t="shared" si="256"/>
        <v>0.44385356786635954</v>
      </c>
      <c r="X472" s="346">
        <f t="shared" si="256"/>
        <v>0.44385356786635954</v>
      </c>
      <c r="Y472" s="346">
        <f t="shared" si="256"/>
        <v>0.44385356786635954</v>
      </c>
      <c r="Z472" s="346">
        <f t="shared" si="256"/>
        <v>0.44385356786635954</v>
      </c>
      <c r="AA472" s="346">
        <f t="shared" si="256"/>
        <v>0.44385356786635954</v>
      </c>
      <c r="AB472" s="346">
        <f t="shared" si="256"/>
        <v>0.44385356786635954</v>
      </c>
      <c r="AC472" s="346">
        <f t="shared" si="256"/>
        <v>0.44385356786635954</v>
      </c>
      <c r="AD472" s="346">
        <f t="shared" si="256"/>
        <v>0.44385356786635954</v>
      </c>
      <c r="AE472" s="346">
        <f t="shared" si="256"/>
        <v>0.44385356786635954</v>
      </c>
      <c r="AF472" s="346">
        <f t="shared" si="256"/>
        <v>0.44385356786635954</v>
      </c>
      <c r="AG472" s="346">
        <f t="shared" si="256"/>
        <v>0.44385356786635954</v>
      </c>
      <c r="AH472" s="346">
        <f t="shared" si="256"/>
        <v>0.44385356786635954</v>
      </c>
      <c r="AI472" s="346">
        <f t="shared" si="256"/>
        <v>0.44385356786635954</v>
      </c>
      <c r="AJ472" s="346">
        <f t="shared" si="256"/>
        <v>0.44385356786635954</v>
      </c>
      <c r="AK472" s="346">
        <f t="shared" si="256"/>
        <v>0.44385356786635954</v>
      </c>
      <c r="AL472" s="346">
        <f t="shared" si="256"/>
        <v>0.44385356786635954</v>
      </c>
      <c r="AM472" s="346">
        <f t="shared" si="256"/>
        <v>0.44385356786635954</v>
      </c>
      <c r="AN472" s="346">
        <f t="shared" si="256"/>
        <v>0.44385356786635954</v>
      </c>
      <c r="AO472" s="346">
        <f t="shared" si="256"/>
        <v>0.44385356786635954</v>
      </c>
      <c r="AP472" s="346">
        <f t="shared" si="256"/>
        <v>0.44385356786635954</v>
      </c>
      <c r="AQ472" s="346">
        <f t="shared" si="256"/>
        <v>0.44385356786635954</v>
      </c>
      <c r="AR472" s="346">
        <f t="shared" si="256"/>
        <v>0.44385356786635954</v>
      </c>
      <c r="AS472" s="346">
        <f t="shared" si="256"/>
        <v>0.44385356786635954</v>
      </c>
      <c r="AT472" s="346">
        <f t="shared" si="256"/>
        <v>0.44385356786635954</v>
      </c>
      <c r="AU472" s="346">
        <f t="shared" si="256"/>
        <v>0.44385356786635954</v>
      </c>
      <c r="AV472" s="346">
        <f t="shared" si="256"/>
        <v>0.44385356786635954</v>
      </c>
      <c r="AW472" s="346">
        <f t="shared" si="256"/>
        <v>0.44385356786635954</v>
      </c>
      <c r="AX472" s="346">
        <f t="shared" si="256"/>
        <v>0.44385356786635954</v>
      </c>
      <c r="AY472" s="346">
        <f t="shared" si="256"/>
        <v>0.44385356786635954</v>
      </c>
      <c r="AZ472" s="346">
        <f t="shared" si="256"/>
        <v>0.44385356786635954</v>
      </c>
      <c r="BA472" s="346">
        <f t="shared" si="256"/>
        <v>0.44385356786635954</v>
      </c>
      <c r="BB472" s="346">
        <f t="shared" si="256"/>
        <v>0.44385356786635954</v>
      </c>
      <c r="BC472" s="346">
        <f t="shared" si="256"/>
        <v>0.44385356786635954</v>
      </c>
      <c r="BD472" s="346">
        <f t="shared" si="256"/>
        <v>0.44385356786635954</v>
      </c>
      <c r="BE472" s="346">
        <f t="shared" si="256"/>
        <v>0.44385356786635954</v>
      </c>
    </row>
    <row r="473" spans="1:57" ht="14.25" customHeight="1" x14ac:dyDescent="0.45">
      <c r="A473" s="618"/>
      <c r="B473" s="215"/>
      <c r="C473" s="220" t="s">
        <v>249</v>
      </c>
      <c r="D473" s="243" t="s">
        <v>240</v>
      </c>
      <c r="E473" s="346">
        <f t="shared" si="250"/>
        <v>4.58E-2</v>
      </c>
      <c r="F473" s="346">
        <f t="shared" si="250"/>
        <v>2.6700000000000002E-2</v>
      </c>
      <c r="G473" s="346">
        <f t="shared" si="250"/>
        <v>2.3699999999999999E-2</v>
      </c>
      <c r="H473" s="346">
        <f t="shared" si="250"/>
        <v>6.8999999999999999E-3</v>
      </c>
      <c r="I473" s="346">
        <f t="shared" ref="I473:BE473" si="257">0.99*I278</f>
        <v>4.4184194750198885E-2</v>
      </c>
      <c r="J473" s="346">
        <f t="shared" si="257"/>
        <v>4.4184194750198885E-2</v>
      </c>
      <c r="K473" s="346">
        <f t="shared" si="257"/>
        <v>4.4184194750198885E-2</v>
      </c>
      <c r="L473" s="346">
        <f t="shared" si="257"/>
        <v>4.4184194750198885E-2</v>
      </c>
      <c r="M473" s="346">
        <f t="shared" si="257"/>
        <v>4.4184194750198885E-2</v>
      </c>
      <c r="N473" s="346">
        <f t="shared" si="257"/>
        <v>4.4184194750198885E-2</v>
      </c>
      <c r="O473" s="346">
        <f t="shared" si="257"/>
        <v>4.4184194750198885E-2</v>
      </c>
      <c r="P473" s="346">
        <f t="shared" si="257"/>
        <v>4.4184194750198885E-2</v>
      </c>
      <c r="Q473" s="346">
        <f t="shared" si="257"/>
        <v>4.4184194750198885E-2</v>
      </c>
      <c r="R473" s="346">
        <f t="shared" si="257"/>
        <v>4.4184194750198885E-2</v>
      </c>
      <c r="S473" s="346">
        <f t="shared" si="257"/>
        <v>4.4184194750198885E-2</v>
      </c>
      <c r="T473" s="346">
        <f t="shared" si="257"/>
        <v>4.4184194750198885E-2</v>
      </c>
      <c r="U473" s="346">
        <f t="shared" si="257"/>
        <v>4.4184194750198885E-2</v>
      </c>
      <c r="V473" s="346">
        <f t="shared" si="257"/>
        <v>4.4184194750198885E-2</v>
      </c>
      <c r="W473" s="346">
        <f t="shared" si="257"/>
        <v>4.4184194750198885E-2</v>
      </c>
      <c r="X473" s="346">
        <f t="shared" si="257"/>
        <v>4.4184194750198885E-2</v>
      </c>
      <c r="Y473" s="346">
        <f t="shared" si="257"/>
        <v>4.4184194750198885E-2</v>
      </c>
      <c r="Z473" s="346">
        <f t="shared" si="257"/>
        <v>4.4184194750198885E-2</v>
      </c>
      <c r="AA473" s="346">
        <f t="shared" si="257"/>
        <v>4.4184194750198885E-2</v>
      </c>
      <c r="AB473" s="346">
        <f t="shared" si="257"/>
        <v>4.4184194750198885E-2</v>
      </c>
      <c r="AC473" s="346">
        <f t="shared" si="257"/>
        <v>4.4184194750198885E-2</v>
      </c>
      <c r="AD473" s="346">
        <f t="shared" si="257"/>
        <v>4.4184194750198885E-2</v>
      </c>
      <c r="AE473" s="346">
        <f t="shared" si="257"/>
        <v>4.4184194750198885E-2</v>
      </c>
      <c r="AF473" s="346">
        <f t="shared" si="257"/>
        <v>4.4184194750198885E-2</v>
      </c>
      <c r="AG473" s="346">
        <f t="shared" si="257"/>
        <v>4.4184194750198885E-2</v>
      </c>
      <c r="AH473" s="346">
        <f t="shared" si="257"/>
        <v>4.4184194750198885E-2</v>
      </c>
      <c r="AI473" s="346">
        <f t="shared" si="257"/>
        <v>4.4184194750198885E-2</v>
      </c>
      <c r="AJ473" s="346">
        <f t="shared" si="257"/>
        <v>4.4184194750198885E-2</v>
      </c>
      <c r="AK473" s="346">
        <f t="shared" si="257"/>
        <v>4.4184194750198885E-2</v>
      </c>
      <c r="AL473" s="346">
        <f t="shared" si="257"/>
        <v>4.4184194750198885E-2</v>
      </c>
      <c r="AM473" s="346">
        <f t="shared" si="257"/>
        <v>4.4184194750198885E-2</v>
      </c>
      <c r="AN473" s="346">
        <f t="shared" si="257"/>
        <v>4.4184194750198885E-2</v>
      </c>
      <c r="AO473" s="346">
        <f t="shared" si="257"/>
        <v>4.4184194750198885E-2</v>
      </c>
      <c r="AP473" s="346">
        <f t="shared" si="257"/>
        <v>4.4184194750198885E-2</v>
      </c>
      <c r="AQ473" s="346">
        <f t="shared" si="257"/>
        <v>4.4184194750198885E-2</v>
      </c>
      <c r="AR473" s="346">
        <f t="shared" si="257"/>
        <v>4.4184194750198885E-2</v>
      </c>
      <c r="AS473" s="346">
        <f t="shared" si="257"/>
        <v>4.4184194750198885E-2</v>
      </c>
      <c r="AT473" s="346">
        <f t="shared" si="257"/>
        <v>4.4184194750198885E-2</v>
      </c>
      <c r="AU473" s="346">
        <f t="shared" si="257"/>
        <v>4.4184194750198885E-2</v>
      </c>
      <c r="AV473" s="346">
        <f t="shared" si="257"/>
        <v>4.4184194750198885E-2</v>
      </c>
      <c r="AW473" s="346">
        <f t="shared" si="257"/>
        <v>4.4184194750198885E-2</v>
      </c>
      <c r="AX473" s="346">
        <f t="shared" si="257"/>
        <v>4.4184194750198885E-2</v>
      </c>
      <c r="AY473" s="346">
        <f t="shared" si="257"/>
        <v>4.4184194750198885E-2</v>
      </c>
      <c r="AZ473" s="346">
        <f t="shared" si="257"/>
        <v>4.4184194750198885E-2</v>
      </c>
      <c r="BA473" s="346">
        <f t="shared" si="257"/>
        <v>4.4184194750198885E-2</v>
      </c>
      <c r="BB473" s="346">
        <f t="shared" si="257"/>
        <v>4.4184194750198885E-2</v>
      </c>
      <c r="BC473" s="346">
        <f t="shared" si="257"/>
        <v>4.4184194750198885E-2</v>
      </c>
      <c r="BD473" s="346">
        <f t="shared" si="257"/>
        <v>4.4184194750198885E-2</v>
      </c>
      <c r="BE473" s="346">
        <f t="shared" si="257"/>
        <v>4.4184194750198885E-2</v>
      </c>
    </row>
    <row r="474" spans="1:57" ht="14.25" customHeight="1" x14ac:dyDescent="0.45">
      <c r="A474" s="618"/>
      <c r="B474" s="215"/>
      <c r="C474" s="220"/>
      <c r="D474" s="228" t="s">
        <v>193</v>
      </c>
      <c r="E474" s="346">
        <f t="shared" si="250"/>
        <v>0.1047</v>
      </c>
      <c r="F474" s="346">
        <f t="shared" si="250"/>
        <v>9.6500000000000002E-2</v>
      </c>
      <c r="G474" s="346">
        <f t="shared" si="250"/>
        <v>1.7999999999999999E-2</v>
      </c>
      <c r="H474" s="346">
        <f t="shared" si="250"/>
        <v>9.98E-2</v>
      </c>
      <c r="I474" s="394"/>
      <c r="J474" s="394"/>
      <c r="K474" s="394"/>
      <c r="L474" s="394"/>
      <c r="M474" s="394"/>
      <c r="N474" s="394"/>
      <c r="O474" s="394"/>
      <c r="P474" s="394"/>
      <c r="Q474" s="394"/>
      <c r="R474" s="394"/>
      <c r="S474" s="394"/>
      <c r="T474" s="394"/>
      <c r="U474" s="394"/>
      <c r="V474" s="394"/>
      <c r="W474" s="394"/>
      <c r="X474" s="394"/>
      <c r="Y474" s="394"/>
      <c r="Z474" s="394"/>
      <c r="AA474" s="394"/>
      <c r="AB474" s="394"/>
      <c r="AC474" s="394"/>
      <c r="AD474" s="394"/>
      <c r="AE474" s="394"/>
      <c r="AF474" s="394"/>
      <c r="AG474" s="394"/>
      <c r="AH474" s="394"/>
      <c r="AI474" s="394"/>
      <c r="AJ474" s="394"/>
      <c r="AK474" s="394"/>
      <c r="AL474" s="394"/>
      <c r="AM474" s="394"/>
      <c r="AN474" s="394"/>
      <c r="AO474" s="394"/>
      <c r="AP474" s="394"/>
      <c r="AQ474" s="394"/>
      <c r="AR474" s="394"/>
      <c r="AS474" s="394"/>
      <c r="AT474" s="394"/>
      <c r="AU474" s="394"/>
      <c r="AV474" s="394"/>
      <c r="AW474" s="394"/>
      <c r="AX474" s="394"/>
      <c r="AY474" s="394"/>
      <c r="AZ474" s="394"/>
      <c r="BA474" s="394"/>
      <c r="BB474" s="394"/>
      <c r="BC474" s="394"/>
      <c r="BD474" s="394"/>
      <c r="BE474" s="394"/>
    </row>
    <row r="475" spans="1:57" ht="14.25" customHeight="1" x14ac:dyDescent="0.45">
      <c r="A475" s="618"/>
      <c r="B475" s="215"/>
      <c r="C475" s="220"/>
      <c r="D475" s="247" t="s">
        <v>225</v>
      </c>
      <c r="E475" s="346">
        <f t="shared" si="250"/>
        <v>0</v>
      </c>
      <c r="F475" s="346">
        <f t="shared" si="250"/>
        <v>0</v>
      </c>
      <c r="G475" s="346">
        <f t="shared" si="250"/>
        <v>0</v>
      </c>
      <c r="H475" s="346">
        <f t="shared" si="250"/>
        <v>0</v>
      </c>
      <c r="I475" s="394"/>
      <c r="J475" s="394"/>
      <c r="K475" s="394"/>
      <c r="L475" s="394"/>
      <c r="M475" s="394"/>
      <c r="N475" s="394"/>
      <c r="O475" s="394"/>
      <c r="P475" s="394"/>
      <c r="Q475" s="394"/>
      <c r="R475" s="394"/>
      <c r="S475" s="394"/>
      <c r="T475" s="394"/>
      <c r="U475" s="394"/>
      <c r="V475" s="394"/>
      <c r="W475" s="394"/>
      <c r="X475" s="394"/>
      <c r="Y475" s="394"/>
      <c r="Z475" s="394"/>
      <c r="AA475" s="394"/>
      <c r="AB475" s="394"/>
      <c r="AC475" s="394"/>
      <c r="AD475" s="394"/>
      <c r="AE475" s="394"/>
      <c r="AF475" s="394"/>
      <c r="AG475" s="394"/>
      <c r="AH475" s="394"/>
      <c r="AI475" s="394"/>
      <c r="AJ475" s="394"/>
      <c r="AK475" s="394"/>
      <c r="AL475" s="394"/>
      <c r="AM475" s="394"/>
      <c r="AN475" s="394"/>
      <c r="AO475" s="394"/>
      <c r="AP475" s="394"/>
      <c r="AQ475" s="394"/>
      <c r="AR475" s="394"/>
      <c r="AS475" s="394"/>
      <c r="AT475" s="394"/>
      <c r="AU475" s="394"/>
      <c r="AV475" s="394"/>
      <c r="AW475" s="394"/>
      <c r="AX475" s="394"/>
      <c r="AY475" s="394"/>
      <c r="AZ475" s="394"/>
      <c r="BA475" s="394"/>
      <c r="BB475" s="394"/>
      <c r="BC475" s="394"/>
      <c r="BD475" s="394"/>
      <c r="BE475" s="394"/>
    </row>
    <row r="476" spans="1:57" ht="14.25" customHeight="1" x14ac:dyDescent="0.45">
      <c r="A476" s="618"/>
      <c r="B476" s="215"/>
      <c r="C476" s="220" t="s">
        <v>250</v>
      </c>
      <c r="D476" s="243" t="s">
        <v>236</v>
      </c>
      <c r="E476" s="346">
        <f t="shared" si="250"/>
        <v>0</v>
      </c>
      <c r="F476" s="346">
        <f t="shared" si="250"/>
        <v>0</v>
      </c>
      <c r="G476" s="346">
        <f t="shared" si="250"/>
        <v>0</v>
      </c>
      <c r="H476" s="346">
        <f t="shared" si="250"/>
        <v>0</v>
      </c>
      <c r="I476" s="346">
        <f t="shared" ref="I476:BE476" si="258">0.99*I281</f>
        <v>0</v>
      </c>
      <c r="J476" s="346">
        <f t="shared" si="258"/>
        <v>0</v>
      </c>
      <c r="K476" s="346">
        <f t="shared" si="258"/>
        <v>0</v>
      </c>
      <c r="L476" s="346">
        <f t="shared" si="258"/>
        <v>0</v>
      </c>
      <c r="M476" s="346">
        <f t="shared" si="258"/>
        <v>0</v>
      </c>
      <c r="N476" s="346">
        <f t="shared" si="258"/>
        <v>0</v>
      </c>
      <c r="O476" s="346">
        <f t="shared" si="258"/>
        <v>0</v>
      </c>
      <c r="P476" s="346">
        <f t="shared" si="258"/>
        <v>0</v>
      </c>
      <c r="Q476" s="346">
        <f t="shared" si="258"/>
        <v>0</v>
      </c>
      <c r="R476" s="346">
        <f t="shared" si="258"/>
        <v>0</v>
      </c>
      <c r="S476" s="346">
        <f t="shared" si="258"/>
        <v>0</v>
      </c>
      <c r="T476" s="346">
        <f t="shared" si="258"/>
        <v>0</v>
      </c>
      <c r="U476" s="346">
        <f t="shared" si="258"/>
        <v>0</v>
      </c>
      <c r="V476" s="346">
        <f t="shared" si="258"/>
        <v>0</v>
      </c>
      <c r="W476" s="346">
        <f t="shared" si="258"/>
        <v>0</v>
      </c>
      <c r="X476" s="346">
        <f t="shared" si="258"/>
        <v>0</v>
      </c>
      <c r="Y476" s="346">
        <f t="shared" si="258"/>
        <v>0</v>
      </c>
      <c r="Z476" s="346">
        <f t="shared" si="258"/>
        <v>0</v>
      </c>
      <c r="AA476" s="346">
        <f t="shared" si="258"/>
        <v>0</v>
      </c>
      <c r="AB476" s="346">
        <f t="shared" si="258"/>
        <v>0</v>
      </c>
      <c r="AC476" s="346">
        <f t="shared" si="258"/>
        <v>0</v>
      </c>
      <c r="AD476" s="346">
        <f t="shared" si="258"/>
        <v>0</v>
      </c>
      <c r="AE476" s="346">
        <f t="shared" si="258"/>
        <v>0</v>
      </c>
      <c r="AF476" s="346">
        <f t="shared" si="258"/>
        <v>0</v>
      </c>
      <c r="AG476" s="346">
        <f t="shared" si="258"/>
        <v>0</v>
      </c>
      <c r="AH476" s="346">
        <f t="shared" si="258"/>
        <v>0</v>
      </c>
      <c r="AI476" s="346">
        <f t="shared" si="258"/>
        <v>0</v>
      </c>
      <c r="AJ476" s="346">
        <f t="shared" si="258"/>
        <v>0</v>
      </c>
      <c r="AK476" s="346">
        <f t="shared" si="258"/>
        <v>0</v>
      </c>
      <c r="AL476" s="346">
        <f t="shared" si="258"/>
        <v>0</v>
      </c>
      <c r="AM476" s="346">
        <f t="shared" si="258"/>
        <v>0</v>
      </c>
      <c r="AN476" s="346">
        <f t="shared" si="258"/>
        <v>0</v>
      </c>
      <c r="AO476" s="346">
        <f t="shared" si="258"/>
        <v>0</v>
      </c>
      <c r="AP476" s="346">
        <f t="shared" si="258"/>
        <v>0</v>
      </c>
      <c r="AQ476" s="346">
        <f t="shared" si="258"/>
        <v>0</v>
      </c>
      <c r="AR476" s="346">
        <f t="shared" si="258"/>
        <v>0</v>
      </c>
      <c r="AS476" s="346">
        <f t="shared" si="258"/>
        <v>0</v>
      </c>
      <c r="AT476" s="346">
        <f t="shared" si="258"/>
        <v>0</v>
      </c>
      <c r="AU476" s="346">
        <f t="shared" si="258"/>
        <v>0</v>
      </c>
      <c r="AV476" s="346">
        <f t="shared" si="258"/>
        <v>0</v>
      </c>
      <c r="AW476" s="346">
        <f t="shared" si="258"/>
        <v>0</v>
      </c>
      <c r="AX476" s="346">
        <f t="shared" si="258"/>
        <v>0</v>
      </c>
      <c r="AY476" s="346">
        <f t="shared" si="258"/>
        <v>0</v>
      </c>
      <c r="AZ476" s="346">
        <f t="shared" si="258"/>
        <v>0</v>
      </c>
      <c r="BA476" s="346">
        <f t="shared" si="258"/>
        <v>0</v>
      </c>
      <c r="BB476" s="346">
        <f t="shared" si="258"/>
        <v>0</v>
      </c>
      <c r="BC476" s="346">
        <f t="shared" si="258"/>
        <v>0</v>
      </c>
      <c r="BD476" s="346">
        <f t="shared" si="258"/>
        <v>0</v>
      </c>
      <c r="BE476" s="346">
        <f t="shared" si="258"/>
        <v>0</v>
      </c>
    </row>
    <row r="477" spans="1:57" ht="14.25" customHeight="1" x14ac:dyDescent="0.45">
      <c r="A477" s="618"/>
      <c r="B477" s="215"/>
      <c r="C477" s="220"/>
      <c r="D477" s="247" t="s">
        <v>230</v>
      </c>
      <c r="E477" s="346">
        <f t="shared" si="250"/>
        <v>0</v>
      </c>
      <c r="F477" s="346">
        <f t="shared" si="250"/>
        <v>0</v>
      </c>
      <c r="G477" s="346">
        <f t="shared" si="250"/>
        <v>0</v>
      </c>
      <c r="H477" s="346">
        <f t="shared" si="250"/>
        <v>0</v>
      </c>
      <c r="I477" s="394"/>
      <c r="J477" s="394"/>
      <c r="K477" s="394"/>
      <c r="L477" s="394"/>
      <c r="M477" s="394"/>
      <c r="N477" s="394"/>
      <c r="O477" s="394"/>
      <c r="P477" s="394"/>
      <c r="Q477" s="394"/>
      <c r="R477" s="394"/>
      <c r="S477" s="394"/>
      <c r="T477" s="394"/>
      <c r="U477" s="394"/>
      <c r="V477" s="394"/>
      <c r="W477" s="394"/>
      <c r="X477" s="394"/>
      <c r="Y477" s="394"/>
      <c r="Z477" s="394"/>
      <c r="AA477" s="394"/>
      <c r="AB477" s="394"/>
      <c r="AC477" s="394"/>
      <c r="AD477" s="394"/>
      <c r="AE477" s="394"/>
      <c r="AF477" s="394"/>
      <c r="AG477" s="394"/>
      <c r="AH477" s="394"/>
      <c r="AI477" s="394"/>
      <c r="AJ477" s="394"/>
      <c r="AK477" s="394"/>
      <c r="AL477" s="394"/>
      <c r="AM477" s="394"/>
      <c r="AN477" s="394"/>
      <c r="AO477" s="394"/>
      <c r="AP477" s="394"/>
      <c r="AQ477" s="394"/>
      <c r="AR477" s="394"/>
      <c r="AS477" s="394"/>
      <c r="AT477" s="394"/>
      <c r="AU477" s="394"/>
      <c r="AV477" s="394"/>
      <c r="AW477" s="394"/>
      <c r="AX477" s="394"/>
      <c r="AY477" s="394"/>
      <c r="AZ477" s="394"/>
      <c r="BA477" s="394"/>
      <c r="BB477" s="394"/>
      <c r="BC477" s="394"/>
      <c r="BD477" s="394"/>
      <c r="BE477" s="394"/>
    </row>
    <row r="478" spans="1:57" ht="14.25" customHeight="1" x14ac:dyDescent="0.45">
      <c r="A478" s="618"/>
      <c r="B478" s="215"/>
      <c r="C478" s="220" t="s">
        <v>251</v>
      </c>
      <c r="D478" s="243" t="s">
        <v>236</v>
      </c>
      <c r="E478" s="346">
        <f t="shared" si="250"/>
        <v>1E-4</v>
      </c>
      <c r="F478" s="346">
        <f t="shared" si="250"/>
        <v>0</v>
      </c>
      <c r="G478" s="346">
        <f t="shared" si="250"/>
        <v>0</v>
      </c>
      <c r="H478" s="346">
        <f t="shared" si="250"/>
        <v>0</v>
      </c>
      <c r="I478" s="346">
        <f t="shared" ref="I478:BE478" si="259">0.99*I283</f>
        <v>4.2741171589124035E-7</v>
      </c>
      <c r="J478" s="346">
        <f t="shared" si="259"/>
        <v>4.2741171589124035E-7</v>
      </c>
      <c r="K478" s="346">
        <f t="shared" si="259"/>
        <v>4.2741171589124035E-7</v>
      </c>
      <c r="L478" s="346">
        <f t="shared" si="259"/>
        <v>4.2741171589124035E-7</v>
      </c>
      <c r="M478" s="346">
        <f t="shared" si="259"/>
        <v>4.2741171589124035E-7</v>
      </c>
      <c r="N478" s="346">
        <f t="shared" si="259"/>
        <v>4.2741171589124035E-7</v>
      </c>
      <c r="O478" s="346">
        <f t="shared" si="259"/>
        <v>4.2741171589124035E-7</v>
      </c>
      <c r="P478" s="346">
        <f t="shared" si="259"/>
        <v>4.2741171589124035E-7</v>
      </c>
      <c r="Q478" s="346">
        <f t="shared" si="259"/>
        <v>4.2741171589124035E-7</v>
      </c>
      <c r="R478" s="346">
        <f t="shared" si="259"/>
        <v>4.2741171589124035E-7</v>
      </c>
      <c r="S478" s="346">
        <f t="shared" si="259"/>
        <v>4.2741171589124035E-7</v>
      </c>
      <c r="T478" s="346">
        <f t="shared" si="259"/>
        <v>4.2741171589124035E-7</v>
      </c>
      <c r="U478" s="346">
        <f t="shared" si="259"/>
        <v>4.2741171589124035E-7</v>
      </c>
      <c r="V478" s="346">
        <f t="shared" si="259"/>
        <v>4.2741171589124035E-7</v>
      </c>
      <c r="W478" s="346">
        <f t="shared" si="259"/>
        <v>4.2741171589124035E-7</v>
      </c>
      <c r="X478" s="346">
        <f t="shared" si="259"/>
        <v>4.2741171589124035E-7</v>
      </c>
      <c r="Y478" s="346">
        <f t="shared" si="259"/>
        <v>4.2741171589124035E-7</v>
      </c>
      <c r="Z478" s="346">
        <f t="shared" si="259"/>
        <v>4.2741171589124035E-7</v>
      </c>
      <c r="AA478" s="346">
        <f t="shared" si="259"/>
        <v>4.2741171589124035E-7</v>
      </c>
      <c r="AB478" s="346">
        <f t="shared" si="259"/>
        <v>4.2741171589124035E-7</v>
      </c>
      <c r="AC478" s="346">
        <f t="shared" si="259"/>
        <v>4.2741171589124035E-7</v>
      </c>
      <c r="AD478" s="346">
        <f t="shared" si="259"/>
        <v>4.2741171589124035E-7</v>
      </c>
      <c r="AE478" s="346">
        <f t="shared" si="259"/>
        <v>4.2741171589124035E-7</v>
      </c>
      <c r="AF478" s="346">
        <f t="shared" si="259"/>
        <v>4.2741171589124035E-7</v>
      </c>
      <c r="AG478" s="346">
        <f t="shared" si="259"/>
        <v>4.2741171589124035E-7</v>
      </c>
      <c r="AH478" s="346">
        <f t="shared" si="259"/>
        <v>4.2741171589124035E-7</v>
      </c>
      <c r="AI478" s="346">
        <f t="shared" si="259"/>
        <v>4.2741171589124035E-7</v>
      </c>
      <c r="AJ478" s="346">
        <f t="shared" si="259"/>
        <v>4.2741171589124035E-7</v>
      </c>
      <c r="AK478" s="346">
        <f t="shared" si="259"/>
        <v>4.2741171589124035E-7</v>
      </c>
      <c r="AL478" s="346">
        <f t="shared" si="259"/>
        <v>4.2741171589124035E-7</v>
      </c>
      <c r="AM478" s="346">
        <f t="shared" si="259"/>
        <v>4.2741171589124035E-7</v>
      </c>
      <c r="AN478" s="346">
        <f t="shared" si="259"/>
        <v>4.2741171589124035E-7</v>
      </c>
      <c r="AO478" s="346">
        <f t="shared" si="259"/>
        <v>4.2741171589124035E-7</v>
      </c>
      <c r="AP478" s="346">
        <f t="shared" si="259"/>
        <v>4.2741171589124035E-7</v>
      </c>
      <c r="AQ478" s="346">
        <f t="shared" si="259"/>
        <v>4.2741171589124035E-7</v>
      </c>
      <c r="AR478" s="346">
        <f t="shared" si="259"/>
        <v>4.2741171589124035E-7</v>
      </c>
      <c r="AS478" s="346">
        <f t="shared" si="259"/>
        <v>4.2741171589124035E-7</v>
      </c>
      <c r="AT478" s="346">
        <f t="shared" si="259"/>
        <v>4.2741171589124035E-7</v>
      </c>
      <c r="AU478" s="346">
        <f t="shared" si="259"/>
        <v>4.2741171589124035E-7</v>
      </c>
      <c r="AV478" s="346">
        <f t="shared" si="259"/>
        <v>4.2741171589124035E-7</v>
      </c>
      <c r="AW478" s="346">
        <f t="shared" si="259"/>
        <v>4.2741171589124035E-7</v>
      </c>
      <c r="AX478" s="346">
        <f t="shared" si="259"/>
        <v>4.2741171589124035E-7</v>
      </c>
      <c r="AY478" s="346">
        <f t="shared" si="259"/>
        <v>4.2741171589124035E-7</v>
      </c>
      <c r="AZ478" s="346">
        <f t="shared" si="259"/>
        <v>4.2741171589124035E-7</v>
      </c>
      <c r="BA478" s="346">
        <f t="shared" si="259"/>
        <v>4.2741171589124035E-7</v>
      </c>
      <c r="BB478" s="346">
        <f t="shared" si="259"/>
        <v>4.2741171589124035E-7</v>
      </c>
      <c r="BC478" s="346">
        <f t="shared" si="259"/>
        <v>4.2741171589124035E-7</v>
      </c>
      <c r="BD478" s="346">
        <f t="shared" si="259"/>
        <v>4.2741171589124035E-7</v>
      </c>
      <c r="BE478" s="346">
        <f t="shared" si="259"/>
        <v>4.2741171589124035E-7</v>
      </c>
    </row>
    <row r="479" spans="1:57" ht="14.25" customHeight="1" x14ac:dyDescent="0.45">
      <c r="A479" s="618"/>
      <c r="B479" s="215"/>
      <c r="C479" s="220"/>
      <c r="D479" s="247" t="s">
        <v>238</v>
      </c>
      <c r="E479" s="346">
        <f t="shared" si="250"/>
        <v>0</v>
      </c>
      <c r="F479" s="346">
        <f t="shared" si="250"/>
        <v>0</v>
      </c>
      <c r="G479" s="346">
        <f t="shared" si="250"/>
        <v>0</v>
      </c>
      <c r="H479" s="346">
        <f t="shared" si="250"/>
        <v>0</v>
      </c>
      <c r="I479" s="394"/>
      <c r="J479" s="394"/>
      <c r="K479" s="394"/>
      <c r="L479" s="394"/>
      <c r="M479" s="394"/>
      <c r="N479" s="394"/>
      <c r="O479" s="394"/>
      <c r="P479" s="394"/>
      <c r="Q479" s="394"/>
      <c r="R479" s="394"/>
      <c r="S479" s="394"/>
      <c r="T479" s="394"/>
      <c r="U479" s="394"/>
      <c r="V479" s="394"/>
      <c r="W479" s="394"/>
      <c r="X479" s="394"/>
      <c r="Y479" s="394"/>
      <c r="Z479" s="394"/>
      <c r="AA479" s="394"/>
      <c r="AB479" s="394"/>
      <c r="AC479" s="394"/>
      <c r="AD479" s="394"/>
      <c r="AE479" s="394"/>
      <c r="AF479" s="394"/>
      <c r="AG479" s="394"/>
      <c r="AH479" s="394"/>
      <c r="AI479" s="394"/>
      <c r="AJ479" s="394"/>
      <c r="AK479" s="394"/>
      <c r="AL479" s="394"/>
      <c r="AM479" s="394"/>
      <c r="AN479" s="394"/>
      <c r="AO479" s="394"/>
      <c r="AP479" s="394"/>
      <c r="AQ479" s="394"/>
      <c r="AR479" s="394"/>
      <c r="AS479" s="394"/>
      <c r="AT479" s="394"/>
      <c r="AU479" s="394"/>
      <c r="AV479" s="394"/>
      <c r="AW479" s="394"/>
      <c r="AX479" s="394"/>
      <c r="AY479" s="394"/>
      <c r="AZ479" s="394"/>
      <c r="BA479" s="394"/>
      <c r="BB479" s="394"/>
      <c r="BC479" s="394"/>
      <c r="BD479" s="394"/>
      <c r="BE479" s="394"/>
    </row>
    <row r="480" spans="1:57" ht="14.25" customHeight="1" x14ac:dyDescent="0.45">
      <c r="A480" s="618"/>
      <c r="B480" s="215"/>
      <c r="C480" s="220" t="s">
        <v>252</v>
      </c>
      <c r="D480" s="243" t="s">
        <v>245</v>
      </c>
      <c r="E480" s="346">
        <f t="shared" si="250"/>
        <v>0.1046</v>
      </c>
      <c r="F480" s="346">
        <f t="shared" si="250"/>
        <v>9.64E-2</v>
      </c>
      <c r="G480" s="346">
        <f t="shared" si="250"/>
        <v>1.7999999999999999E-2</v>
      </c>
      <c r="H480" s="346">
        <f t="shared" si="250"/>
        <v>9.98E-2</v>
      </c>
      <c r="I480" s="346">
        <f t="shared" ref="I480:BE480" si="260">0.99*I285</f>
        <v>1.8022099941697345E-2</v>
      </c>
      <c r="J480" s="346">
        <f t="shared" si="260"/>
        <v>1.8022099941697345E-2</v>
      </c>
      <c r="K480" s="346">
        <f t="shared" si="260"/>
        <v>1.8022099941697345E-2</v>
      </c>
      <c r="L480" s="346">
        <f t="shared" si="260"/>
        <v>1.8022099941697345E-2</v>
      </c>
      <c r="M480" s="346">
        <f t="shared" si="260"/>
        <v>1.8022099941697345E-2</v>
      </c>
      <c r="N480" s="346">
        <f t="shared" si="260"/>
        <v>1.8022099941697345E-2</v>
      </c>
      <c r="O480" s="346">
        <f t="shared" si="260"/>
        <v>1.8022099941697345E-2</v>
      </c>
      <c r="P480" s="346">
        <f t="shared" si="260"/>
        <v>1.8022099941697345E-2</v>
      </c>
      <c r="Q480" s="346">
        <f t="shared" si="260"/>
        <v>1.8022099941697345E-2</v>
      </c>
      <c r="R480" s="346">
        <f t="shared" si="260"/>
        <v>1.8022099941697345E-2</v>
      </c>
      <c r="S480" s="346">
        <f t="shared" si="260"/>
        <v>1.8022099941697345E-2</v>
      </c>
      <c r="T480" s="346">
        <f t="shared" si="260"/>
        <v>1.8022099941697345E-2</v>
      </c>
      <c r="U480" s="346">
        <f t="shared" si="260"/>
        <v>1.8022099941697345E-2</v>
      </c>
      <c r="V480" s="346">
        <f t="shared" si="260"/>
        <v>1.8022099941697345E-2</v>
      </c>
      <c r="W480" s="346">
        <f t="shared" si="260"/>
        <v>1.8022099941697345E-2</v>
      </c>
      <c r="X480" s="346">
        <f t="shared" si="260"/>
        <v>1.8022099941697345E-2</v>
      </c>
      <c r="Y480" s="346">
        <f t="shared" si="260"/>
        <v>1.8022099941697345E-2</v>
      </c>
      <c r="Z480" s="346">
        <f t="shared" si="260"/>
        <v>1.8022099941697345E-2</v>
      </c>
      <c r="AA480" s="346">
        <f t="shared" si="260"/>
        <v>1.8022099941697345E-2</v>
      </c>
      <c r="AB480" s="346">
        <f t="shared" si="260"/>
        <v>1.8022099941697345E-2</v>
      </c>
      <c r="AC480" s="346">
        <f t="shared" si="260"/>
        <v>1.8022099941697345E-2</v>
      </c>
      <c r="AD480" s="346">
        <f t="shared" si="260"/>
        <v>1.8022099941697345E-2</v>
      </c>
      <c r="AE480" s="346">
        <f t="shared" si="260"/>
        <v>1.8022099941697345E-2</v>
      </c>
      <c r="AF480" s="346">
        <f t="shared" si="260"/>
        <v>1.8022099941697345E-2</v>
      </c>
      <c r="AG480" s="346">
        <f t="shared" si="260"/>
        <v>1.8022099941697345E-2</v>
      </c>
      <c r="AH480" s="346">
        <f t="shared" si="260"/>
        <v>1.8022099941697345E-2</v>
      </c>
      <c r="AI480" s="346">
        <f t="shared" si="260"/>
        <v>1.8022099941697345E-2</v>
      </c>
      <c r="AJ480" s="346">
        <f t="shared" si="260"/>
        <v>1.8022099941697345E-2</v>
      </c>
      <c r="AK480" s="346">
        <f t="shared" si="260"/>
        <v>1.8022099941697345E-2</v>
      </c>
      <c r="AL480" s="346">
        <f t="shared" si="260"/>
        <v>1.8022099941697345E-2</v>
      </c>
      <c r="AM480" s="346">
        <f t="shared" si="260"/>
        <v>1.8022099941697345E-2</v>
      </c>
      <c r="AN480" s="346">
        <f t="shared" si="260"/>
        <v>1.8022099941697345E-2</v>
      </c>
      <c r="AO480" s="346">
        <f t="shared" si="260"/>
        <v>1.8022099941697345E-2</v>
      </c>
      <c r="AP480" s="346">
        <f t="shared" si="260"/>
        <v>1.8022099941697345E-2</v>
      </c>
      <c r="AQ480" s="346">
        <f t="shared" si="260"/>
        <v>1.8022099941697345E-2</v>
      </c>
      <c r="AR480" s="346">
        <f t="shared" si="260"/>
        <v>1.8022099941697345E-2</v>
      </c>
      <c r="AS480" s="346">
        <f t="shared" si="260"/>
        <v>1.8022099941697345E-2</v>
      </c>
      <c r="AT480" s="346">
        <f t="shared" si="260"/>
        <v>1.8022099941697345E-2</v>
      </c>
      <c r="AU480" s="346">
        <f t="shared" si="260"/>
        <v>1.8022099941697345E-2</v>
      </c>
      <c r="AV480" s="346">
        <f t="shared" si="260"/>
        <v>1.8022099941697345E-2</v>
      </c>
      <c r="AW480" s="346">
        <f t="shared" si="260"/>
        <v>1.8022099941697345E-2</v>
      </c>
      <c r="AX480" s="346">
        <f t="shared" si="260"/>
        <v>1.8022099941697345E-2</v>
      </c>
      <c r="AY480" s="346">
        <f t="shared" si="260"/>
        <v>1.8022099941697345E-2</v>
      </c>
      <c r="AZ480" s="346">
        <f t="shared" si="260"/>
        <v>1.8022099941697345E-2</v>
      </c>
      <c r="BA480" s="346">
        <f t="shared" si="260"/>
        <v>1.8022099941697345E-2</v>
      </c>
      <c r="BB480" s="346">
        <f t="shared" si="260"/>
        <v>1.8022099941697345E-2</v>
      </c>
      <c r="BC480" s="346">
        <f t="shared" si="260"/>
        <v>1.8022099941697345E-2</v>
      </c>
      <c r="BD480" s="346">
        <f t="shared" si="260"/>
        <v>1.8022099941697345E-2</v>
      </c>
      <c r="BE480" s="346">
        <f t="shared" si="260"/>
        <v>1.8022099941697345E-2</v>
      </c>
    </row>
    <row r="481" spans="1:57" ht="14.25" customHeight="1" x14ac:dyDescent="0.45">
      <c r="A481" s="618"/>
      <c r="B481" s="215"/>
      <c r="C481" s="220"/>
      <c r="D481" s="314" t="s">
        <v>347</v>
      </c>
      <c r="E481" s="346">
        <f t="shared" si="250"/>
        <v>0</v>
      </c>
      <c r="F481" s="346">
        <f t="shared" si="250"/>
        <v>0</v>
      </c>
      <c r="G481" s="346">
        <f t="shared" si="250"/>
        <v>0</v>
      </c>
      <c r="H481" s="346">
        <f t="shared" si="250"/>
        <v>0</v>
      </c>
      <c r="I481" s="394"/>
      <c r="J481" s="394"/>
      <c r="K481" s="394"/>
      <c r="L481" s="394"/>
      <c r="M481" s="394"/>
      <c r="N481" s="394"/>
      <c r="O481" s="394"/>
      <c r="P481" s="394"/>
      <c r="Q481" s="394"/>
      <c r="R481" s="394"/>
      <c r="S481" s="394"/>
      <c r="T481" s="394"/>
      <c r="U481" s="394"/>
      <c r="V481" s="394"/>
      <c r="W481" s="394"/>
      <c r="X481" s="394"/>
      <c r="Y481" s="394"/>
      <c r="Z481" s="394"/>
      <c r="AA481" s="394"/>
      <c r="AB481" s="394"/>
      <c r="AC481" s="394"/>
      <c r="AD481" s="394"/>
      <c r="AE481" s="394"/>
      <c r="AF481" s="394"/>
      <c r="AG481" s="394"/>
      <c r="AH481" s="394"/>
      <c r="AI481" s="394"/>
      <c r="AJ481" s="394"/>
      <c r="AK481" s="394"/>
      <c r="AL481" s="394"/>
      <c r="AM481" s="394"/>
      <c r="AN481" s="394"/>
      <c r="AO481" s="394"/>
      <c r="AP481" s="394"/>
      <c r="AQ481" s="394"/>
      <c r="AR481" s="394"/>
      <c r="AS481" s="394"/>
      <c r="AT481" s="394"/>
      <c r="AU481" s="394"/>
      <c r="AV481" s="394"/>
      <c r="AW481" s="394"/>
      <c r="AX481" s="394"/>
      <c r="AY481" s="394"/>
      <c r="AZ481" s="394"/>
      <c r="BA481" s="394"/>
      <c r="BB481" s="394"/>
      <c r="BC481" s="394"/>
      <c r="BD481" s="394"/>
      <c r="BE481" s="394"/>
    </row>
    <row r="482" spans="1:57" ht="14.25" customHeight="1" x14ac:dyDescent="0.45">
      <c r="A482" s="618"/>
      <c r="B482" s="215"/>
      <c r="C482" s="220"/>
      <c r="D482" s="221" t="s">
        <v>59</v>
      </c>
      <c r="E482" s="244">
        <f t="shared" ref="E482:BE482" si="261">SUM(E446+E450+E451+E453+E454+E456+E457+E461+E465+E466+E467+E468+E471+E472+E473+E476+E478+E480+E463)</f>
        <v>13.775299999999998</v>
      </c>
      <c r="F482" s="244">
        <f t="shared" si="261"/>
        <v>14.673799999999998</v>
      </c>
      <c r="G482" s="244">
        <f t="shared" si="261"/>
        <v>14.059999999999999</v>
      </c>
      <c r="H482" s="244">
        <f t="shared" si="261"/>
        <v>14.366000000000001</v>
      </c>
      <c r="I482" s="244">
        <f t="shared" si="261"/>
        <v>13.964062559720444</v>
      </c>
      <c r="J482" s="244">
        <f t="shared" si="261"/>
        <v>13.970504280821462</v>
      </c>
      <c r="K482" s="244">
        <f t="shared" si="261"/>
        <v>13.976969067256984</v>
      </c>
      <c r="L482" s="244">
        <f t="shared" si="261"/>
        <v>13.983580352360264</v>
      </c>
      <c r="M482" s="244">
        <f t="shared" si="261"/>
        <v>13.997276471931672</v>
      </c>
      <c r="N482" s="244">
        <f t="shared" si="261"/>
        <v>14.011033504744455</v>
      </c>
      <c r="O482" s="244">
        <f t="shared" si="261"/>
        <v>14.024901910708305</v>
      </c>
      <c r="P482" s="244">
        <f t="shared" si="261"/>
        <v>14.0388361769635</v>
      </c>
      <c r="Q482" s="244">
        <f t="shared" si="261"/>
        <v>14.052900572141827</v>
      </c>
      <c r="R482" s="244">
        <f t="shared" si="261"/>
        <v>14.063841499493495</v>
      </c>
      <c r="S482" s="244">
        <f t="shared" si="261"/>
        <v>14.074848201100854</v>
      </c>
      <c r="T482" s="244">
        <f t="shared" si="261"/>
        <v>14.085943820554201</v>
      </c>
      <c r="U482" s="244">
        <f t="shared" si="261"/>
        <v>14.097097772179373</v>
      </c>
      <c r="V482" s="244">
        <f t="shared" si="261"/>
        <v>14.108290052687355</v>
      </c>
      <c r="W482" s="244">
        <f t="shared" si="261"/>
        <v>14.119533524408075</v>
      </c>
      <c r="X482" s="244">
        <f t="shared" si="261"/>
        <v>14.130793514973911</v>
      </c>
      <c r="Y482" s="244">
        <f t="shared" si="261"/>
        <v>14.142097555793397</v>
      </c>
      <c r="Z482" s="244">
        <f t="shared" si="261"/>
        <v>14.153454852681259</v>
      </c>
      <c r="AA482" s="244">
        <f t="shared" si="261"/>
        <v>14.164793608886187</v>
      </c>
      <c r="AB482" s="244">
        <f t="shared" si="261"/>
        <v>14.174511482220099</v>
      </c>
      <c r="AC482" s="244">
        <f t="shared" si="261"/>
        <v>14.184165302011351</v>
      </c>
      <c r="AD482" s="244">
        <f t="shared" si="261"/>
        <v>14.193819638016514</v>
      </c>
      <c r="AE482" s="244">
        <f t="shared" si="261"/>
        <v>14.203362815959739</v>
      </c>
      <c r="AF482" s="244">
        <f t="shared" si="261"/>
        <v>14.21280361147749</v>
      </c>
      <c r="AG482" s="244">
        <f t="shared" si="261"/>
        <v>14.222129248275499</v>
      </c>
      <c r="AH482" s="244">
        <f t="shared" si="261"/>
        <v>14.231309054643953</v>
      </c>
      <c r="AI482" s="244">
        <f t="shared" si="261"/>
        <v>14.240338642764611</v>
      </c>
      <c r="AJ482" s="244">
        <f t="shared" si="261"/>
        <v>14.249250964292065</v>
      </c>
      <c r="AK482" s="244">
        <f t="shared" si="261"/>
        <v>14.25800463607786</v>
      </c>
      <c r="AL482" s="244">
        <f t="shared" si="261"/>
        <v>14.279009271472818</v>
      </c>
      <c r="AM482" s="244">
        <f t="shared" si="261"/>
        <v>14.289953671881014</v>
      </c>
      <c r="AN482" s="244">
        <f t="shared" si="261"/>
        <v>14.300898072289211</v>
      </c>
      <c r="AO482" s="244">
        <f t="shared" si="261"/>
        <v>14.311842472697409</v>
      </c>
      <c r="AP482" s="244">
        <f t="shared" si="261"/>
        <v>14.322786873105608</v>
      </c>
      <c r="AQ482" s="244">
        <f t="shared" si="261"/>
        <v>14.333731273513804</v>
      </c>
      <c r="AR482" s="244">
        <f t="shared" si="261"/>
        <v>14.344675673921998</v>
      </c>
      <c r="AS482" s="244">
        <f t="shared" si="261"/>
        <v>14.355620074330197</v>
      </c>
      <c r="AT482" s="244">
        <f t="shared" si="261"/>
        <v>14.366564474738393</v>
      </c>
      <c r="AU482" s="244">
        <f t="shared" si="261"/>
        <v>14.377508875146589</v>
      </c>
      <c r="AV482" s="244">
        <f t="shared" si="261"/>
        <v>14.388453275554784</v>
      </c>
      <c r="AW482" s="244">
        <f t="shared" si="261"/>
        <v>14.399397675962982</v>
      </c>
      <c r="AX482" s="244">
        <f t="shared" si="261"/>
        <v>14.410342076371178</v>
      </c>
      <c r="AY482" s="244">
        <f t="shared" si="261"/>
        <v>14.421286476779375</v>
      </c>
      <c r="AZ482" s="244">
        <f t="shared" si="261"/>
        <v>14.432230877187571</v>
      </c>
      <c r="BA482" s="244">
        <f t="shared" si="261"/>
        <v>14.44317527759577</v>
      </c>
      <c r="BB482" s="244">
        <f t="shared" si="261"/>
        <v>14.454119678003966</v>
      </c>
      <c r="BC482" s="244">
        <f t="shared" si="261"/>
        <v>14.465064078412164</v>
      </c>
      <c r="BD482" s="244">
        <f t="shared" si="261"/>
        <v>14.47600847882036</v>
      </c>
      <c r="BE482" s="244">
        <f t="shared" si="261"/>
        <v>14.486952879228555</v>
      </c>
    </row>
    <row r="483" spans="1:57" ht="16.5" customHeight="1" x14ac:dyDescent="0.45">
      <c r="A483" s="1"/>
      <c r="B483" s="1"/>
      <c r="C483" s="1"/>
      <c r="D483" s="55"/>
      <c r="E483" s="55"/>
      <c r="F483" s="55"/>
      <c r="G483" s="55"/>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3"/>
      <c r="AN483" s="3"/>
      <c r="AO483" s="3"/>
      <c r="AP483" s="3"/>
      <c r="AQ483" s="3"/>
      <c r="AR483" s="3"/>
      <c r="AS483" s="3"/>
      <c r="AT483" s="3"/>
      <c r="AU483" s="3"/>
      <c r="AV483" s="3"/>
      <c r="AW483" s="3"/>
      <c r="AX483" s="3"/>
      <c r="AY483" s="3"/>
      <c r="AZ483" s="3"/>
      <c r="BA483" s="3"/>
      <c r="BB483" s="3"/>
      <c r="BC483" s="3"/>
      <c r="BD483" s="3"/>
      <c r="BE483" s="3"/>
    </row>
    <row r="484" spans="1:57" ht="16.5" customHeight="1" x14ac:dyDescent="0.45">
      <c r="A484" s="1"/>
      <c r="B484" s="1"/>
      <c r="C484" s="1"/>
      <c r="D484" s="55"/>
      <c r="E484" s="55"/>
      <c r="F484" s="55"/>
      <c r="G484" s="55"/>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3"/>
      <c r="AN484" s="3"/>
      <c r="AO484" s="3"/>
      <c r="AP484" s="3"/>
      <c r="AQ484" s="3"/>
      <c r="AR484" s="3"/>
      <c r="AS484" s="3"/>
      <c r="AT484" s="3"/>
      <c r="AU484" s="3"/>
      <c r="AV484" s="3"/>
      <c r="AW484" s="3"/>
      <c r="AX484" s="3"/>
      <c r="AY484" s="3"/>
      <c r="AZ484" s="3"/>
      <c r="BA484" s="3"/>
      <c r="BB484" s="3"/>
      <c r="BC484" s="3"/>
      <c r="BD484" s="3"/>
      <c r="BE484" s="3"/>
    </row>
    <row r="485" spans="1:57" ht="16.5" customHeight="1" x14ac:dyDescent="0.45">
      <c r="A485" s="1"/>
      <c r="B485" s="1"/>
      <c r="C485" s="1"/>
      <c r="D485" s="55"/>
      <c r="E485" s="62">
        <f t="shared" ref="E485:BE485" si="262">E441+E482</f>
        <v>104.1571</v>
      </c>
      <c r="F485" s="62">
        <f t="shared" si="262"/>
        <v>114.98780000000001</v>
      </c>
      <c r="G485" s="62">
        <f t="shared" si="262"/>
        <v>111.29820000000001</v>
      </c>
      <c r="H485" s="62">
        <f t="shared" si="262"/>
        <v>114.71350000000001</v>
      </c>
      <c r="I485" s="62">
        <f t="shared" si="262"/>
        <v>112.75466255972046</v>
      </c>
      <c r="J485" s="62">
        <f t="shared" si="262"/>
        <v>115.59440428082146</v>
      </c>
      <c r="K485" s="62">
        <f t="shared" si="262"/>
        <v>118.612569067257</v>
      </c>
      <c r="L485" s="62">
        <f t="shared" si="262"/>
        <v>121.16188035236027</v>
      </c>
      <c r="M485" s="62">
        <f t="shared" si="262"/>
        <v>123.68367647193166</v>
      </c>
      <c r="N485" s="62">
        <f t="shared" si="262"/>
        <v>126.74853350474446</v>
      </c>
      <c r="O485" s="62">
        <f t="shared" si="262"/>
        <v>129.9032019107083</v>
      </c>
      <c r="P485" s="62">
        <f t="shared" si="262"/>
        <v>132.1085361769635</v>
      </c>
      <c r="Q485" s="62">
        <f t="shared" si="262"/>
        <v>134.94090057214183</v>
      </c>
      <c r="R485" s="62">
        <f t="shared" si="262"/>
        <v>138.25184149949348</v>
      </c>
      <c r="S485" s="62">
        <f t="shared" si="262"/>
        <v>141.28734820110085</v>
      </c>
      <c r="T485" s="62">
        <f t="shared" si="262"/>
        <v>144.46794382055418</v>
      </c>
      <c r="U485" s="62">
        <f t="shared" si="262"/>
        <v>147.49289777217939</v>
      </c>
      <c r="V485" s="62">
        <f t="shared" si="262"/>
        <v>150.23419005268735</v>
      </c>
      <c r="W485" s="62">
        <f t="shared" si="262"/>
        <v>153.53493352440807</v>
      </c>
      <c r="X485" s="62">
        <f t="shared" si="262"/>
        <v>156.2641935149739</v>
      </c>
      <c r="Y485" s="62">
        <f t="shared" si="262"/>
        <v>159.39449755579341</v>
      </c>
      <c r="Z485" s="62">
        <f t="shared" si="262"/>
        <v>162.52415485268125</v>
      </c>
      <c r="AA485" s="62">
        <f t="shared" si="262"/>
        <v>165.6368936088862</v>
      </c>
      <c r="AB485" s="62">
        <f t="shared" si="262"/>
        <v>168.57651148222013</v>
      </c>
      <c r="AC485" s="62">
        <f t="shared" si="262"/>
        <v>171.69726530201137</v>
      </c>
      <c r="AD485" s="62">
        <f t="shared" si="262"/>
        <v>174.02541963801653</v>
      </c>
      <c r="AE485" s="62">
        <f t="shared" si="262"/>
        <v>177.14876281595974</v>
      </c>
      <c r="AF485" s="62">
        <f t="shared" si="262"/>
        <v>179.68760361147747</v>
      </c>
      <c r="AG485" s="62">
        <f t="shared" si="262"/>
        <v>183.00202924827551</v>
      </c>
      <c r="AH485" s="62">
        <f t="shared" si="262"/>
        <v>185.59110905464397</v>
      </c>
      <c r="AI485" s="62">
        <f t="shared" si="262"/>
        <v>188.2623386427646</v>
      </c>
      <c r="AJ485" s="62">
        <f t="shared" si="262"/>
        <v>190.89005096429207</v>
      </c>
      <c r="AK485" s="62">
        <f t="shared" si="262"/>
        <v>193.62650463607787</v>
      </c>
      <c r="AL485" s="62">
        <f t="shared" si="262"/>
        <v>198.71410927147284</v>
      </c>
      <c r="AM485" s="62">
        <f t="shared" si="262"/>
        <v>201.36025367188103</v>
      </c>
      <c r="AN485" s="62">
        <f t="shared" si="262"/>
        <v>204.02749807228921</v>
      </c>
      <c r="AO485" s="62">
        <f t="shared" si="262"/>
        <v>206.68434247269744</v>
      </c>
      <c r="AP485" s="62">
        <f t="shared" si="262"/>
        <v>209.4254868731056</v>
      </c>
      <c r="AQ485" s="62">
        <f t="shared" si="262"/>
        <v>212.14543127351379</v>
      </c>
      <c r="AR485" s="62">
        <f t="shared" si="262"/>
        <v>214.86547567392199</v>
      </c>
      <c r="AS485" s="62">
        <f t="shared" si="262"/>
        <v>217.58552007433022</v>
      </c>
      <c r="AT485" s="62">
        <f t="shared" si="262"/>
        <v>220.32666447473841</v>
      </c>
      <c r="AU485" s="62">
        <f t="shared" si="262"/>
        <v>223.1099088751466</v>
      </c>
      <c r="AV485" s="62">
        <f t="shared" si="262"/>
        <v>225.91425327555476</v>
      </c>
      <c r="AW485" s="62">
        <f t="shared" si="262"/>
        <v>228.76069767596297</v>
      </c>
      <c r="AX485" s="62">
        <f t="shared" si="262"/>
        <v>231.59674207637119</v>
      </c>
      <c r="AY485" s="62">
        <f t="shared" si="262"/>
        <v>234.46428647677942</v>
      </c>
      <c r="AZ485" s="62">
        <f t="shared" si="262"/>
        <v>237.3634308771876</v>
      </c>
      <c r="BA485" s="62">
        <f t="shared" si="262"/>
        <v>240.21547527759577</v>
      </c>
      <c r="BB485" s="62">
        <f t="shared" si="262"/>
        <v>243.08811967800401</v>
      </c>
      <c r="BC485" s="62">
        <f t="shared" si="262"/>
        <v>245.98156407841216</v>
      </c>
      <c r="BD485" s="62">
        <f t="shared" si="262"/>
        <v>248.90620847882036</v>
      </c>
      <c r="BE485" s="62">
        <f t="shared" si="262"/>
        <v>251.85155287922859</v>
      </c>
    </row>
    <row r="486" spans="1:57" ht="16.5" customHeight="1" x14ac:dyDescent="0.45">
      <c r="A486" s="1"/>
      <c r="B486" s="1"/>
      <c r="C486" s="1"/>
      <c r="D486" s="55"/>
      <c r="E486" s="618">
        <v>103.049872078882</v>
      </c>
      <c r="F486" s="618">
        <v>114.69072230717089</v>
      </c>
      <c r="G486" s="618">
        <v>110.69952109857738</v>
      </c>
      <c r="H486" s="618">
        <v>113.52246943274504</v>
      </c>
      <c r="I486" s="618">
        <v>115.82874600265964</v>
      </c>
      <c r="J486" s="618">
        <v>118.66675208130975</v>
      </c>
      <c r="K486" s="618">
        <v>121.71544385132638</v>
      </c>
      <c r="L486" s="618">
        <v>124.29055411982328</v>
      </c>
      <c r="M486" s="618">
        <v>126.83774835397161</v>
      </c>
      <c r="N486" s="618">
        <v>129.9335260812519</v>
      </c>
      <c r="O486" s="618">
        <v>133.1201985564195</v>
      </c>
      <c r="P486" s="618">
        <v>135.34794978839281</v>
      </c>
      <c r="Q486" s="618">
        <v>138.20890797463019</v>
      </c>
      <c r="R486" s="618">
        <v>141.53903988875226</v>
      </c>
      <c r="S486" s="618">
        <v>144.60501547733043</v>
      </c>
      <c r="T486" s="618">
        <v>147.81779667188866</v>
      </c>
      <c r="U486" s="618">
        <v>150.87335537568077</v>
      </c>
      <c r="V486" s="618">
        <v>153.64237163828295</v>
      </c>
      <c r="W486" s="618">
        <v>156.98697285130987</v>
      </c>
      <c r="X486" s="618">
        <v>159.75257659794087</v>
      </c>
      <c r="Y486" s="618">
        <v>162.92469576798152</v>
      </c>
      <c r="Z486" s="618">
        <v>166.09599959319684</v>
      </c>
      <c r="AA486" s="618">
        <v>169.25034167421853</v>
      </c>
      <c r="AB486" s="618">
        <v>172.22914457251051</v>
      </c>
      <c r="AC486" s="618">
        <v>175.39145985768792</v>
      </c>
      <c r="AD486" s="618">
        <v>177.75072709622697</v>
      </c>
      <c r="AE486" s="618">
        <v>180.91563344620414</v>
      </c>
      <c r="AF486" s="618">
        <v>183.48823601493854</v>
      </c>
      <c r="AG486" s="618">
        <v>186.84693061120086</v>
      </c>
      <c r="AH486" s="618">
        <v>189.47040522199299</v>
      </c>
      <c r="AI486" s="618">
        <v>192.17713360532679</v>
      </c>
      <c r="AJ486" s="618">
        <v>194.84006078283932</v>
      </c>
      <c r="AK486" s="618">
        <v>197.61306524679856</v>
      </c>
      <c r="AL486" s="1">
        <v>203.33008417492519</v>
      </c>
      <c r="AM486" s="3">
        <v>206.30372155268932</v>
      </c>
      <c r="AN486" s="3">
        <v>209.30105325218861</v>
      </c>
      <c r="AO486" s="3">
        <v>212.28653779082032</v>
      </c>
      <c r="AP486" s="3">
        <v>215.36679961639265</v>
      </c>
      <c r="AQ486" s="3">
        <v>218.42336712022984</v>
      </c>
      <c r="AR486" s="3">
        <v>221.47993462406706</v>
      </c>
      <c r="AS486" s="3">
        <v>224.53650212790427</v>
      </c>
      <c r="AT486" s="3">
        <v>227.61676395347664</v>
      </c>
      <c r="AU486" s="3">
        <v>230.74441442251941</v>
      </c>
      <c r="AV486" s="3">
        <v>233.89575921329728</v>
      </c>
      <c r="AW486" s="3">
        <v>237.09449264754554</v>
      </c>
      <c r="AX486" s="3">
        <v>240.28137892092619</v>
      </c>
      <c r="AY486" s="3">
        <v>243.50380667690959</v>
      </c>
      <c r="AZ486" s="3">
        <v>246.7617759154958</v>
      </c>
      <c r="BA486" s="3">
        <v>250.01974515408193</v>
      </c>
      <c r="BB486" s="3">
        <v>253.30140871440327</v>
      </c>
      <c r="BC486" s="3">
        <v>256.60676659645975</v>
      </c>
      <c r="BD486" s="3">
        <v>259.94766596111901</v>
      </c>
      <c r="BE486" s="3">
        <v>263.31225964751343</v>
      </c>
    </row>
    <row r="487" spans="1:57" ht="16.5" customHeight="1" x14ac:dyDescent="0.45">
      <c r="A487" s="1"/>
      <c r="B487" s="1"/>
      <c r="C487" s="1"/>
      <c r="D487" s="55"/>
      <c r="E487" s="62">
        <f t="shared" ref="E487:BE487" si="263">E486-E485</f>
        <v>-1.1072279211179961</v>
      </c>
      <c r="F487" s="62">
        <f t="shared" si="263"/>
        <v>-0.29707769282912011</v>
      </c>
      <c r="G487" s="62">
        <f t="shared" si="263"/>
        <v>-0.59867890142263036</v>
      </c>
      <c r="H487" s="62">
        <f t="shared" si="263"/>
        <v>-1.1910305672549697</v>
      </c>
      <c r="I487" s="62">
        <f t="shared" si="263"/>
        <v>3.0740834429391839</v>
      </c>
      <c r="J487" s="62">
        <f t="shared" si="263"/>
        <v>3.0723478004882878</v>
      </c>
      <c r="K487" s="62">
        <f t="shared" si="263"/>
        <v>3.1028747840693853</v>
      </c>
      <c r="L487" s="62">
        <f t="shared" si="263"/>
        <v>3.1286737674630132</v>
      </c>
      <c r="M487" s="62">
        <f t="shared" si="263"/>
        <v>3.1540718820399434</v>
      </c>
      <c r="N487" s="62">
        <f t="shared" si="263"/>
        <v>3.1849925765074403</v>
      </c>
      <c r="O487" s="62">
        <f t="shared" si="263"/>
        <v>3.2169966457111911</v>
      </c>
      <c r="P487" s="62">
        <f t="shared" si="263"/>
        <v>3.2394136114293133</v>
      </c>
      <c r="Q487" s="62">
        <f t="shared" si="263"/>
        <v>3.2680074024883652</v>
      </c>
      <c r="R487" s="62">
        <f t="shared" si="263"/>
        <v>3.2871983892587764</v>
      </c>
      <c r="S487" s="62">
        <f t="shared" si="263"/>
        <v>3.3176672762295709</v>
      </c>
      <c r="T487" s="62">
        <f t="shared" si="263"/>
        <v>3.3498528513344752</v>
      </c>
      <c r="U487" s="62">
        <f t="shared" si="263"/>
        <v>3.3804576035013838</v>
      </c>
      <c r="V487" s="62">
        <f t="shared" si="263"/>
        <v>3.4081815855955995</v>
      </c>
      <c r="W487" s="62">
        <f t="shared" si="263"/>
        <v>3.4520393269017973</v>
      </c>
      <c r="X487" s="62">
        <f t="shared" si="263"/>
        <v>3.4883830829669762</v>
      </c>
      <c r="Y487" s="62">
        <f t="shared" si="263"/>
        <v>3.530198212188111</v>
      </c>
      <c r="Z487" s="62">
        <f t="shared" si="263"/>
        <v>3.5718447405155871</v>
      </c>
      <c r="AA487" s="62">
        <f t="shared" si="263"/>
        <v>3.6134480653323351</v>
      </c>
      <c r="AB487" s="62">
        <f t="shared" si="263"/>
        <v>3.6526330902903794</v>
      </c>
      <c r="AC487" s="62">
        <f t="shared" si="263"/>
        <v>3.6941945556765461</v>
      </c>
      <c r="AD487" s="62">
        <f t="shared" si="263"/>
        <v>3.7253074582104375</v>
      </c>
      <c r="AE487" s="62">
        <f t="shared" si="263"/>
        <v>3.7668706302443979</v>
      </c>
      <c r="AF487" s="62">
        <f t="shared" si="263"/>
        <v>3.8006324034610657</v>
      </c>
      <c r="AG487" s="62">
        <f t="shared" si="263"/>
        <v>3.8449013629253557</v>
      </c>
      <c r="AH487" s="62">
        <f t="shared" si="263"/>
        <v>3.8792961673490254</v>
      </c>
      <c r="AI487" s="62">
        <f t="shared" si="263"/>
        <v>3.9147949625621834</v>
      </c>
      <c r="AJ487" s="62">
        <f t="shared" si="263"/>
        <v>3.9500098185472439</v>
      </c>
      <c r="AK487" s="62">
        <f t="shared" si="263"/>
        <v>3.9865606107206872</v>
      </c>
      <c r="AL487" s="62">
        <f t="shared" si="263"/>
        <v>4.6159749034523543</v>
      </c>
      <c r="AM487" s="62">
        <f t="shared" si="263"/>
        <v>4.9434678808082992</v>
      </c>
      <c r="AN487" s="62">
        <f t="shared" si="263"/>
        <v>5.2735551798994038</v>
      </c>
      <c r="AO487" s="62">
        <f t="shared" si="263"/>
        <v>5.602195318122881</v>
      </c>
      <c r="AP487" s="62">
        <f t="shared" si="263"/>
        <v>5.9413127432870567</v>
      </c>
      <c r="AQ487" s="62">
        <f t="shared" si="263"/>
        <v>6.2779358467160478</v>
      </c>
      <c r="AR487" s="62">
        <f t="shared" si="263"/>
        <v>6.6144589501450639</v>
      </c>
      <c r="AS487" s="62">
        <f t="shared" si="263"/>
        <v>6.9509820535740516</v>
      </c>
      <c r="AT487" s="62">
        <f t="shared" si="263"/>
        <v>7.2900994787382274</v>
      </c>
      <c r="AU487" s="62">
        <f t="shared" si="263"/>
        <v>7.634505547372811</v>
      </c>
      <c r="AV487" s="62">
        <f t="shared" si="263"/>
        <v>7.9815059377425257</v>
      </c>
      <c r="AW487" s="62">
        <f t="shared" si="263"/>
        <v>8.333794971582563</v>
      </c>
      <c r="AX487" s="62">
        <f t="shared" si="263"/>
        <v>8.6846368445550013</v>
      </c>
      <c r="AY487" s="62">
        <f t="shared" si="263"/>
        <v>9.0395202001301698</v>
      </c>
      <c r="AZ487" s="62">
        <f t="shared" si="263"/>
        <v>9.3983450383082072</v>
      </c>
      <c r="BA487" s="62">
        <f t="shared" si="263"/>
        <v>9.8042698764861598</v>
      </c>
      <c r="BB487" s="62">
        <f t="shared" si="263"/>
        <v>10.21328903639926</v>
      </c>
      <c r="BC487" s="62">
        <f t="shared" si="263"/>
        <v>10.625202518047587</v>
      </c>
      <c r="BD487" s="62">
        <f t="shared" si="263"/>
        <v>11.041457482298654</v>
      </c>
      <c r="BE487" s="62">
        <f t="shared" si="263"/>
        <v>11.460706768284837</v>
      </c>
    </row>
    <row r="488" spans="1:57" ht="16.5" customHeight="1" x14ac:dyDescent="0.45">
      <c r="A488" s="1"/>
      <c r="B488" s="1"/>
      <c r="C488" s="1"/>
      <c r="D488" s="55"/>
      <c r="E488" s="55"/>
      <c r="F488" s="55"/>
      <c r="G488" s="55"/>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3"/>
      <c r="AN488" s="3"/>
      <c r="AO488" s="3"/>
      <c r="AP488" s="3"/>
      <c r="AQ488" s="3"/>
      <c r="AR488" s="3"/>
      <c r="AS488" s="3"/>
      <c r="AT488" s="3"/>
      <c r="AU488" s="3"/>
      <c r="AV488" s="3"/>
      <c r="AW488" s="3"/>
      <c r="AX488" s="3"/>
      <c r="AY488" s="3"/>
      <c r="AZ488" s="3"/>
      <c r="BA488" s="3"/>
      <c r="BB488" s="3"/>
      <c r="BC488" s="3"/>
      <c r="BD488" s="3"/>
      <c r="BE488" s="3"/>
    </row>
    <row r="489" spans="1:57" ht="16.5" customHeight="1" x14ac:dyDescent="0.45">
      <c r="A489" s="1"/>
      <c r="B489" s="1"/>
      <c r="C489" s="1"/>
      <c r="D489" s="55"/>
      <c r="E489" s="55"/>
      <c r="F489" s="55"/>
      <c r="G489" s="55"/>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3"/>
      <c r="AN489" s="3"/>
      <c r="AO489" s="3"/>
      <c r="AP489" s="3"/>
      <c r="AQ489" s="3"/>
      <c r="AR489" s="3"/>
      <c r="AS489" s="3"/>
      <c r="AT489" s="3"/>
      <c r="AU489" s="3"/>
      <c r="AV489" s="3"/>
      <c r="AW489" s="3"/>
      <c r="AX489" s="3"/>
      <c r="AY489" s="3"/>
      <c r="AZ489" s="3"/>
      <c r="BA489" s="3"/>
      <c r="BB489" s="3"/>
      <c r="BC489" s="3"/>
      <c r="BD489" s="3"/>
      <c r="BE489" s="3"/>
    </row>
    <row r="490" spans="1:57" ht="16.5" customHeight="1" x14ac:dyDescent="0.45">
      <c r="A490" s="1"/>
      <c r="B490" s="1"/>
      <c r="C490" s="1">
        <v>1</v>
      </c>
      <c r="D490" s="55">
        <v>2</v>
      </c>
      <c r="E490" s="1">
        <v>3</v>
      </c>
      <c r="F490" s="55">
        <v>4</v>
      </c>
      <c r="G490" s="1">
        <v>5</v>
      </c>
      <c r="H490" s="55">
        <v>6</v>
      </c>
      <c r="I490" s="1">
        <v>7</v>
      </c>
      <c r="J490" s="55">
        <v>8</v>
      </c>
      <c r="K490" s="1">
        <v>9</v>
      </c>
      <c r="L490" s="55">
        <v>10</v>
      </c>
      <c r="M490" s="1">
        <v>11</v>
      </c>
      <c r="N490" s="55">
        <v>12</v>
      </c>
      <c r="O490" s="1">
        <v>13</v>
      </c>
      <c r="P490" s="55">
        <v>14</v>
      </c>
      <c r="Q490" s="1">
        <v>15</v>
      </c>
      <c r="R490" s="55">
        <v>16</v>
      </c>
      <c r="S490" s="1">
        <v>17</v>
      </c>
      <c r="T490" s="55">
        <v>18</v>
      </c>
      <c r="U490" s="1">
        <v>19</v>
      </c>
      <c r="V490" s="55">
        <v>20</v>
      </c>
      <c r="W490" s="1">
        <v>21</v>
      </c>
      <c r="X490" s="55">
        <v>22</v>
      </c>
      <c r="Y490" s="1">
        <v>23</v>
      </c>
      <c r="Z490" s="55">
        <v>24</v>
      </c>
      <c r="AA490" s="1">
        <v>25</v>
      </c>
      <c r="AB490" s="55">
        <v>26</v>
      </c>
      <c r="AC490" s="1">
        <v>27</v>
      </c>
      <c r="AD490" s="55">
        <v>28</v>
      </c>
      <c r="AE490" s="1">
        <v>29</v>
      </c>
      <c r="AF490" s="55">
        <v>30</v>
      </c>
      <c r="AG490" s="1">
        <v>31</v>
      </c>
      <c r="AH490" s="55">
        <v>32</v>
      </c>
      <c r="AI490" s="1">
        <v>33</v>
      </c>
      <c r="AJ490" s="55">
        <v>34</v>
      </c>
      <c r="AK490" s="1">
        <v>35</v>
      </c>
      <c r="AL490" s="55">
        <v>36</v>
      </c>
      <c r="AM490" s="1">
        <v>37</v>
      </c>
      <c r="AN490" s="55">
        <v>38</v>
      </c>
      <c r="AO490" s="1">
        <v>39</v>
      </c>
      <c r="AP490" s="55">
        <v>40</v>
      </c>
      <c r="AQ490" s="1">
        <v>41</v>
      </c>
      <c r="AR490" s="55">
        <v>42</v>
      </c>
      <c r="AS490" s="1">
        <v>43</v>
      </c>
      <c r="AT490" s="55">
        <v>44</v>
      </c>
      <c r="AU490" s="1">
        <v>45</v>
      </c>
      <c r="AV490" s="55">
        <v>46</v>
      </c>
      <c r="AW490" s="1">
        <v>47</v>
      </c>
      <c r="AX490" s="55">
        <v>48</v>
      </c>
      <c r="AY490" s="1">
        <v>49</v>
      </c>
      <c r="AZ490" s="55">
        <v>50</v>
      </c>
      <c r="BA490" s="1">
        <v>51</v>
      </c>
      <c r="BB490" s="55">
        <v>52</v>
      </c>
      <c r="BC490" s="1">
        <v>53</v>
      </c>
      <c r="BD490" s="55">
        <v>54</v>
      </c>
      <c r="BE490" s="1">
        <v>55</v>
      </c>
    </row>
    <row r="491" spans="1:57" ht="16.5" customHeight="1" x14ac:dyDescent="0.45">
      <c r="A491" s="1"/>
      <c r="B491" s="1"/>
      <c r="C491" s="1"/>
      <c r="D491" s="55"/>
      <c r="E491" s="55"/>
      <c r="F491" s="55"/>
      <c r="G491" s="55"/>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3"/>
      <c r="AN491" s="3"/>
      <c r="AO491" s="3"/>
      <c r="AP491" s="3"/>
      <c r="AQ491" s="3"/>
      <c r="AR491" s="3"/>
      <c r="AS491" s="3"/>
      <c r="AT491" s="3"/>
      <c r="AU491" s="3"/>
      <c r="AV491" s="3"/>
      <c r="AW491" s="3"/>
      <c r="AX491" s="3"/>
      <c r="AY491" s="3"/>
      <c r="AZ491" s="3"/>
      <c r="BA491" s="3"/>
      <c r="BB491" s="3"/>
      <c r="BC491" s="3"/>
      <c r="BD491" s="3"/>
      <c r="BE491" s="3"/>
    </row>
    <row r="492" spans="1:57" ht="16.5" customHeight="1" x14ac:dyDescent="0.45">
      <c r="A492" s="1"/>
      <c r="B492" s="1"/>
      <c r="C492" s="1"/>
      <c r="D492" s="55"/>
      <c r="E492" s="55"/>
      <c r="F492" s="55"/>
      <c r="G492" s="55"/>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3"/>
      <c r="AN492" s="3"/>
      <c r="AO492" s="3"/>
      <c r="AP492" s="3"/>
      <c r="AQ492" s="3"/>
      <c r="AR492" s="3"/>
      <c r="AS492" s="3"/>
      <c r="AT492" s="3"/>
      <c r="AU492" s="3"/>
      <c r="AV492" s="3"/>
      <c r="AW492" s="3"/>
      <c r="AX492" s="3"/>
      <c r="AY492" s="3"/>
      <c r="AZ492" s="3"/>
      <c r="BA492" s="3"/>
      <c r="BB492" s="3"/>
      <c r="BC492" s="3"/>
      <c r="BD492" s="3"/>
      <c r="BE492" s="3"/>
    </row>
    <row r="493" spans="1:57" ht="16.5" customHeight="1" x14ac:dyDescent="0.45">
      <c r="A493" s="1"/>
      <c r="B493" s="1"/>
      <c r="C493" s="1"/>
      <c r="D493" s="55"/>
      <c r="E493" s="55"/>
      <c r="F493" s="55"/>
      <c r="G493" s="55"/>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3"/>
      <c r="AN493" s="3"/>
      <c r="AO493" s="3"/>
      <c r="AP493" s="3"/>
      <c r="AQ493" s="3"/>
      <c r="AR493" s="3"/>
      <c r="AS493" s="3"/>
      <c r="AT493" s="3"/>
      <c r="AU493" s="3"/>
      <c r="AV493" s="3"/>
      <c r="AW493" s="3"/>
      <c r="AX493" s="3"/>
      <c r="AY493" s="3"/>
      <c r="AZ493" s="3"/>
      <c r="BA493" s="3"/>
      <c r="BB493" s="3"/>
      <c r="BC493" s="3"/>
      <c r="BD493" s="3"/>
      <c r="BE493" s="3"/>
    </row>
    <row r="494" spans="1:57" ht="16.5" customHeight="1" x14ac:dyDescent="0.45">
      <c r="A494" s="1"/>
      <c r="B494" s="1"/>
      <c r="C494" s="1"/>
      <c r="D494" s="55"/>
      <c r="E494" s="55"/>
      <c r="F494" s="55"/>
      <c r="G494" s="55"/>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3"/>
      <c r="AN494" s="3"/>
      <c r="AO494" s="3"/>
      <c r="AP494" s="3"/>
      <c r="AQ494" s="3"/>
      <c r="AR494" s="3"/>
      <c r="AS494" s="3"/>
      <c r="AT494" s="3"/>
      <c r="AU494" s="3"/>
      <c r="AV494" s="3"/>
      <c r="AW494" s="3"/>
      <c r="AX494" s="3"/>
      <c r="AY494" s="3"/>
      <c r="AZ494" s="3"/>
      <c r="BA494" s="3"/>
      <c r="BB494" s="3"/>
      <c r="BC494" s="3"/>
      <c r="BD494" s="3"/>
      <c r="BE494" s="3"/>
    </row>
    <row r="495" spans="1:57" ht="16.5" customHeight="1" x14ac:dyDescent="0.45">
      <c r="A495" s="1"/>
      <c r="B495" s="1"/>
      <c r="C495" s="1"/>
      <c r="D495" s="55"/>
      <c r="E495" s="55"/>
      <c r="F495" s="55"/>
      <c r="G495" s="55"/>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3"/>
      <c r="AN495" s="3"/>
      <c r="AO495" s="3"/>
      <c r="AP495" s="3"/>
      <c r="AQ495" s="3"/>
      <c r="AR495" s="3"/>
      <c r="AS495" s="3"/>
      <c r="AT495" s="3"/>
      <c r="AU495" s="3"/>
      <c r="AV495" s="3"/>
      <c r="AW495" s="3"/>
      <c r="AX495" s="3"/>
      <c r="AY495" s="3"/>
      <c r="AZ495" s="3"/>
      <c r="BA495" s="3"/>
      <c r="BB495" s="3"/>
      <c r="BC495" s="3"/>
      <c r="BD495" s="3"/>
      <c r="BE495" s="3"/>
    </row>
    <row r="496" spans="1:57" ht="16.5" customHeight="1" x14ac:dyDescent="0.45">
      <c r="A496" s="1"/>
      <c r="B496" s="1"/>
      <c r="C496" s="1"/>
      <c r="D496" s="55"/>
      <c r="E496" s="55"/>
      <c r="F496" s="55"/>
      <c r="G496" s="55"/>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3"/>
      <c r="AN496" s="3"/>
      <c r="AO496" s="3"/>
      <c r="AP496" s="3"/>
      <c r="AQ496" s="3"/>
      <c r="AR496" s="3"/>
      <c r="AS496" s="3"/>
      <c r="AT496" s="3"/>
      <c r="AU496" s="3"/>
      <c r="AV496" s="3"/>
      <c r="AW496" s="3"/>
      <c r="AX496" s="3"/>
      <c r="AY496" s="3"/>
      <c r="AZ496" s="3"/>
      <c r="BA496" s="3"/>
      <c r="BB496" s="3"/>
      <c r="BC496" s="3"/>
      <c r="BD496" s="3"/>
      <c r="BE496" s="3"/>
    </row>
    <row r="497" spans="1:57" ht="16.5" customHeight="1" x14ac:dyDescent="0.45">
      <c r="A497" s="1"/>
      <c r="B497" s="1"/>
      <c r="C497" s="1"/>
      <c r="D497" s="55"/>
      <c r="E497" s="55"/>
      <c r="F497" s="55"/>
      <c r="G497" s="55"/>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3"/>
      <c r="AN497" s="3"/>
      <c r="AO497" s="3"/>
      <c r="AP497" s="3"/>
      <c r="AQ497" s="3"/>
      <c r="AR497" s="3"/>
      <c r="AS497" s="3"/>
      <c r="AT497" s="3"/>
      <c r="AU497" s="3"/>
      <c r="AV497" s="3"/>
      <c r="AW497" s="3"/>
      <c r="AX497" s="3"/>
      <c r="AY497" s="3"/>
      <c r="AZ497" s="3"/>
      <c r="BA497" s="3"/>
      <c r="BB497" s="3"/>
      <c r="BC497" s="3"/>
      <c r="BD497" s="3"/>
      <c r="BE497" s="3"/>
    </row>
    <row r="498" spans="1:57" ht="16.5" customHeight="1" x14ac:dyDescent="0.45">
      <c r="A498" s="1"/>
      <c r="B498" s="1"/>
      <c r="C498" s="1"/>
      <c r="D498" s="55"/>
      <c r="E498" s="55"/>
      <c r="F498" s="55"/>
      <c r="G498" s="55"/>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57" ht="16.5" customHeight="1" x14ac:dyDescent="0.45">
      <c r="A499" s="1"/>
      <c r="B499" s="1"/>
      <c r="C499" s="1"/>
      <c r="D499" s="55"/>
      <c r="E499" s="55"/>
      <c r="F499" s="55"/>
      <c r="G499" s="55"/>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57" ht="16.5" customHeight="1" x14ac:dyDescent="0.45">
      <c r="A500" s="1"/>
      <c r="B500" s="1"/>
      <c r="C500" s="1"/>
      <c r="D500" s="55"/>
      <c r="E500" s="55"/>
      <c r="F500" s="55"/>
      <c r="G500" s="55"/>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57" ht="16.5" customHeight="1" x14ac:dyDescent="0.45">
      <c r="A501" s="1"/>
      <c r="B501" s="1"/>
      <c r="C501" s="1"/>
      <c r="D501" s="55"/>
      <c r="E501" s="55"/>
      <c r="F501" s="55"/>
      <c r="G501" s="55"/>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57" ht="16.5" customHeight="1" x14ac:dyDescent="0.45">
      <c r="A502" s="1"/>
      <c r="B502" s="1"/>
      <c r="C502" s="1"/>
      <c r="D502" s="55"/>
      <c r="E502" s="55"/>
      <c r="F502" s="55"/>
      <c r="G502" s="55"/>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57" ht="16.5" customHeight="1" x14ac:dyDescent="0.45">
      <c r="A503" s="1"/>
      <c r="B503" s="1"/>
      <c r="C503" s="1"/>
      <c r="D503" s="55"/>
      <c r="E503" s="55"/>
      <c r="F503" s="55"/>
      <c r="G503" s="55"/>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57" ht="16.5" customHeight="1" x14ac:dyDescent="0.45">
      <c r="A504" s="1"/>
      <c r="B504" s="1"/>
      <c r="C504" s="1"/>
      <c r="D504" s="55"/>
      <c r="E504" s="55"/>
      <c r="F504" s="55"/>
      <c r="G504" s="55"/>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57" ht="16.5" customHeight="1" x14ac:dyDescent="0.45">
      <c r="A505" s="1"/>
      <c r="B505" s="1"/>
      <c r="C505" s="1"/>
      <c r="D505" s="55"/>
      <c r="E505" s="55"/>
      <c r="F505" s="55"/>
      <c r="G505" s="55"/>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57" ht="16.5" customHeight="1" x14ac:dyDescent="0.45">
      <c r="A506" s="1"/>
      <c r="B506" s="1"/>
      <c r="C506" s="1"/>
      <c r="D506" s="55"/>
      <c r="E506" s="55"/>
      <c r="F506" s="55"/>
      <c r="G506" s="55"/>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57" ht="16.5" customHeight="1" x14ac:dyDescent="0.45">
      <c r="A507" s="1"/>
      <c r="B507" s="1"/>
      <c r="C507" s="1"/>
      <c r="D507" s="55"/>
      <c r="E507" s="55"/>
      <c r="F507" s="55"/>
      <c r="G507" s="55"/>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57" ht="16.5" customHeight="1" x14ac:dyDescent="0.45">
      <c r="A508" s="1"/>
      <c r="B508" s="1"/>
      <c r="C508" s="1"/>
      <c r="D508" s="55"/>
      <c r="E508" s="55"/>
      <c r="F508" s="55"/>
      <c r="G508" s="55"/>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57" ht="16.5" customHeight="1" x14ac:dyDescent="0.45">
      <c r="A509" s="1"/>
      <c r="B509" s="1"/>
      <c r="C509" s="1"/>
      <c r="D509" s="55"/>
      <c r="E509" s="55"/>
      <c r="F509" s="55"/>
      <c r="G509" s="55"/>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57" ht="16.5" customHeight="1" x14ac:dyDescent="0.45">
      <c r="A510" s="1"/>
      <c r="B510" s="1"/>
      <c r="C510" s="1"/>
      <c r="D510" s="55"/>
      <c r="E510" s="55"/>
      <c r="F510" s="55"/>
      <c r="G510" s="55"/>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57" ht="16.5" customHeight="1" x14ac:dyDescent="0.45">
      <c r="A511" s="1"/>
      <c r="B511" s="1"/>
      <c r="C511" s="1"/>
      <c r="D511" s="55"/>
      <c r="E511" s="55"/>
      <c r="F511" s="55"/>
      <c r="G511" s="55"/>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57" ht="16.5" customHeight="1" x14ac:dyDescent="0.45">
      <c r="A512" s="1"/>
      <c r="B512" s="1"/>
      <c r="C512" s="1"/>
      <c r="D512" s="55"/>
      <c r="E512" s="55"/>
      <c r="F512" s="55"/>
      <c r="G512" s="55"/>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6.5" customHeight="1" x14ac:dyDescent="0.45">
      <c r="A513" s="1"/>
      <c r="B513" s="1"/>
      <c r="C513" s="1"/>
      <c r="D513" s="55"/>
      <c r="E513" s="55"/>
      <c r="F513" s="55"/>
      <c r="G513" s="55"/>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6.5" customHeight="1" x14ac:dyDescent="0.45">
      <c r="A514" s="1"/>
      <c r="B514" s="1"/>
      <c r="C514" s="1"/>
      <c r="D514" s="55"/>
      <c r="E514" s="55"/>
      <c r="F514" s="55"/>
      <c r="G514" s="55"/>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6.5" customHeight="1" x14ac:dyDescent="0.45">
      <c r="A515" s="1"/>
      <c r="B515" s="1"/>
      <c r="C515" s="1"/>
      <c r="D515" s="55"/>
      <c r="E515" s="55"/>
      <c r="F515" s="55"/>
      <c r="G515" s="55"/>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6.5" customHeight="1" x14ac:dyDescent="0.45">
      <c r="A516" s="1"/>
      <c r="B516" s="1"/>
      <c r="C516" s="1"/>
      <c r="D516" s="55"/>
      <c r="E516" s="55"/>
      <c r="F516" s="55"/>
      <c r="G516" s="55"/>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6.5" customHeight="1" x14ac:dyDescent="0.45">
      <c r="A517" s="1"/>
      <c r="B517" s="1"/>
      <c r="C517" s="1"/>
      <c r="D517" s="55"/>
      <c r="E517" s="55"/>
      <c r="F517" s="55"/>
      <c r="G517" s="55"/>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6.5" customHeight="1" x14ac:dyDescent="0.45">
      <c r="A518" s="1"/>
      <c r="B518" s="1"/>
      <c r="C518" s="1"/>
      <c r="D518" s="55"/>
      <c r="E518" s="55"/>
      <c r="F518" s="55"/>
      <c r="G518" s="55"/>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6.5" customHeight="1" x14ac:dyDescent="0.45">
      <c r="A519" s="1"/>
      <c r="B519" s="1"/>
      <c r="C519" s="1"/>
      <c r="D519" s="55"/>
      <c r="E519" s="55"/>
      <c r="F519" s="55"/>
      <c r="G519" s="55"/>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6.5" customHeight="1" x14ac:dyDescent="0.45">
      <c r="A520" s="1"/>
      <c r="B520" s="1"/>
      <c r="C520" s="1"/>
      <c r="D520" s="55"/>
      <c r="E520" s="55"/>
      <c r="F520" s="55"/>
      <c r="G520" s="55"/>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6.5" customHeight="1" x14ac:dyDescent="0.45">
      <c r="A521" s="1"/>
      <c r="B521" s="1"/>
      <c r="C521" s="1"/>
      <c r="D521" s="55"/>
      <c r="E521" s="55"/>
      <c r="F521" s="55"/>
      <c r="G521" s="55"/>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6.5" customHeight="1" x14ac:dyDescent="0.45">
      <c r="A522" s="1"/>
      <c r="B522" s="1"/>
      <c r="C522" s="1"/>
      <c r="D522" s="55"/>
      <c r="E522" s="55"/>
      <c r="F522" s="55"/>
      <c r="G522" s="55"/>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6.5" customHeight="1" x14ac:dyDescent="0.45">
      <c r="A523" s="1"/>
      <c r="B523" s="1"/>
      <c r="C523" s="1"/>
      <c r="D523" s="55"/>
      <c r="E523" s="55"/>
      <c r="F523" s="55"/>
      <c r="G523" s="55"/>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6.5" customHeight="1" x14ac:dyDescent="0.45">
      <c r="A524" s="1"/>
      <c r="B524" s="1"/>
      <c r="C524" s="1"/>
      <c r="D524" s="55"/>
      <c r="E524" s="55"/>
      <c r="F524" s="55"/>
      <c r="G524" s="55"/>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6.5" customHeight="1" x14ac:dyDescent="0.45">
      <c r="A525" s="1"/>
      <c r="B525" s="1"/>
      <c r="C525" s="1"/>
      <c r="D525" s="55"/>
      <c r="E525" s="55"/>
      <c r="F525" s="55"/>
      <c r="G525" s="55"/>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6.5" customHeight="1" x14ac:dyDescent="0.45">
      <c r="A526" s="1"/>
      <c r="B526" s="1"/>
      <c r="C526" s="1"/>
      <c r="D526" s="55"/>
      <c r="E526" s="55"/>
      <c r="F526" s="55"/>
      <c r="G526" s="55"/>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6.5" customHeight="1" x14ac:dyDescent="0.45">
      <c r="A527" s="1"/>
      <c r="B527" s="1"/>
      <c r="C527" s="1"/>
      <c r="D527" s="55"/>
      <c r="E527" s="55"/>
      <c r="F527" s="55"/>
      <c r="G527" s="55"/>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6.5" customHeight="1" x14ac:dyDescent="0.45">
      <c r="A528" s="1"/>
      <c r="B528" s="1"/>
      <c r="C528" s="1"/>
      <c r="D528" s="55"/>
      <c r="E528" s="55"/>
      <c r="F528" s="55"/>
      <c r="G528" s="55"/>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6.5" customHeight="1" x14ac:dyDescent="0.45">
      <c r="A529" s="1"/>
      <c r="B529" s="1"/>
      <c r="C529" s="1"/>
      <c r="D529" s="55"/>
      <c r="E529" s="55"/>
      <c r="F529" s="55"/>
      <c r="G529" s="55"/>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6.5" customHeight="1" x14ac:dyDescent="0.45">
      <c r="A530" s="1"/>
      <c r="B530" s="1"/>
      <c r="C530" s="1"/>
      <c r="D530" s="55"/>
      <c r="E530" s="55"/>
      <c r="F530" s="55"/>
      <c r="G530" s="55"/>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6.5" customHeight="1" x14ac:dyDescent="0.45">
      <c r="A531" s="1"/>
      <c r="B531" s="1"/>
      <c r="C531" s="1"/>
      <c r="D531" s="55"/>
      <c r="E531" s="55"/>
      <c r="F531" s="55"/>
      <c r="G531" s="55"/>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6.5" customHeight="1" x14ac:dyDescent="0.45">
      <c r="A532" s="1"/>
      <c r="B532" s="1"/>
      <c r="C532" s="1"/>
      <c r="D532" s="55"/>
      <c r="E532" s="55"/>
      <c r="F532" s="55"/>
      <c r="G532" s="55"/>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6.5" customHeight="1" x14ac:dyDescent="0.45">
      <c r="A533" s="1"/>
      <c r="B533" s="1"/>
      <c r="C533" s="1"/>
      <c r="D533" s="55"/>
      <c r="E533" s="55"/>
      <c r="F533" s="55"/>
      <c r="G533" s="55"/>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6.5" customHeight="1" x14ac:dyDescent="0.45">
      <c r="A534" s="1"/>
      <c r="B534" s="1"/>
      <c r="C534" s="1"/>
      <c r="D534" s="55"/>
      <c r="E534" s="55"/>
      <c r="F534" s="55"/>
      <c r="G534" s="55"/>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6.5" customHeight="1" x14ac:dyDescent="0.45">
      <c r="A535" s="1"/>
      <c r="B535" s="1"/>
      <c r="C535" s="1"/>
      <c r="D535" s="55"/>
      <c r="E535" s="55"/>
      <c r="F535" s="55"/>
      <c r="G535" s="55"/>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6.5" customHeight="1" x14ac:dyDescent="0.45">
      <c r="A536" s="1"/>
      <c r="B536" s="1"/>
      <c r="C536" s="1"/>
      <c r="D536" s="55"/>
      <c r="E536" s="55"/>
      <c r="F536" s="55"/>
      <c r="G536" s="55"/>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6.5" customHeight="1" x14ac:dyDescent="0.45">
      <c r="A537" s="1"/>
      <c r="B537" s="1"/>
      <c r="C537" s="1"/>
      <c r="D537" s="55"/>
      <c r="E537" s="55"/>
      <c r="F537" s="55"/>
      <c r="G537" s="55"/>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6.5" customHeight="1" x14ac:dyDescent="0.45">
      <c r="A538" s="1"/>
      <c r="B538" s="1"/>
      <c r="C538" s="1"/>
      <c r="D538" s="55"/>
      <c r="E538" s="55"/>
      <c r="F538" s="55"/>
      <c r="G538" s="55"/>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6.5" customHeight="1" x14ac:dyDescent="0.45">
      <c r="A539" s="1"/>
      <c r="B539" s="1"/>
      <c r="C539" s="1"/>
      <c r="D539" s="55"/>
      <c r="E539" s="55"/>
      <c r="F539" s="55"/>
      <c r="G539" s="55"/>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6.5" customHeight="1" x14ac:dyDescent="0.45">
      <c r="A540" s="1"/>
      <c r="B540" s="1"/>
      <c r="C540" s="1"/>
      <c r="D540" s="55"/>
      <c r="E540" s="55"/>
      <c r="F540" s="55"/>
      <c r="G540" s="55"/>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6.5" customHeight="1" x14ac:dyDescent="0.45">
      <c r="A541" s="1"/>
      <c r="B541" s="1"/>
      <c r="C541" s="1"/>
      <c r="D541" s="55"/>
      <c r="E541" s="55"/>
      <c r="F541" s="55"/>
      <c r="G541" s="55"/>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6.5" customHeight="1" x14ac:dyDescent="0.45">
      <c r="A542" s="1"/>
      <c r="B542" s="1"/>
      <c r="C542" s="1"/>
      <c r="D542" s="55"/>
      <c r="E542" s="55"/>
      <c r="F542" s="55"/>
      <c r="G542" s="55"/>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6.5" customHeight="1" x14ac:dyDescent="0.45">
      <c r="A543" s="1"/>
      <c r="B543" s="1"/>
      <c r="C543" s="1"/>
      <c r="D543" s="55"/>
      <c r="E543" s="55"/>
      <c r="F543" s="55"/>
      <c r="G543" s="55"/>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6.5" customHeight="1" x14ac:dyDescent="0.45">
      <c r="A544" s="1"/>
      <c r="B544" s="1"/>
      <c r="C544" s="1"/>
      <c r="D544" s="55"/>
      <c r="E544" s="55"/>
      <c r="F544" s="55"/>
      <c r="G544" s="55"/>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6.5" customHeight="1" x14ac:dyDescent="0.45">
      <c r="A545" s="1"/>
      <c r="B545" s="1"/>
      <c r="C545" s="1"/>
      <c r="D545" s="55"/>
      <c r="E545" s="55"/>
      <c r="F545" s="55"/>
      <c r="G545" s="55"/>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6.5" customHeight="1" x14ac:dyDescent="0.45">
      <c r="A546" s="1"/>
      <c r="B546" s="1"/>
      <c r="C546" s="1"/>
      <c r="D546" s="55"/>
      <c r="E546" s="55"/>
      <c r="F546" s="55"/>
      <c r="G546" s="55"/>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6.5" customHeight="1" x14ac:dyDescent="0.45">
      <c r="A547" s="1"/>
      <c r="B547" s="1"/>
      <c r="C547" s="1"/>
      <c r="D547" s="55"/>
      <c r="E547" s="55"/>
      <c r="F547" s="55"/>
      <c r="G547" s="55"/>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6.5" customHeight="1" x14ac:dyDescent="0.45">
      <c r="A548" s="1"/>
      <c r="B548" s="1"/>
      <c r="C548" s="1"/>
      <c r="D548" s="55"/>
      <c r="E548" s="55"/>
      <c r="F548" s="55"/>
      <c r="G548" s="55"/>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6.5" customHeight="1" x14ac:dyDescent="0.45">
      <c r="A549" s="1"/>
      <c r="B549" s="1"/>
      <c r="C549" s="1"/>
      <c r="D549" s="55"/>
      <c r="E549" s="55"/>
      <c r="F549" s="55"/>
      <c r="G549" s="55"/>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6.5" customHeight="1" x14ac:dyDescent="0.45">
      <c r="A550" s="1"/>
      <c r="B550" s="1"/>
      <c r="C550" s="1"/>
      <c r="D550" s="55"/>
      <c r="E550" s="55"/>
      <c r="F550" s="55"/>
      <c r="G550" s="55"/>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6.5" customHeight="1" x14ac:dyDescent="0.45">
      <c r="A551" s="1"/>
      <c r="B551" s="1"/>
      <c r="C551" s="1"/>
      <c r="D551" s="55"/>
      <c r="E551" s="55"/>
      <c r="F551" s="55"/>
      <c r="G551" s="55"/>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6.5" customHeight="1" x14ac:dyDescent="0.45">
      <c r="A552" s="1"/>
      <c r="B552" s="1"/>
      <c r="C552" s="1"/>
      <c r="D552" s="55"/>
      <c r="E552" s="55"/>
      <c r="F552" s="55"/>
      <c r="G552" s="55"/>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6.5" customHeight="1" x14ac:dyDescent="0.45">
      <c r="A553" s="1"/>
      <c r="B553" s="1"/>
      <c r="C553" s="1"/>
      <c r="D553" s="55"/>
      <c r="E553" s="55"/>
      <c r="F553" s="55"/>
      <c r="G553" s="55"/>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6.5" customHeight="1" x14ac:dyDescent="0.45">
      <c r="A554" s="1"/>
      <c r="B554" s="1"/>
      <c r="C554" s="1"/>
      <c r="D554" s="55"/>
      <c r="E554" s="55"/>
      <c r="F554" s="55"/>
      <c r="G554" s="55"/>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6.5" customHeight="1" x14ac:dyDescent="0.45">
      <c r="A555" s="1"/>
      <c r="B555" s="1"/>
      <c r="C555" s="1"/>
      <c r="D555" s="55"/>
      <c r="E555" s="55"/>
      <c r="F555" s="55"/>
      <c r="G555" s="55"/>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6.5" customHeight="1" x14ac:dyDescent="0.45">
      <c r="A556" s="1"/>
      <c r="B556" s="1"/>
      <c r="C556" s="1"/>
      <c r="D556" s="55"/>
      <c r="E556" s="55"/>
      <c r="F556" s="55"/>
      <c r="G556" s="55"/>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6.5" customHeight="1" x14ac:dyDescent="0.45">
      <c r="A557" s="1"/>
      <c r="B557" s="1"/>
      <c r="C557" s="1"/>
      <c r="D557" s="55"/>
      <c r="E557" s="55"/>
      <c r="F557" s="55"/>
      <c r="G557" s="55"/>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6.5" customHeight="1" x14ac:dyDescent="0.45">
      <c r="A558" s="1"/>
      <c r="B558" s="1"/>
      <c r="C558" s="1"/>
      <c r="D558" s="55"/>
      <c r="E558" s="55"/>
      <c r="F558" s="55"/>
      <c r="G558" s="55"/>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6.5" customHeight="1" x14ac:dyDescent="0.45">
      <c r="A559" s="1"/>
      <c r="B559" s="1"/>
      <c r="C559" s="1"/>
      <c r="D559" s="55"/>
      <c r="E559" s="55"/>
      <c r="F559" s="55"/>
      <c r="G559" s="55"/>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6.5" customHeight="1" x14ac:dyDescent="0.45">
      <c r="A560" s="1"/>
      <c r="B560" s="1"/>
      <c r="C560" s="1"/>
      <c r="D560" s="55"/>
      <c r="E560" s="55"/>
      <c r="F560" s="55"/>
      <c r="G560" s="55"/>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6.5" customHeight="1" x14ac:dyDescent="0.45">
      <c r="A561" s="1"/>
      <c r="B561" s="1"/>
      <c r="C561" s="1"/>
      <c r="D561" s="55"/>
      <c r="E561" s="55"/>
      <c r="F561" s="55"/>
      <c r="G561" s="55"/>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6.5" customHeight="1" x14ac:dyDescent="0.45">
      <c r="A562" s="1"/>
      <c r="B562" s="1"/>
      <c r="C562" s="1"/>
      <c r="D562" s="55"/>
      <c r="E562" s="55"/>
      <c r="F562" s="55"/>
      <c r="G562" s="55"/>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6.5" customHeight="1" x14ac:dyDescent="0.45">
      <c r="A563" s="1"/>
      <c r="B563" s="1"/>
      <c r="C563" s="1"/>
      <c r="D563" s="55"/>
      <c r="E563" s="55"/>
      <c r="F563" s="55"/>
      <c r="G563" s="55"/>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6.5" customHeight="1" x14ac:dyDescent="0.45">
      <c r="A564" s="1"/>
      <c r="B564" s="1"/>
      <c r="C564" s="1"/>
      <c r="D564" s="55"/>
      <c r="E564" s="55"/>
      <c r="F564" s="55"/>
      <c r="G564" s="55"/>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6.5" customHeight="1" x14ac:dyDescent="0.45">
      <c r="A565" s="1"/>
      <c r="B565" s="1"/>
      <c r="C565" s="1"/>
      <c r="D565" s="55"/>
      <c r="E565" s="55"/>
      <c r="F565" s="55"/>
      <c r="G565" s="55"/>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6.5" customHeight="1" x14ac:dyDescent="0.45">
      <c r="A566" s="1"/>
      <c r="B566" s="1"/>
      <c r="C566" s="1"/>
      <c r="D566" s="55"/>
      <c r="E566" s="55"/>
      <c r="F566" s="55"/>
      <c r="G566" s="55"/>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6.5" customHeight="1" x14ac:dyDescent="0.45">
      <c r="A567" s="1"/>
      <c r="B567" s="1"/>
      <c r="C567" s="1"/>
      <c r="D567" s="55"/>
      <c r="E567" s="55"/>
      <c r="F567" s="55"/>
      <c r="G567" s="55"/>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6.5" customHeight="1" x14ac:dyDescent="0.45">
      <c r="A568" s="1"/>
      <c r="B568" s="1"/>
      <c r="C568" s="1"/>
      <c r="D568" s="55"/>
      <c r="E568" s="55"/>
      <c r="F568" s="55"/>
      <c r="G568" s="55"/>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6.5" customHeight="1" x14ac:dyDescent="0.45">
      <c r="A569" s="1"/>
      <c r="B569" s="1"/>
      <c r="C569" s="1"/>
      <c r="D569" s="55"/>
      <c r="E569" s="55"/>
      <c r="F569" s="55"/>
      <c r="G569" s="55"/>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6.5" customHeight="1" x14ac:dyDescent="0.45">
      <c r="A570" s="1"/>
      <c r="B570" s="1"/>
      <c r="C570" s="1"/>
      <c r="D570" s="55"/>
      <c r="E570" s="55"/>
      <c r="F570" s="55"/>
      <c r="G570" s="55"/>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6.5" customHeight="1" x14ac:dyDescent="0.45">
      <c r="A571" s="1"/>
      <c r="B571" s="1"/>
      <c r="C571" s="1"/>
      <c r="D571" s="55"/>
      <c r="E571" s="55"/>
      <c r="F571" s="55"/>
      <c r="G571" s="55"/>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6.5" customHeight="1" x14ac:dyDescent="0.45">
      <c r="A572" s="1"/>
      <c r="B572" s="1"/>
      <c r="C572" s="1"/>
      <c r="D572" s="55"/>
      <c r="E572" s="55"/>
      <c r="F572" s="55"/>
      <c r="G572" s="55"/>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6.5" customHeight="1" x14ac:dyDescent="0.45">
      <c r="A573" s="1"/>
      <c r="B573" s="1"/>
      <c r="C573" s="1"/>
      <c r="D573" s="55"/>
      <c r="E573" s="55"/>
      <c r="F573" s="55"/>
      <c r="G573" s="55"/>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6.5" customHeight="1" x14ac:dyDescent="0.45">
      <c r="A574" s="1"/>
      <c r="B574" s="1"/>
      <c r="C574" s="1"/>
      <c r="D574" s="55"/>
      <c r="E574" s="55"/>
      <c r="F574" s="55"/>
      <c r="G574" s="55"/>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6.5" customHeight="1" x14ac:dyDescent="0.45">
      <c r="A575" s="1"/>
      <c r="B575" s="1"/>
      <c r="C575" s="1"/>
      <c r="D575" s="55"/>
      <c r="E575" s="55"/>
      <c r="F575" s="55"/>
      <c r="G575" s="55"/>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6.5" customHeight="1" x14ac:dyDescent="0.45">
      <c r="A576" s="1"/>
      <c r="B576" s="1"/>
      <c r="C576" s="1"/>
      <c r="D576" s="55"/>
      <c r="E576" s="55"/>
      <c r="F576" s="55"/>
      <c r="G576" s="55"/>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6.5" customHeight="1" x14ac:dyDescent="0.45">
      <c r="A577" s="1"/>
      <c r="B577" s="1"/>
      <c r="C577" s="1"/>
      <c r="D577" s="55"/>
      <c r="E577" s="55"/>
      <c r="F577" s="55"/>
      <c r="G577" s="55"/>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6.5" customHeight="1" x14ac:dyDescent="0.45">
      <c r="A578" s="1"/>
      <c r="B578" s="1"/>
      <c r="C578" s="1"/>
      <c r="D578" s="55"/>
      <c r="E578" s="55"/>
      <c r="F578" s="55"/>
      <c r="G578" s="55"/>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6.5" customHeight="1" x14ac:dyDescent="0.45">
      <c r="A579" s="1"/>
      <c r="B579" s="1"/>
      <c r="C579" s="1"/>
      <c r="D579" s="55"/>
      <c r="E579" s="55"/>
      <c r="F579" s="55"/>
      <c r="G579" s="55"/>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6.5" customHeight="1" x14ac:dyDescent="0.45">
      <c r="A580" s="1"/>
      <c r="B580" s="1"/>
      <c r="C580" s="1"/>
      <c r="D580" s="55"/>
      <c r="E580" s="55"/>
      <c r="F580" s="55"/>
      <c r="G580" s="55"/>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6.5" customHeight="1" x14ac:dyDescent="0.45">
      <c r="A581" s="1"/>
      <c r="B581" s="1"/>
      <c r="C581" s="1"/>
      <c r="D581" s="55"/>
      <c r="E581" s="55"/>
      <c r="F581" s="55"/>
      <c r="G581" s="55"/>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6.5" customHeight="1" x14ac:dyDescent="0.45">
      <c r="A582" s="1"/>
      <c r="B582" s="1"/>
      <c r="C582" s="1"/>
      <c r="D582" s="55"/>
      <c r="E582" s="55"/>
      <c r="F582" s="55"/>
      <c r="G582" s="55"/>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6.5" customHeight="1" x14ac:dyDescent="0.45">
      <c r="A583" s="1"/>
      <c r="B583" s="1"/>
      <c r="C583" s="1"/>
      <c r="D583" s="55"/>
      <c r="E583" s="55"/>
      <c r="F583" s="55"/>
      <c r="G583" s="55"/>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6.5" customHeight="1" x14ac:dyDescent="0.45">
      <c r="A584" s="1"/>
      <c r="B584" s="1"/>
      <c r="C584" s="1"/>
      <c r="D584" s="55"/>
      <c r="E584" s="55"/>
      <c r="F584" s="55"/>
      <c r="G584" s="55"/>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6.5" customHeight="1" x14ac:dyDescent="0.45">
      <c r="A585" s="1"/>
      <c r="B585" s="1"/>
      <c r="C585" s="1"/>
      <c r="D585" s="55"/>
      <c r="E585" s="55"/>
      <c r="F585" s="55"/>
      <c r="G585" s="55"/>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6.5" customHeight="1" x14ac:dyDescent="0.45">
      <c r="A586" s="1"/>
      <c r="B586" s="1"/>
      <c r="C586" s="1"/>
      <c r="D586" s="55"/>
      <c r="E586" s="55"/>
      <c r="F586" s="55"/>
      <c r="G586" s="55"/>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6.5" customHeight="1" x14ac:dyDescent="0.45">
      <c r="A587" s="1"/>
      <c r="B587" s="1"/>
      <c r="C587" s="1"/>
      <c r="D587" s="55"/>
      <c r="E587" s="55"/>
      <c r="F587" s="55"/>
      <c r="G587" s="55"/>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6.5" customHeight="1" x14ac:dyDescent="0.45">
      <c r="A588" s="1"/>
      <c r="B588" s="1"/>
      <c r="C588" s="1"/>
      <c r="D588" s="55"/>
      <c r="E588" s="55"/>
      <c r="F588" s="55"/>
      <c r="G588" s="55"/>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6.5" customHeight="1" x14ac:dyDescent="0.45">
      <c r="A589" s="1"/>
      <c r="B589" s="1"/>
      <c r="C589" s="1"/>
      <c r="D589" s="55"/>
      <c r="E589" s="55"/>
      <c r="F589" s="55"/>
      <c r="G589" s="55"/>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6.5" customHeight="1" x14ac:dyDescent="0.45">
      <c r="A590" s="1"/>
      <c r="B590" s="1"/>
      <c r="C590" s="1"/>
      <c r="D590" s="55"/>
      <c r="E590" s="55"/>
      <c r="F590" s="55"/>
      <c r="G590" s="55"/>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6.5" customHeight="1" x14ac:dyDescent="0.45">
      <c r="A591" s="1"/>
      <c r="B591" s="1"/>
      <c r="C591" s="1"/>
      <c r="D591" s="55"/>
      <c r="E591" s="55"/>
      <c r="F591" s="55"/>
      <c r="G591" s="55"/>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6.5" customHeight="1" x14ac:dyDescent="0.45">
      <c r="A592" s="1"/>
      <c r="B592" s="1"/>
      <c r="C592" s="1"/>
      <c r="D592" s="55"/>
      <c r="E592" s="55"/>
      <c r="F592" s="55"/>
      <c r="G592" s="55"/>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6.5" customHeight="1" x14ac:dyDescent="0.45">
      <c r="A593" s="1"/>
      <c r="B593" s="1"/>
      <c r="C593" s="1"/>
      <c r="D593" s="55"/>
      <c r="E593" s="55"/>
      <c r="F593" s="55"/>
      <c r="G593" s="55"/>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6.5" customHeight="1" x14ac:dyDescent="0.45">
      <c r="A594" s="1"/>
      <c r="B594" s="1"/>
      <c r="C594" s="1"/>
      <c r="D594" s="55"/>
      <c r="E594" s="55"/>
      <c r="F594" s="55"/>
      <c r="G594" s="55"/>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6.5" customHeight="1" x14ac:dyDescent="0.45">
      <c r="A595" s="1"/>
      <c r="B595" s="1"/>
      <c r="C595" s="1"/>
      <c r="D595" s="55"/>
      <c r="E595" s="55"/>
      <c r="F595" s="55"/>
      <c r="G595" s="55"/>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6.5" customHeight="1" x14ac:dyDescent="0.45">
      <c r="A596" s="1"/>
      <c r="B596" s="1"/>
      <c r="C596" s="1"/>
      <c r="D596" s="55"/>
      <c r="E596" s="55"/>
      <c r="F596" s="55"/>
      <c r="G596" s="55"/>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6.5" customHeight="1" x14ac:dyDescent="0.45">
      <c r="A597" s="1"/>
      <c r="B597" s="1"/>
      <c r="C597" s="1"/>
      <c r="D597" s="55"/>
      <c r="E597" s="55"/>
      <c r="F597" s="55"/>
      <c r="G597" s="55"/>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6.5" customHeight="1" x14ac:dyDescent="0.45">
      <c r="A598" s="1"/>
      <c r="B598" s="1"/>
      <c r="C598" s="1"/>
      <c r="D598" s="55"/>
      <c r="E598" s="55"/>
      <c r="F598" s="55"/>
      <c r="G598" s="55"/>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6.5" customHeight="1" x14ac:dyDescent="0.45">
      <c r="A599" s="1"/>
      <c r="B599" s="1"/>
      <c r="C599" s="1"/>
      <c r="D599" s="55"/>
      <c r="E599" s="55"/>
      <c r="F599" s="55"/>
      <c r="G599" s="55"/>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6.5" customHeight="1" x14ac:dyDescent="0.45">
      <c r="A600" s="1"/>
      <c r="B600" s="1"/>
      <c r="C600" s="1"/>
      <c r="D600" s="55"/>
      <c r="E600" s="55"/>
      <c r="F600" s="55"/>
      <c r="G600" s="55"/>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6.5" customHeight="1" x14ac:dyDescent="0.45">
      <c r="A601" s="1"/>
      <c r="B601" s="1"/>
      <c r="C601" s="1"/>
      <c r="D601" s="55"/>
      <c r="E601" s="55"/>
      <c r="F601" s="55"/>
      <c r="G601" s="55"/>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6.5" customHeight="1" x14ac:dyDescent="0.45">
      <c r="A602" s="1"/>
      <c r="B602" s="1"/>
      <c r="C602" s="1"/>
      <c r="D602" s="55"/>
      <c r="E602" s="55"/>
      <c r="F602" s="55"/>
      <c r="G602" s="55"/>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6.5" customHeight="1" x14ac:dyDescent="0.45">
      <c r="A603" s="1"/>
      <c r="B603" s="1"/>
      <c r="C603" s="1"/>
      <c r="D603" s="55"/>
      <c r="E603" s="55"/>
      <c r="F603" s="55"/>
      <c r="G603" s="55"/>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6.5" customHeight="1" x14ac:dyDescent="0.45">
      <c r="A604" s="1"/>
      <c r="B604" s="1"/>
      <c r="C604" s="1"/>
      <c r="D604" s="55"/>
      <c r="E604" s="55"/>
      <c r="F604" s="55"/>
      <c r="G604" s="55"/>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6.5" customHeight="1" x14ac:dyDescent="0.45">
      <c r="A605" s="1"/>
      <c r="B605" s="1"/>
      <c r="C605" s="1"/>
      <c r="D605" s="55"/>
      <c r="E605" s="55"/>
      <c r="F605" s="55"/>
      <c r="G605" s="55"/>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6.5" customHeight="1" x14ac:dyDescent="0.45">
      <c r="A606" s="1"/>
      <c r="B606" s="1"/>
      <c r="C606" s="1"/>
      <c r="D606" s="55"/>
      <c r="E606" s="55"/>
      <c r="F606" s="55"/>
      <c r="G606" s="55"/>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6.5" customHeight="1" x14ac:dyDescent="0.45">
      <c r="A607" s="1"/>
      <c r="B607" s="1"/>
      <c r="C607" s="1"/>
      <c r="D607" s="55"/>
      <c r="E607" s="55"/>
      <c r="F607" s="55"/>
      <c r="G607" s="55"/>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6.5" customHeight="1" x14ac:dyDescent="0.45">
      <c r="A608" s="1"/>
      <c r="B608" s="1"/>
      <c r="C608" s="1"/>
      <c r="D608" s="55"/>
      <c r="E608" s="55"/>
      <c r="F608" s="55"/>
      <c r="G608" s="55"/>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6.5" customHeight="1" x14ac:dyDescent="0.45">
      <c r="A609" s="1"/>
      <c r="B609" s="1"/>
      <c r="C609" s="1"/>
      <c r="D609" s="55"/>
      <c r="E609" s="55"/>
      <c r="F609" s="55"/>
      <c r="G609" s="55"/>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6.5" customHeight="1" x14ac:dyDescent="0.45">
      <c r="A610" s="1"/>
      <c r="B610" s="1"/>
      <c r="C610" s="1"/>
      <c r="D610" s="55"/>
      <c r="E610" s="55"/>
      <c r="F610" s="55"/>
      <c r="G610" s="55"/>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6.5" customHeight="1" x14ac:dyDescent="0.45">
      <c r="A611" s="1"/>
      <c r="B611" s="1"/>
      <c r="C611" s="1"/>
      <c r="D611" s="55"/>
      <c r="E611" s="55"/>
      <c r="F611" s="55"/>
      <c r="G611" s="55"/>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6.5" customHeight="1" x14ac:dyDescent="0.45">
      <c r="A612" s="1"/>
      <c r="B612" s="1"/>
      <c r="C612" s="1"/>
      <c r="D612" s="55"/>
      <c r="E612" s="55"/>
      <c r="F612" s="55"/>
      <c r="G612" s="55"/>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6.5" customHeight="1" x14ac:dyDescent="0.45">
      <c r="A613" s="1"/>
      <c r="B613" s="1"/>
      <c r="C613" s="1"/>
      <c r="D613" s="55"/>
      <c r="E613" s="55"/>
      <c r="F613" s="55"/>
      <c r="G613" s="55"/>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6.5" customHeight="1" x14ac:dyDescent="0.45">
      <c r="A614" s="1"/>
      <c r="B614" s="1"/>
      <c r="C614" s="1"/>
      <c r="D614" s="55"/>
      <c r="E614" s="55"/>
      <c r="F614" s="55"/>
      <c r="G614" s="55"/>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6.5" customHeight="1" x14ac:dyDescent="0.45">
      <c r="A615" s="1"/>
      <c r="B615" s="1"/>
      <c r="C615" s="1"/>
      <c r="D615" s="55"/>
      <c r="E615" s="55"/>
      <c r="F615" s="55"/>
      <c r="G615" s="55"/>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6.5" customHeight="1" x14ac:dyDescent="0.45">
      <c r="A616" s="1"/>
      <c r="B616" s="1"/>
      <c r="C616" s="1"/>
      <c r="D616" s="55"/>
      <c r="E616" s="55"/>
      <c r="F616" s="55"/>
      <c r="G616" s="55"/>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6.5" customHeight="1" x14ac:dyDescent="0.45">
      <c r="A617" s="1"/>
      <c r="B617" s="1"/>
      <c r="C617" s="1"/>
      <c r="D617" s="55"/>
      <c r="E617" s="55"/>
      <c r="F617" s="55"/>
      <c r="G617" s="55"/>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6.5" customHeight="1" x14ac:dyDescent="0.45">
      <c r="A618" s="1"/>
      <c r="B618" s="1"/>
      <c r="C618" s="1"/>
      <c r="D618" s="55"/>
      <c r="E618" s="55"/>
      <c r="F618" s="55"/>
      <c r="G618" s="55"/>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6.5" customHeight="1" x14ac:dyDescent="0.45">
      <c r="A619" s="1"/>
      <c r="B619" s="1"/>
      <c r="C619" s="1"/>
      <c r="D619" s="55"/>
      <c r="E619" s="55"/>
      <c r="F619" s="55"/>
      <c r="G619" s="55"/>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6.5" customHeight="1" x14ac:dyDescent="0.45">
      <c r="A620" s="1"/>
      <c r="B620" s="1"/>
      <c r="C620" s="1"/>
      <c r="D620" s="55"/>
      <c r="E620" s="55"/>
      <c r="F620" s="55"/>
      <c r="G620" s="55"/>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6.5" customHeight="1" x14ac:dyDescent="0.45">
      <c r="A621" s="1"/>
      <c r="B621" s="1"/>
      <c r="C621" s="1"/>
      <c r="D621" s="55"/>
      <c r="E621" s="55"/>
      <c r="F621" s="55"/>
      <c r="G621" s="55"/>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6.5" customHeight="1" x14ac:dyDescent="0.45">
      <c r="A622" s="1"/>
      <c r="B622" s="1"/>
      <c r="C622" s="1"/>
      <c r="D622" s="55"/>
      <c r="E622" s="55"/>
      <c r="F622" s="55"/>
      <c r="G622" s="55"/>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6.5" customHeight="1" x14ac:dyDescent="0.45">
      <c r="A623" s="1"/>
      <c r="B623" s="1"/>
      <c r="C623" s="1"/>
      <c r="D623" s="55"/>
      <c r="E623" s="55"/>
      <c r="F623" s="55"/>
      <c r="G623" s="55"/>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6.5" customHeight="1" x14ac:dyDescent="0.45">
      <c r="A624" s="1"/>
      <c r="B624" s="1"/>
      <c r="C624" s="1"/>
      <c r="D624" s="55"/>
      <c r="E624" s="55"/>
      <c r="F624" s="55"/>
      <c r="G624" s="55"/>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6.5" customHeight="1" x14ac:dyDescent="0.45">
      <c r="A625" s="1"/>
      <c r="B625" s="1"/>
      <c r="C625" s="1"/>
      <c r="D625" s="55"/>
      <c r="E625" s="55"/>
      <c r="F625" s="55"/>
      <c r="G625" s="55"/>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6.5" customHeight="1" x14ac:dyDescent="0.45">
      <c r="A626" s="1"/>
      <c r="B626" s="1"/>
      <c r="C626" s="1"/>
      <c r="D626" s="55"/>
      <c r="E626" s="55"/>
      <c r="F626" s="55"/>
      <c r="G626" s="55"/>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6.5" customHeight="1" x14ac:dyDescent="0.45">
      <c r="A627" s="1"/>
      <c r="B627" s="1"/>
      <c r="C627" s="1"/>
      <c r="D627" s="55"/>
      <c r="E627" s="55"/>
      <c r="F627" s="55"/>
      <c r="G627" s="55"/>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6.5" customHeight="1" x14ac:dyDescent="0.45">
      <c r="A628" s="1"/>
      <c r="B628" s="1"/>
      <c r="C628" s="1"/>
      <c r="D628" s="55"/>
      <c r="E628" s="55"/>
      <c r="F628" s="55"/>
      <c r="G628" s="55"/>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6.5" customHeight="1" x14ac:dyDescent="0.45">
      <c r="A629" s="1"/>
      <c r="B629" s="1"/>
      <c r="C629" s="1"/>
      <c r="D629" s="55"/>
      <c r="E629" s="55"/>
      <c r="F629" s="55"/>
      <c r="G629" s="55"/>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6.5" customHeight="1" x14ac:dyDescent="0.45">
      <c r="A630" s="1"/>
      <c r="B630" s="1"/>
      <c r="C630" s="1"/>
      <c r="D630" s="55"/>
      <c r="E630" s="55"/>
      <c r="F630" s="55"/>
      <c r="G630" s="55"/>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6.5" customHeight="1" x14ac:dyDescent="0.45">
      <c r="A631" s="1"/>
      <c r="B631" s="1"/>
      <c r="C631" s="1"/>
      <c r="D631" s="55"/>
      <c r="E631" s="55"/>
      <c r="F631" s="55"/>
      <c r="G631" s="55"/>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6.5" customHeight="1" x14ac:dyDescent="0.45">
      <c r="A632" s="1"/>
      <c r="B632" s="1"/>
      <c r="C632" s="1"/>
      <c r="D632" s="55"/>
      <c r="E632" s="55"/>
      <c r="F632" s="55"/>
      <c r="G632" s="55"/>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6.5" customHeight="1" x14ac:dyDescent="0.45">
      <c r="A633" s="1"/>
      <c r="B633" s="1"/>
      <c r="C633" s="1"/>
      <c r="D633" s="55"/>
      <c r="E633" s="55"/>
      <c r="F633" s="55"/>
      <c r="G633" s="55"/>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6.5" customHeight="1" x14ac:dyDescent="0.45">
      <c r="A634" s="1"/>
      <c r="B634" s="1"/>
      <c r="C634" s="1"/>
      <c r="D634" s="55"/>
      <c r="E634" s="55"/>
      <c r="F634" s="55"/>
      <c r="G634" s="55"/>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6.5" customHeight="1" x14ac:dyDescent="0.45">
      <c r="A635" s="1"/>
      <c r="B635" s="1"/>
      <c r="C635" s="1"/>
      <c r="D635" s="55"/>
      <c r="E635" s="55"/>
      <c r="F635" s="55"/>
      <c r="G635" s="55"/>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6.5" customHeight="1" x14ac:dyDescent="0.45">
      <c r="A636" s="1"/>
      <c r="B636" s="1"/>
      <c r="C636" s="1"/>
      <c r="D636" s="55"/>
      <c r="E636" s="55"/>
      <c r="F636" s="55"/>
      <c r="G636" s="55"/>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6.5" customHeight="1" x14ac:dyDescent="0.45">
      <c r="A637" s="1"/>
      <c r="B637" s="1"/>
      <c r="C637" s="1"/>
      <c r="D637" s="55"/>
      <c r="E637" s="55"/>
      <c r="F637" s="55"/>
      <c r="G637" s="55"/>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6.5" customHeight="1" x14ac:dyDescent="0.45">
      <c r="A638" s="1"/>
      <c r="B638" s="1"/>
      <c r="C638" s="1"/>
      <c r="D638" s="55"/>
      <c r="E638" s="55"/>
      <c r="F638" s="55"/>
      <c r="G638" s="55"/>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6.5" customHeight="1" x14ac:dyDescent="0.45">
      <c r="A639" s="1"/>
      <c r="B639" s="1"/>
      <c r="C639" s="1"/>
      <c r="D639" s="55"/>
      <c r="E639" s="55"/>
      <c r="F639" s="55"/>
      <c r="G639" s="55"/>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6.5" customHeight="1" x14ac:dyDescent="0.45">
      <c r="A640" s="1"/>
      <c r="B640" s="1"/>
      <c r="C640" s="1"/>
      <c r="D640" s="55"/>
      <c r="E640" s="55"/>
      <c r="F640" s="55"/>
      <c r="G640" s="55"/>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6.5" customHeight="1" x14ac:dyDescent="0.45">
      <c r="A641" s="1"/>
      <c r="B641" s="1"/>
      <c r="C641" s="1"/>
      <c r="D641" s="55"/>
      <c r="E641" s="55"/>
      <c r="F641" s="55"/>
      <c r="G641" s="55"/>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6.5" customHeight="1" x14ac:dyDescent="0.45">
      <c r="A642" s="1"/>
      <c r="B642" s="1"/>
      <c r="C642" s="1"/>
      <c r="D642" s="55"/>
      <c r="E642" s="55"/>
      <c r="F642" s="55"/>
      <c r="G642" s="55"/>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6.5" customHeight="1" x14ac:dyDescent="0.45">
      <c r="A643" s="1"/>
      <c r="B643" s="1"/>
      <c r="C643" s="1"/>
      <c r="D643" s="55"/>
      <c r="E643" s="55"/>
      <c r="F643" s="55"/>
      <c r="G643" s="55"/>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6.5" customHeight="1" x14ac:dyDescent="0.45">
      <c r="A644" s="1"/>
      <c r="B644" s="1"/>
      <c r="C644" s="1"/>
      <c r="D644" s="55"/>
      <c r="E644" s="55"/>
      <c r="F644" s="55"/>
      <c r="G644" s="55"/>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6.5" customHeight="1" x14ac:dyDescent="0.45">
      <c r="A645" s="1"/>
      <c r="B645" s="1"/>
      <c r="C645" s="1"/>
      <c r="D645" s="55"/>
      <c r="E645" s="55"/>
      <c r="F645" s="55"/>
      <c r="G645" s="55"/>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6.5" customHeight="1" x14ac:dyDescent="0.45">
      <c r="A646" s="1"/>
      <c r="B646" s="1"/>
      <c r="C646" s="1"/>
      <c r="D646" s="55"/>
      <c r="E646" s="55"/>
      <c r="F646" s="55"/>
      <c r="G646" s="55"/>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6.5" customHeight="1" x14ac:dyDescent="0.45">
      <c r="A647" s="1"/>
      <c r="B647" s="1"/>
      <c r="C647" s="1"/>
      <c r="D647" s="55"/>
      <c r="E647" s="55"/>
      <c r="F647" s="55"/>
      <c r="G647" s="55"/>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6.5" customHeight="1" x14ac:dyDescent="0.45">
      <c r="A648" s="1"/>
      <c r="B648" s="1"/>
      <c r="C648" s="1"/>
      <c r="D648" s="55"/>
      <c r="E648" s="55"/>
      <c r="F648" s="55"/>
      <c r="G648" s="55"/>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6.5" customHeight="1" x14ac:dyDescent="0.45">
      <c r="A649" s="1"/>
      <c r="B649" s="1"/>
      <c r="C649" s="1"/>
      <c r="D649" s="55"/>
      <c r="E649" s="55"/>
      <c r="F649" s="55"/>
      <c r="G649" s="55"/>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6.5" customHeight="1" x14ac:dyDescent="0.45">
      <c r="A650" s="1"/>
      <c r="B650" s="1"/>
      <c r="C650" s="1"/>
      <c r="D650" s="55"/>
      <c r="E650" s="55"/>
      <c r="F650" s="55"/>
      <c r="G650" s="55"/>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6.5" customHeight="1" x14ac:dyDescent="0.45">
      <c r="A651" s="1"/>
      <c r="B651" s="1"/>
      <c r="C651" s="1"/>
      <c r="D651" s="55"/>
      <c r="E651" s="55"/>
      <c r="F651" s="55"/>
      <c r="G651" s="55"/>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6.5" customHeight="1" x14ac:dyDescent="0.45">
      <c r="A652" s="1"/>
      <c r="B652" s="1"/>
      <c r="C652" s="1"/>
      <c r="D652" s="55"/>
      <c r="E652" s="55"/>
      <c r="F652" s="55"/>
      <c r="G652" s="55"/>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6.5" customHeight="1" x14ac:dyDescent="0.45">
      <c r="A653" s="1"/>
      <c r="B653" s="1"/>
      <c r="C653" s="1"/>
      <c r="D653" s="55"/>
      <c r="E653" s="55"/>
      <c r="F653" s="55"/>
      <c r="G653" s="55"/>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6.5" customHeight="1" x14ac:dyDescent="0.45">
      <c r="A654" s="1"/>
      <c r="B654" s="1"/>
      <c r="C654" s="1"/>
      <c r="D654" s="55"/>
      <c r="E654" s="55"/>
      <c r="F654" s="55"/>
      <c r="G654" s="55"/>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6.5" customHeight="1" x14ac:dyDescent="0.45">
      <c r="A655" s="1"/>
      <c r="B655" s="1"/>
      <c r="C655" s="1"/>
      <c r="D655" s="55"/>
      <c r="E655" s="55"/>
      <c r="F655" s="55"/>
      <c r="G655" s="55"/>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6.5" customHeight="1" x14ac:dyDescent="0.45">
      <c r="A656" s="1"/>
      <c r="B656" s="1"/>
      <c r="C656" s="1"/>
      <c r="D656" s="55"/>
      <c r="E656" s="55"/>
      <c r="F656" s="55"/>
      <c r="G656" s="55"/>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6.5" customHeight="1" x14ac:dyDescent="0.45">
      <c r="A657" s="1"/>
      <c r="B657" s="1"/>
      <c r="C657" s="1"/>
      <c r="D657" s="55"/>
      <c r="E657" s="55"/>
      <c r="F657" s="55"/>
      <c r="G657" s="55"/>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6.5" customHeight="1" x14ac:dyDescent="0.45">
      <c r="A658" s="1"/>
      <c r="B658" s="1"/>
      <c r="C658" s="1"/>
      <c r="D658" s="55"/>
      <c r="E658" s="55"/>
      <c r="F658" s="55"/>
      <c r="G658" s="55"/>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6.5" customHeight="1" x14ac:dyDescent="0.45">
      <c r="A659" s="1"/>
      <c r="B659" s="1"/>
      <c r="C659" s="1"/>
      <c r="D659" s="55"/>
      <c r="E659" s="55"/>
      <c r="F659" s="55"/>
      <c r="G659" s="55"/>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6.5" customHeight="1" x14ac:dyDescent="0.45">
      <c r="A660" s="1"/>
      <c r="B660" s="1"/>
      <c r="C660" s="1"/>
      <c r="D660" s="55"/>
      <c r="E660" s="55"/>
      <c r="F660" s="55"/>
      <c r="G660" s="55"/>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6.5" customHeight="1" x14ac:dyDescent="0.45">
      <c r="A661" s="1"/>
      <c r="B661" s="1"/>
      <c r="C661" s="1"/>
      <c r="D661" s="55"/>
      <c r="E661" s="55"/>
      <c r="F661" s="55"/>
      <c r="G661" s="55"/>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6.5" customHeight="1" x14ac:dyDescent="0.45">
      <c r="A662" s="1"/>
      <c r="B662" s="1"/>
      <c r="C662" s="1"/>
      <c r="D662" s="55"/>
      <c r="E662" s="55"/>
      <c r="F662" s="55"/>
      <c r="G662" s="55"/>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6.5" customHeight="1" x14ac:dyDescent="0.45">
      <c r="A663" s="1"/>
      <c r="B663" s="1"/>
      <c r="C663" s="1"/>
      <c r="D663" s="55"/>
      <c r="E663" s="55"/>
      <c r="F663" s="55"/>
      <c r="G663" s="55"/>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6.5" customHeight="1" x14ac:dyDescent="0.45">
      <c r="A664" s="1"/>
      <c r="B664" s="1"/>
      <c r="C664" s="1"/>
      <c r="D664" s="55"/>
      <c r="E664" s="55"/>
      <c r="F664" s="55"/>
      <c r="G664" s="55"/>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6.5" customHeight="1" x14ac:dyDescent="0.45">
      <c r="A665" s="1"/>
      <c r="B665" s="1"/>
      <c r="C665" s="1"/>
      <c r="D665" s="55"/>
      <c r="E665" s="55"/>
      <c r="F665" s="55"/>
      <c r="G665" s="55"/>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6.5" customHeight="1" x14ac:dyDescent="0.45">
      <c r="A666" s="1"/>
      <c r="B666" s="1"/>
      <c r="C666" s="1"/>
      <c r="D666" s="55"/>
      <c r="E666" s="55"/>
      <c r="F666" s="55"/>
      <c r="G666" s="55"/>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6.5" customHeight="1" x14ac:dyDescent="0.45">
      <c r="A667" s="1"/>
      <c r="B667" s="1"/>
      <c r="C667" s="1"/>
      <c r="D667" s="55"/>
      <c r="E667" s="55"/>
      <c r="F667" s="55"/>
      <c r="G667" s="55"/>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6.5" customHeight="1" x14ac:dyDescent="0.45">
      <c r="A668" s="1"/>
      <c r="B668" s="1"/>
      <c r="C668" s="1"/>
      <c r="D668" s="55"/>
      <c r="E668" s="55"/>
      <c r="F668" s="55"/>
      <c r="G668" s="55"/>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6.5" customHeight="1" x14ac:dyDescent="0.45">
      <c r="A669" s="1"/>
      <c r="B669" s="1"/>
      <c r="C669" s="1"/>
      <c r="D669" s="55"/>
      <c r="E669" s="55"/>
      <c r="F669" s="55"/>
      <c r="G669" s="55"/>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6.5" customHeight="1" x14ac:dyDescent="0.45">
      <c r="A670" s="1"/>
      <c r="B670" s="1"/>
      <c r="C670" s="1"/>
      <c r="D670" s="55"/>
      <c r="E670" s="55"/>
      <c r="F670" s="55"/>
      <c r="G670" s="55"/>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6.5" customHeight="1" x14ac:dyDescent="0.45">
      <c r="A671" s="1"/>
      <c r="B671" s="1"/>
      <c r="C671" s="1"/>
      <c r="D671" s="55"/>
      <c r="E671" s="55"/>
      <c r="F671" s="55"/>
      <c r="G671" s="55"/>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6.5" customHeight="1" x14ac:dyDescent="0.45">
      <c r="A672" s="1"/>
      <c r="B672" s="1"/>
      <c r="C672" s="1"/>
      <c r="D672" s="55"/>
      <c r="E672" s="55"/>
      <c r="F672" s="55"/>
      <c r="G672" s="55"/>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6.5" customHeight="1" x14ac:dyDescent="0.45">
      <c r="A673" s="1"/>
      <c r="B673" s="1"/>
      <c r="C673" s="1"/>
      <c r="D673" s="55"/>
      <c r="E673" s="55"/>
      <c r="F673" s="55"/>
      <c r="G673" s="55"/>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6.5" customHeight="1" x14ac:dyDescent="0.45">
      <c r="A674" s="1"/>
      <c r="B674" s="1"/>
      <c r="C674" s="1"/>
      <c r="D674" s="55"/>
      <c r="E674" s="55"/>
      <c r="F674" s="55"/>
      <c r="G674" s="55"/>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6.5" customHeight="1" x14ac:dyDescent="0.45">
      <c r="A675" s="1"/>
      <c r="B675" s="1"/>
      <c r="C675" s="1"/>
      <c r="D675" s="55"/>
      <c r="E675" s="55"/>
      <c r="F675" s="55"/>
      <c r="G675" s="55"/>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6.5" customHeight="1" x14ac:dyDescent="0.45">
      <c r="A676" s="1"/>
      <c r="B676" s="1"/>
      <c r="C676" s="1"/>
      <c r="D676" s="55"/>
      <c r="E676" s="55"/>
      <c r="F676" s="55"/>
      <c r="G676" s="55"/>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6.5" customHeight="1" x14ac:dyDescent="0.45">
      <c r="A677" s="1"/>
      <c r="B677" s="1"/>
      <c r="C677" s="1"/>
      <c r="D677" s="55"/>
      <c r="E677" s="55"/>
      <c r="F677" s="55"/>
      <c r="G677" s="55"/>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6.5" customHeight="1" x14ac:dyDescent="0.45">
      <c r="A678" s="1"/>
      <c r="B678" s="1"/>
      <c r="C678" s="1"/>
      <c r="D678" s="55"/>
      <c r="E678" s="55"/>
      <c r="F678" s="55"/>
      <c r="G678" s="55"/>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6.5" customHeight="1" x14ac:dyDescent="0.45">
      <c r="A679" s="1"/>
      <c r="B679" s="1"/>
      <c r="C679" s="1"/>
      <c r="D679" s="55"/>
      <c r="E679" s="55"/>
      <c r="F679" s="55"/>
      <c r="G679" s="55"/>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6.5" customHeight="1" x14ac:dyDescent="0.45">
      <c r="A680" s="1"/>
      <c r="B680" s="1"/>
      <c r="C680" s="1"/>
      <c r="D680" s="55"/>
      <c r="E680" s="55"/>
      <c r="F680" s="55"/>
      <c r="G680" s="55"/>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6.5" customHeight="1" x14ac:dyDescent="0.45">
      <c r="A681" s="1"/>
      <c r="B681" s="1"/>
      <c r="C681" s="1"/>
      <c r="D681" s="55"/>
      <c r="E681" s="55"/>
      <c r="F681" s="55"/>
      <c r="G681" s="55"/>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6.5" customHeight="1" x14ac:dyDescent="0.45">
      <c r="A682" s="1"/>
      <c r="B682" s="1"/>
      <c r="C682" s="1"/>
      <c r="D682" s="55"/>
      <c r="E682" s="55"/>
      <c r="F682" s="55"/>
      <c r="G682" s="55"/>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6.5" customHeight="1" x14ac:dyDescent="0.45">
      <c r="A683" s="1"/>
      <c r="B683" s="1"/>
      <c r="C683" s="1"/>
      <c r="D683" s="55"/>
      <c r="E683" s="55"/>
      <c r="F683" s="55"/>
      <c r="G683" s="55"/>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6.5" customHeight="1" x14ac:dyDescent="0.45">
      <c r="A684" s="1"/>
      <c r="B684" s="1"/>
      <c r="C684" s="1"/>
      <c r="D684" s="55"/>
      <c r="E684" s="55"/>
      <c r="F684" s="55"/>
      <c r="G684" s="55"/>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6.5" customHeight="1" x14ac:dyDescent="0.45">
      <c r="A685" s="1"/>
      <c r="B685" s="1"/>
      <c r="C685" s="1"/>
      <c r="D685" s="55"/>
      <c r="E685" s="55"/>
      <c r="F685" s="55"/>
      <c r="G685" s="55"/>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6.5" customHeight="1" x14ac:dyDescent="0.45">
      <c r="A686" s="1"/>
      <c r="B686" s="1"/>
      <c r="C686" s="1"/>
      <c r="D686" s="55"/>
      <c r="E686" s="55"/>
      <c r="F686" s="55"/>
      <c r="G686" s="55"/>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6.5" customHeight="1" x14ac:dyDescent="0.45">
      <c r="A687" s="1"/>
      <c r="B687" s="1"/>
      <c r="C687" s="1"/>
      <c r="D687" s="55"/>
      <c r="E687" s="55"/>
      <c r="F687" s="55"/>
      <c r="G687" s="55"/>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6.5" customHeight="1" x14ac:dyDescent="0.45">
      <c r="A688" s="1"/>
      <c r="B688" s="1"/>
      <c r="C688" s="1"/>
      <c r="D688" s="55"/>
      <c r="E688" s="55"/>
      <c r="F688" s="55"/>
      <c r="G688" s="55"/>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6.5" customHeight="1" x14ac:dyDescent="0.45">
      <c r="A689" s="1"/>
      <c r="B689" s="1"/>
      <c r="C689" s="1"/>
      <c r="D689" s="55"/>
      <c r="E689" s="55"/>
      <c r="F689" s="55"/>
      <c r="G689" s="55"/>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6.5" customHeight="1" x14ac:dyDescent="0.45">
      <c r="A690" s="1"/>
      <c r="B690" s="1"/>
      <c r="C690" s="1"/>
      <c r="D690" s="55"/>
      <c r="E690" s="55"/>
      <c r="F690" s="55"/>
      <c r="G690" s="55"/>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sheetData>
  <mergeCells count="2">
    <mergeCell ref="J319:L325"/>
    <mergeCell ref="J326:L332"/>
  </mergeCells>
  <conditionalFormatting sqref="E171:R200">
    <cfRule type="cellIs" dxfId="2" priority="1" operator="lessThan">
      <formula>0</formula>
    </cfRule>
  </conditionalFormatting>
  <conditionalFormatting sqref="E106:BE123">
    <cfRule type="cellIs" dxfId="1" priority="2" operator="greaterThan">
      <formula>0</formula>
    </cfRule>
  </conditionalFormatting>
  <conditionalFormatting sqref="E487:BE487">
    <cfRule type="cellIs" dxfId="0" priority="3" operator="lessThan">
      <formula>0</formula>
    </cfRule>
  </conditionalFormatting>
  <hyperlinks>
    <hyperlink ref="D73" location="Google_Sheet_Link_1571033540" display="Nueva capacidad proyectada en los actuales planes de expansión" xr:uid="{00000000-0004-0000-0300-000000000000}"/>
  </hyperlink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FC5E8"/>
  </sheetPr>
  <dimension ref="A1:BE1000"/>
  <sheetViews>
    <sheetView tabSelected="1" topLeftCell="C1" workbookViewId="0">
      <selection activeCell="F76" sqref="F76"/>
    </sheetView>
  </sheetViews>
  <sheetFormatPr defaultColWidth="12.69140625" defaultRowHeight="15" customHeight="1" x14ac:dyDescent="0.45"/>
  <cols>
    <col min="1" max="1" width="3" customWidth="1"/>
    <col min="2" max="2" width="1.3828125" customWidth="1"/>
    <col min="3" max="3" width="18.23046875" customWidth="1"/>
    <col min="4" max="4" width="43.3828125" customWidth="1"/>
    <col min="5" max="5" width="9.765625" customWidth="1"/>
    <col min="6" max="6" width="9.3828125" customWidth="1"/>
    <col min="7" max="8" width="5.921875" bestFit="1" customWidth="1"/>
    <col min="9" max="38" width="6.3046875" customWidth="1"/>
  </cols>
  <sheetData>
    <row r="1" spans="1:57" ht="14.25" customHeight="1" x14ac:dyDescent="0.45">
      <c r="A1" s="618"/>
      <c r="B1" s="54"/>
      <c r="C1" s="349"/>
      <c r="D1" s="619" t="s">
        <v>19</v>
      </c>
      <c r="E1" s="123">
        <v>2018</v>
      </c>
      <c r="F1" s="123">
        <v>2019</v>
      </c>
      <c r="G1" s="123">
        <v>2020</v>
      </c>
      <c r="H1" s="123">
        <v>2021</v>
      </c>
      <c r="I1" s="141">
        <v>2022</v>
      </c>
      <c r="J1" s="141">
        <v>2023</v>
      </c>
      <c r="K1" s="141">
        <v>2024</v>
      </c>
      <c r="L1" s="141">
        <v>2025</v>
      </c>
      <c r="M1" s="141">
        <v>2026</v>
      </c>
      <c r="N1" s="141">
        <v>2027</v>
      </c>
      <c r="O1" s="141">
        <v>2028</v>
      </c>
      <c r="P1" s="141">
        <v>2029</v>
      </c>
      <c r="Q1" s="141">
        <v>2030</v>
      </c>
      <c r="R1" s="141">
        <v>2031</v>
      </c>
      <c r="S1" s="141">
        <v>2032</v>
      </c>
      <c r="T1" s="141">
        <v>2033</v>
      </c>
      <c r="U1" s="141">
        <v>2034</v>
      </c>
      <c r="V1" s="141">
        <v>2035</v>
      </c>
      <c r="W1" s="141">
        <v>2036</v>
      </c>
      <c r="X1" s="141">
        <v>2037</v>
      </c>
      <c r="Y1" s="141">
        <v>2038</v>
      </c>
      <c r="Z1" s="141">
        <v>2039</v>
      </c>
      <c r="AA1" s="141">
        <v>2040</v>
      </c>
      <c r="AB1" s="141">
        <v>2041</v>
      </c>
      <c r="AC1" s="141">
        <v>2042</v>
      </c>
      <c r="AD1" s="141">
        <v>2043</v>
      </c>
      <c r="AE1" s="141">
        <v>2044</v>
      </c>
      <c r="AF1" s="141">
        <v>2045</v>
      </c>
      <c r="AG1" s="141">
        <v>2046</v>
      </c>
      <c r="AH1" s="141">
        <v>2047</v>
      </c>
      <c r="AI1" s="141">
        <v>2048</v>
      </c>
      <c r="AJ1" s="141">
        <v>2049</v>
      </c>
      <c r="AK1" s="142">
        <v>2050</v>
      </c>
      <c r="AL1" s="141">
        <v>2051</v>
      </c>
      <c r="AM1" s="141">
        <v>2052</v>
      </c>
      <c r="AN1" s="141">
        <v>2053</v>
      </c>
      <c r="AO1" s="141">
        <v>2054</v>
      </c>
      <c r="AP1" s="141">
        <v>2055</v>
      </c>
      <c r="AQ1" s="141">
        <v>2056</v>
      </c>
      <c r="AR1" s="141">
        <v>2057</v>
      </c>
      <c r="AS1" s="141">
        <v>2058</v>
      </c>
      <c r="AT1" s="142">
        <v>2059</v>
      </c>
      <c r="AU1" s="141">
        <v>2060</v>
      </c>
      <c r="AV1" s="141">
        <v>2061</v>
      </c>
      <c r="AW1" s="141">
        <v>2062</v>
      </c>
      <c r="AX1" s="141">
        <v>2063</v>
      </c>
      <c r="AY1" s="141">
        <v>2064</v>
      </c>
      <c r="AZ1" s="141">
        <v>2065</v>
      </c>
      <c r="BA1" s="141">
        <v>2066</v>
      </c>
      <c r="BB1" s="141">
        <v>2067</v>
      </c>
      <c r="BC1" s="142">
        <v>2068</v>
      </c>
      <c r="BD1" s="141">
        <v>2069</v>
      </c>
      <c r="BE1" s="141">
        <v>2070</v>
      </c>
    </row>
    <row r="2" spans="1:57" ht="14.2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3"/>
      <c r="AN2" s="3"/>
      <c r="AO2" s="3"/>
      <c r="AP2" s="3"/>
      <c r="AQ2" s="3"/>
      <c r="AR2" s="3"/>
      <c r="AS2" s="3"/>
      <c r="AT2" s="3"/>
      <c r="AU2" s="3"/>
      <c r="AV2" s="3"/>
      <c r="AW2" s="3"/>
      <c r="AX2" s="3"/>
      <c r="AY2" s="3"/>
      <c r="AZ2" s="3"/>
      <c r="BA2" s="3"/>
      <c r="BB2" s="3"/>
      <c r="BC2" s="3"/>
      <c r="BD2" s="3"/>
      <c r="BE2" s="3"/>
    </row>
    <row r="3" spans="1:57" ht="14.25" customHeight="1" x14ac:dyDescent="0.45">
      <c r="A3" s="618"/>
      <c r="B3" s="63"/>
      <c r="C3" s="398"/>
      <c r="D3" s="399"/>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398"/>
      <c r="AE3" s="398"/>
      <c r="AF3" s="398"/>
      <c r="AG3" s="398"/>
      <c r="AH3" s="398"/>
      <c r="AI3" s="398"/>
      <c r="AJ3" s="398"/>
      <c r="AK3" s="398"/>
      <c r="AL3" s="398"/>
      <c r="AM3" s="398"/>
      <c r="AN3" s="398"/>
      <c r="AO3" s="398"/>
      <c r="AP3" s="398"/>
      <c r="AQ3" s="398"/>
      <c r="AR3" s="398"/>
      <c r="AS3" s="398"/>
      <c r="AT3" s="398"/>
      <c r="AU3" s="398"/>
      <c r="AV3" s="398"/>
      <c r="AW3" s="398"/>
      <c r="AX3" s="398"/>
      <c r="AY3" s="398"/>
      <c r="AZ3" s="398"/>
      <c r="BA3" s="398"/>
      <c r="BB3" s="398"/>
      <c r="BC3" s="398"/>
      <c r="BD3" s="398"/>
      <c r="BE3" s="398"/>
    </row>
    <row r="4" spans="1:57" ht="14.25" customHeight="1" x14ac:dyDescent="0.45">
      <c r="A4" s="618"/>
      <c r="B4" s="400"/>
      <c r="C4" s="401"/>
      <c r="D4" s="402" t="s">
        <v>478</v>
      </c>
      <c r="E4" s="403"/>
      <c r="F4" s="403"/>
      <c r="G4" s="403"/>
      <c r="H4" s="403"/>
      <c r="I4" s="403"/>
      <c r="J4" s="403"/>
      <c r="K4" s="403"/>
      <c r="L4" s="403"/>
      <c r="M4" s="403"/>
      <c r="N4" s="403"/>
      <c r="O4" s="403"/>
      <c r="P4" s="403"/>
      <c r="Q4" s="403"/>
      <c r="R4" s="403"/>
      <c r="S4" s="403"/>
      <c r="T4" s="403"/>
      <c r="U4" s="403"/>
      <c r="V4" s="403"/>
      <c r="W4" s="403"/>
      <c r="X4" s="403"/>
      <c r="Y4" s="403"/>
      <c r="Z4" s="403"/>
      <c r="AA4" s="403"/>
      <c r="AB4" s="403"/>
      <c r="AC4" s="403"/>
      <c r="AD4" s="403"/>
      <c r="AE4" s="403"/>
      <c r="AF4" s="403"/>
      <c r="AG4" s="403"/>
      <c r="AH4" s="403"/>
      <c r="AI4" s="403"/>
      <c r="AJ4" s="403"/>
      <c r="AK4" s="403"/>
      <c r="AL4" s="403"/>
      <c r="AM4" s="403"/>
      <c r="AN4" s="403"/>
      <c r="AO4" s="403"/>
      <c r="AP4" s="403"/>
      <c r="AQ4" s="403"/>
      <c r="AR4" s="403"/>
      <c r="AS4" s="403"/>
      <c r="AT4" s="403"/>
      <c r="AU4" s="403"/>
      <c r="AV4" s="403"/>
      <c r="AW4" s="403"/>
      <c r="AX4" s="403"/>
      <c r="AY4" s="403"/>
      <c r="AZ4" s="403"/>
      <c r="BA4" s="403"/>
      <c r="BB4" s="403"/>
      <c r="BC4" s="403"/>
      <c r="BD4" s="403"/>
      <c r="BE4" s="403"/>
    </row>
    <row r="5" spans="1:57" ht="14.25" customHeight="1" x14ac:dyDescent="0.45">
      <c r="A5" s="618"/>
      <c r="B5" s="400"/>
      <c r="C5" s="401"/>
      <c r="D5" s="404" t="s">
        <v>479</v>
      </c>
      <c r="E5" s="403"/>
      <c r="F5" s="403"/>
      <c r="G5" s="403"/>
      <c r="H5" s="403"/>
      <c r="I5" s="403"/>
      <c r="J5" s="403"/>
      <c r="K5" s="403"/>
      <c r="L5" s="403"/>
      <c r="M5" s="403"/>
      <c r="N5" s="403"/>
      <c r="O5" s="403"/>
      <c r="P5" s="403"/>
      <c r="Q5" s="403"/>
      <c r="R5" s="403"/>
      <c r="S5" s="403"/>
      <c r="T5" s="403"/>
      <c r="U5" s="403"/>
      <c r="V5" s="403"/>
      <c r="W5" s="403"/>
      <c r="X5" s="403"/>
      <c r="Y5" s="403"/>
      <c r="Z5" s="403"/>
      <c r="AA5" s="403"/>
      <c r="AB5" s="403"/>
      <c r="AC5" s="403"/>
      <c r="AD5" s="403"/>
      <c r="AE5" s="403"/>
      <c r="AF5" s="403"/>
      <c r="AG5" s="403"/>
      <c r="AH5" s="403"/>
      <c r="AI5" s="403"/>
      <c r="AJ5" s="403"/>
      <c r="AK5" s="403"/>
      <c r="AL5" s="403"/>
      <c r="AM5" s="403"/>
      <c r="AN5" s="403"/>
      <c r="AO5" s="403"/>
      <c r="AP5" s="403"/>
      <c r="AQ5" s="403"/>
      <c r="AR5" s="403"/>
      <c r="AS5" s="403"/>
      <c r="AT5" s="403"/>
      <c r="AU5" s="403"/>
      <c r="AV5" s="403"/>
      <c r="AW5" s="403"/>
      <c r="AX5" s="403"/>
      <c r="AY5" s="403"/>
      <c r="AZ5" s="403"/>
      <c r="BA5" s="403"/>
      <c r="BB5" s="403"/>
      <c r="BC5" s="403"/>
      <c r="BD5" s="403"/>
      <c r="BE5" s="403"/>
    </row>
    <row r="6" spans="1:57" ht="14.25" customHeight="1" x14ac:dyDescent="0.45">
      <c r="A6" s="618">
        <v>1</v>
      </c>
      <c r="B6" s="400"/>
      <c r="C6" s="401"/>
      <c r="D6" s="405" t="s">
        <v>480</v>
      </c>
      <c r="E6" s="406" t="s">
        <v>221</v>
      </c>
      <c r="F6" s="406" t="s">
        <v>221</v>
      </c>
      <c r="G6" s="406" t="s">
        <v>221</v>
      </c>
      <c r="H6" s="406" t="s">
        <v>221</v>
      </c>
      <c r="I6" s="406" t="s">
        <v>221</v>
      </c>
      <c r="J6" s="406" t="s">
        <v>221</v>
      </c>
      <c r="K6" s="406" t="s">
        <v>221</v>
      </c>
      <c r="L6" s="406" t="s">
        <v>221</v>
      </c>
      <c r="M6" s="406" t="s">
        <v>221</v>
      </c>
      <c r="N6" s="406" t="s">
        <v>221</v>
      </c>
      <c r="O6" s="406" t="s">
        <v>221</v>
      </c>
      <c r="P6" s="406" t="s">
        <v>221</v>
      </c>
      <c r="Q6" s="406" t="s">
        <v>221</v>
      </c>
      <c r="R6" s="406" t="s">
        <v>221</v>
      </c>
      <c r="S6" s="406" t="s">
        <v>221</v>
      </c>
      <c r="T6" s="406" t="s">
        <v>221</v>
      </c>
      <c r="U6" s="406" t="s">
        <v>221</v>
      </c>
      <c r="V6" s="406" t="s">
        <v>221</v>
      </c>
      <c r="W6" s="406" t="s">
        <v>221</v>
      </c>
      <c r="X6" s="406" t="s">
        <v>221</v>
      </c>
      <c r="Y6" s="406" t="s">
        <v>221</v>
      </c>
      <c r="Z6" s="406" t="s">
        <v>221</v>
      </c>
      <c r="AA6" s="406" t="s">
        <v>221</v>
      </c>
      <c r="AB6" s="406" t="s">
        <v>221</v>
      </c>
      <c r="AC6" s="406" t="s">
        <v>221</v>
      </c>
      <c r="AD6" s="406" t="s">
        <v>221</v>
      </c>
      <c r="AE6" s="406" t="s">
        <v>221</v>
      </c>
      <c r="AF6" s="406" t="s">
        <v>221</v>
      </c>
      <c r="AG6" s="406" t="s">
        <v>221</v>
      </c>
      <c r="AH6" s="406" t="s">
        <v>221</v>
      </c>
      <c r="AI6" s="406" t="s">
        <v>221</v>
      </c>
      <c r="AJ6" s="406" t="s">
        <v>221</v>
      </c>
      <c r="AK6" s="406" t="s">
        <v>221</v>
      </c>
      <c r="AL6" s="406" t="s">
        <v>221</v>
      </c>
      <c r="AM6" s="406" t="s">
        <v>221</v>
      </c>
      <c r="AN6" s="406" t="s">
        <v>221</v>
      </c>
      <c r="AO6" s="406" t="s">
        <v>221</v>
      </c>
      <c r="AP6" s="406" t="s">
        <v>221</v>
      </c>
      <c r="AQ6" s="406" t="s">
        <v>221</v>
      </c>
      <c r="AR6" s="406" t="s">
        <v>221</v>
      </c>
      <c r="AS6" s="406" t="s">
        <v>221</v>
      </c>
      <c r="AT6" s="406" t="s">
        <v>221</v>
      </c>
      <c r="AU6" s="406" t="s">
        <v>221</v>
      </c>
      <c r="AV6" s="406" t="s">
        <v>221</v>
      </c>
      <c r="AW6" s="406" t="s">
        <v>221</v>
      </c>
      <c r="AX6" s="406" t="s">
        <v>221</v>
      </c>
      <c r="AY6" s="406" t="s">
        <v>221</v>
      </c>
      <c r="AZ6" s="406" t="s">
        <v>221</v>
      </c>
      <c r="BA6" s="406" t="s">
        <v>221</v>
      </c>
      <c r="BB6" s="406" t="s">
        <v>221</v>
      </c>
      <c r="BC6" s="406" t="s">
        <v>221</v>
      </c>
      <c r="BD6" s="406" t="s">
        <v>221</v>
      </c>
      <c r="BE6" s="406" t="s">
        <v>221</v>
      </c>
    </row>
    <row r="7" spans="1:57" ht="14.25" customHeight="1" x14ac:dyDescent="0.45">
      <c r="A7" s="618">
        <v>1</v>
      </c>
      <c r="B7" s="400"/>
      <c r="C7" s="401" t="s">
        <v>481</v>
      </c>
      <c r="D7" s="405" t="s">
        <v>482</v>
      </c>
      <c r="E7" s="406">
        <f>'Copia de Demandas de energía '!D7*$E$89</f>
        <v>9.912853628146473E-2</v>
      </c>
      <c r="F7" s="406">
        <f>'Copia de Demandas de energía '!E7*$E$89</f>
        <v>0.12304462305171955</v>
      </c>
      <c r="G7" s="406">
        <f>'Copia de Demandas de energía '!F7*$E$89</f>
        <v>3.4599036083717095E-2</v>
      </c>
      <c r="H7" s="406">
        <f>'Copia de Demandas de energía '!G7*$E$89</f>
        <v>0.23700357618085477</v>
      </c>
      <c r="I7" s="650">
        <v>0</v>
      </c>
      <c r="J7" s="407">
        <v>0.25</v>
      </c>
      <c r="K7" s="407">
        <v>0.25</v>
      </c>
      <c r="L7" s="407">
        <v>0.26</v>
      </c>
      <c r="M7" s="407">
        <v>0.26</v>
      </c>
      <c r="N7" s="407">
        <v>0.28000000000000003</v>
      </c>
      <c r="O7" s="407">
        <v>0.28000000000000003</v>
      </c>
      <c r="P7" s="407">
        <v>0.28999999999999998</v>
      </c>
      <c r="Q7" s="407">
        <v>0.28999999999999998</v>
      </c>
      <c r="R7" s="407">
        <v>0.3</v>
      </c>
      <c r="S7" s="407">
        <v>0.31</v>
      </c>
      <c r="T7" s="407">
        <v>0.32</v>
      </c>
      <c r="U7" s="407">
        <v>0.32</v>
      </c>
      <c r="V7" s="407">
        <v>0.33</v>
      </c>
      <c r="W7" s="407">
        <v>0.34</v>
      </c>
      <c r="X7" s="407">
        <v>0.35</v>
      </c>
      <c r="Y7" s="407">
        <v>0.35</v>
      </c>
      <c r="Z7" s="407">
        <v>0.36</v>
      </c>
      <c r="AA7" s="407">
        <v>0.37</v>
      </c>
      <c r="AB7" s="407">
        <v>0.38</v>
      </c>
      <c r="AC7" s="407">
        <v>0.38</v>
      </c>
      <c r="AD7" s="407">
        <v>0.39</v>
      </c>
      <c r="AE7" s="407">
        <v>0.39</v>
      </c>
      <c r="AF7" s="407">
        <v>0.4</v>
      </c>
      <c r="AG7" s="407">
        <v>0.41</v>
      </c>
      <c r="AH7" s="407">
        <v>0.42</v>
      </c>
      <c r="AI7" s="407">
        <v>0.42</v>
      </c>
      <c r="AJ7" s="407">
        <v>0.43</v>
      </c>
      <c r="AK7" s="407">
        <v>0.43</v>
      </c>
      <c r="AL7" s="144">
        <v>0.44</v>
      </c>
      <c r="AM7" s="144">
        <v>0.45</v>
      </c>
      <c r="AN7" s="144">
        <v>0.45</v>
      </c>
      <c r="AO7" s="144">
        <v>0.46</v>
      </c>
      <c r="AP7" s="144">
        <v>0.47</v>
      </c>
      <c r="AQ7" s="144">
        <v>0.47</v>
      </c>
      <c r="AR7" s="144">
        <v>0.48</v>
      </c>
      <c r="AS7" s="144">
        <v>0.48</v>
      </c>
      <c r="AT7" s="144">
        <v>0.49</v>
      </c>
      <c r="AU7" s="144">
        <v>0.5</v>
      </c>
      <c r="AV7" s="144">
        <v>0.5</v>
      </c>
      <c r="AW7" s="144">
        <v>0.51</v>
      </c>
      <c r="AX7" s="144">
        <v>0.51</v>
      </c>
      <c r="AY7" s="144">
        <v>0.52</v>
      </c>
      <c r="AZ7" s="144">
        <v>0.53</v>
      </c>
      <c r="BA7" s="144">
        <v>0.53</v>
      </c>
      <c r="BB7" s="144">
        <v>0.54</v>
      </c>
      <c r="BC7" s="144">
        <v>0.54</v>
      </c>
      <c r="BD7" s="144">
        <v>0.55000000000000004</v>
      </c>
      <c r="BE7" s="144">
        <v>0.55000000000000004</v>
      </c>
    </row>
    <row r="8" spans="1:57" ht="14.25" customHeight="1" x14ac:dyDescent="0.45">
      <c r="A8" s="618" t="s">
        <v>31</v>
      </c>
      <c r="B8" s="400"/>
      <c r="C8" s="401" t="s">
        <v>483</v>
      </c>
      <c r="D8" s="405" t="s">
        <v>484</v>
      </c>
      <c r="E8" s="406">
        <f>'Copia de Demandas de energía '!D8*$E$89</f>
        <v>0.6137980152738497</v>
      </c>
      <c r="F8" s="406">
        <f>'Copia de Demandas de energía '!E8*$E$89</f>
        <v>0.85415239140291177</v>
      </c>
      <c r="G8" s="406">
        <f>'Copia de Demandas de energía '!F8*$E$89</f>
        <v>0.74826209640797103</v>
      </c>
      <c r="H8" s="406">
        <f>'Copia de Demandas de energía '!G8*$E$89</f>
        <v>1.0382512099048955</v>
      </c>
      <c r="I8" s="650">
        <v>0.90639122014202711</v>
      </c>
      <c r="J8" s="407">
        <v>1.1000000000000001</v>
      </c>
      <c r="K8" s="407">
        <v>1.1399999999999999</v>
      </c>
      <c r="L8" s="407">
        <v>1.1599999999999999</v>
      </c>
      <c r="M8" s="407">
        <v>1.2</v>
      </c>
      <c r="N8" s="407">
        <v>1.23</v>
      </c>
      <c r="O8" s="407">
        <v>1.27</v>
      </c>
      <c r="P8" s="407">
        <v>1.29</v>
      </c>
      <c r="Q8" s="407">
        <v>1.33</v>
      </c>
      <c r="R8" s="407">
        <v>1.36</v>
      </c>
      <c r="S8" s="407">
        <v>1.4</v>
      </c>
      <c r="T8" s="407">
        <v>1.43</v>
      </c>
      <c r="U8" s="407">
        <v>1.47</v>
      </c>
      <c r="V8" s="407">
        <v>1.49</v>
      </c>
      <c r="W8" s="407">
        <v>1.54</v>
      </c>
      <c r="X8" s="407">
        <v>1.57</v>
      </c>
      <c r="Y8" s="407">
        <v>1.61</v>
      </c>
      <c r="Z8" s="407">
        <v>1.64</v>
      </c>
      <c r="AA8" s="407">
        <v>1.68</v>
      </c>
      <c r="AB8" s="407">
        <v>1.71</v>
      </c>
      <c r="AC8" s="407">
        <v>1.76</v>
      </c>
      <c r="AD8" s="407">
        <v>1.78</v>
      </c>
      <c r="AE8" s="407">
        <v>1.82</v>
      </c>
      <c r="AF8" s="407">
        <v>1.85</v>
      </c>
      <c r="AG8" s="407">
        <v>1.89</v>
      </c>
      <c r="AH8" s="407">
        <v>1.92</v>
      </c>
      <c r="AI8" s="407">
        <v>1.96</v>
      </c>
      <c r="AJ8" s="407">
        <v>1.99</v>
      </c>
      <c r="AK8" s="407">
        <v>2.0299999999999998</v>
      </c>
      <c r="AL8" s="144">
        <v>2.0699999999999998</v>
      </c>
      <c r="AM8" s="144">
        <v>2.1</v>
      </c>
      <c r="AN8" s="144">
        <v>2.14</v>
      </c>
      <c r="AO8" s="144">
        <v>2.1800000000000002</v>
      </c>
      <c r="AP8" s="144">
        <v>2.2200000000000002</v>
      </c>
      <c r="AQ8" s="144">
        <v>2.2599999999999998</v>
      </c>
      <c r="AR8" s="144">
        <v>2.31</v>
      </c>
      <c r="AS8" s="144">
        <v>2.35</v>
      </c>
      <c r="AT8" s="144">
        <v>2.39</v>
      </c>
      <c r="AU8" s="144">
        <v>2.44</v>
      </c>
      <c r="AV8" s="144">
        <v>2.48</v>
      </c>
      <c r="AW8" s="144">
        <v>2.5299999999999998</v>
      </c>
      <c r="AX8" s="144">
        <v>2.57</v>
      </c>
      <c r="AY8" s="144">
        <v>2.62</v>
      </c>
      <c r="AZ8" s="144">
        <v>2.67</v>
      </c>
      <c r="BA8" s="144">
        <v>2.72</v>
      </c>
      <c r="BB8" s="144">
        <v>2.77</v>
      </c>
      <c r="BC8" s="144">
        <v>2.82</v>
      </c>
      <c r="BD8" s="144">
        <v>2.87</v>
      </c>
      <c r="BE8" s="144">
        <v>2.93</v>
      </c>
    </row>
    <row r="9" spans="1:57" ht="14.25" customHeight="1" x14ac:dyDescent="0.45">
      <c r="A9" s="618">
        <v>1</v>
      </c>
      <c r="B9" s="400"/>
      <c r="C9" s="401" t="s">
        <v>485</v>
      </c>
      <c r="D9" s="405" t="s">
        <v>486</v>
      </c>
      <c r="E9" s="406">
        <f>'Copia de Demandas de energía '!D9*$E$89</f>
        <v>34.952288680728131</v>
      </c>
      <c r="F9" s="406">
        <f>'Copia de Demandas de energía '!E9*$E$89</f>
        <v>32.606013465490761</v>
      </c>
      <c r="G9" s="406">
        <f>'Copia de Demandas de energía '!F9*$E$89</f>
        <v>25.107180831039649</v>
      </c>
      <c r="H9" s="406">
        <f>'Copia de Demandas de energía '!G9*$E$89</f>
        <v>20.302984914974349</v>
      </c>
      <c r="I9" s="650">
        <v>17.793156875403486</v>
      </c>
      <c r="J9" s="650">
        <v>22.182499999999997</v>
      </c>
      <c r="K9" s="650">
        <v>22.93</v>
      </c>
      <c r="L9" s="650">
        <v>23.619999999999997</v>
      </c>
      <c r="M9" s="650">
        <v>24.3475</v>
      </c>
      <c r="N9" s="650">
        <v>25.14</v>
      </c>
      <c r="O9" s="650">
        <v>25.924999999999997</v>
      </c>
      <c r="P9" s="650">
        <v>26.607500000000002</v>
      </c>
      <c r="Q9" s="650">
        <v>27.3325</v>
      </c>
      <c r="R9" s="650">
        <v>28.115000000000002</v>
      </c>
      <c r="S9" s="650">
        <v>28.9025</v>
      </c>
      <c r="T9" s="650">
        <v>29.677500000000002</v>
      </c>
      <c r="U9" s="650">
        <v>30.424999999999997</v>
      </c>
      <c r="V9" s="650">
        <v>31.167499999999997</v>
      </c>
      <c r="W9" s="650">
        <v>31.93</v>
      </c>
      <c r="X9" s="650">
        <v>32.69</v>
      </c>
      <c r="Y9" s="650">
        <v>33.467500000000001</v>
      </c>
      <c r="Z9" s="650">
        <v>34.28</v>
      </c>
      <c r="AA9" s="650">
        <v>35.085000000000001</v>
      </c>
      <c r="AB9" s="650">
        <v>35.89</v>
      </c>
      <c r="AC9" s="650">
        <v>36.657499999999999</v>
      </c>
      <c r="AD9" s="650">
        <v>37.387500000000003</v>
      </c>
      <c r="AE9" s="650">
        <v>38.134999999999998</v>
      </c>
      <c r="AF9" s="650">
        <v>38.92</v>
      </c>
      <c r="AG9" s="650">
        <v>39.727499999999999</v>
      </c>
      <c r="AH9" s="650">
        <v>40.502499999999998</v>
      </c>
      <c r="AI9" s="650">
        <v>41.237499999999997</v>
      </c>
      <c r="AJ9" s="650">
        <v>41.984999999999999</v>
      </c>
      <c r="AK9" s="650">
        <v>42.8675</v>
      </c>
      <c r="AL9" s="647">
        <v>43.83</v>
      </c>
      <c r="AM9" s="647">
        <v>44.732500000000002</v>
      </c>
      <c r="AN9" s="647">
        <v>45.642499999999998</v>
      </c>
      <c r="AO9" s="647">
        <v>46.564999999999998</v>
      </c>
      <c r="AP9" s="647">
        <v>47.507500000000007</v>
      </c>
      <c r="AQ9" s="647">
        <v>48.47</v>
      </c>
      <c r="AR9" s="647">
        <v>49.447500000000005</v>
      </c>
      <c r="AS9" s="647">
        <v>50.44</v>
      </c>
      <c r="AT9" s="647">
        <v>51.457499999999996</v>
      </c>
      <c r="AU9" s="647">
        <v>52.504999999999995</v>
      </c>
      <c r="AV9" s="647">
        <v>53.582499999999996</v>
      </c>
      <c r="AW9" s="647">
        <v>54.682500000000005</v>
      </c>
      <c r="AX9" s="647">
        <v>55.795000000000002</v>
      </c>
      <c r="AY9" s="647">
        <v>56.924999999999997</v>
      </c>
      <c r="AZ9" s="647">
        <v>58.077500000000001</v>
      </c>
      <c r="BA9" s="647">
        <v>59.255000000000003</v>
      </c>
      <c r="BB9" s="647">
        <v>60.457500000000003</v>
      </c>
      <c r="BC9" s="647">
        <v>61.685000000000002</v>
      </c>
      <c r="BD9" s="647">
        <v>62.9375</v>
      </c>
      <c r="BE9" s="647">
        <v>64.209999999999994</v>
      </c>
    </row>
    <row r="10" spans="1:57" ht="14.25" customHeight="1" x14ac:dyDescent="0.45">
      <c r="A10" s="618">
        <v>1</v>
      </c>
      <c r="B10" s="400"/>
      <c r="C10" s="401" t="s">
        <v>487</v>
      </c>
      <c r="D10" s="405" t="s">
        <v>488</v>
      </c>
      <c r="E10" s="406">
        <f>'Copia de Demandas de energía '!D10*$E$89</f>
        <v>4.7630758302215384</v>
      </c>
      <c r="F10" s="406">
        <f>'Copia de Demandas de energía '!E10*$E$89</f>
        <v>5.2140192621427994</v>
      </c>
      <c r="G10" s="406">
        <f>'Copia de Demandas de energía '!F10*$E$89</f>
        <v>4.8432446410198446</v>
      </c>
      <c r="H10" s="406">
        <f>'Copia de Demandas de energía '!G10*$E$89</f>
        <v>5.4102095818988687</v>
      </c>
      <c r="I10" s="650">
        <v>5.3645577792123946</v>
      </c>
      <c r="J10" s="407">
        <v>5.76</v>
      </c>
      <c r="K10" s="407">
        <v>5.94</v>
      </c>
      <c r="L10" s="407">
        <v>6.08</v>
      </c>
      <c r="M10" s="407">
        <v>6.2</v>
      </c>
      <c r="N10" s="407">
        <v>6.36</v>
      </c>
      <c r="O10" s="407">
        <v>6.49</v>
      </c>
      <c r="P10" s="407">
        <v>6.58</v>
      </c>
      <c r="Q10" s="407">
        <v>6.67</v>
      </c>
      <c r="R10" s="407">
        <v>6.81</v>
      </c>
      <c r="S10" s="407">
        <v>6.9</v>
      </c>
      <c r="T10" s="407">
        <v>7.02</v>
      </c>
      <c r="U10" s="407">
        <v>7.1</v>
      </c>
      <c r="V10" s="407">
        <v>7.19</v>
      </c>
      <c r="W10" s="407">
        <v>7.3</v>
      </c>
      <c r="X10" s="407">
        <v>7.4</v>
      </c>
      <c r="Y10" s="407">
        <v>7.51</v>
      </c>
      <c r="Z10" s="407">
        <v>7.65</v>
      </c>
      <c r="AA10" s="407">
        <v>7.78</v>
      </c>
      <c r="AB10" s="407">
        <v>7.93</v>
      </c>
      <c r="AC10" s="407">
        <v>8.08</v>
      </c>
      <c r="AD10" s="407">
        <v>8.2200000000000006</v>
      </c>
      <c r="AE10" s="407">
        <v>8.4</v>
      </c>
      <c r="AF10" s="407">
        <v>8.57</v>
      </c>
      <c r="AG10" s="407">
        <v>8.7799999999999994</v>
      </c>
      <c r="AH10" s="407">
        <v>8.9700000000000006</v>
      </c>
      <c r="AI10" s="407">
        <v>9.16</v>
      </c>
      <c r="AJ10" s="407">
        <v>9.3699999999999992</v>
      </c>
      <c r="AK10" s="407">
        <v>9.57</v>
      </c>
      <c r="AL10" s="144">
        <v>9.75</v>
      </c>
      <c r="AM10" s="144">
        <v>9.94</v>
      </c>
      <c r="AN10" s="144">
        <v>10.130000000000001</v>
      </c>
      <c r="AO10" s="144">
        <v>10.33</v>
      </c>
      <c r="AP10" s="144">
        <v>10.54</v>
      </c>
      <c r="AQ10" s="144">
        <v>10.76</v>
      </c>
      <c r="AR10" s="144">
        <v>10.98</v>
      </c>
      <c r="AS10" s="144">
        <v>11.2</v>
      </c>
      <c r="AT10" s="144">
        <v>11.44</v>
      </c>
      <c r="AU10" s="144">
        <v>11.67</v>
      </c>
      <c r="AV10" s="144">
        <v>11.92</v>
      </c>
      <c r="AW10" s="144">
        <v>12.16</v>
      </c>
      <c r="AX10" s="144">
        <v>12.42</v>
      </c>
      <c r="AY10" s="144">
        <v>12.67</v>
      </c>
      <c r="AZ10" s="144">
        <v>12.93</v>
      </c>
      <c r="BA10" s="144">
        <v>13.19</v>
      </c>
      <c r="BB10" s="144">
        <v>13.46</v>
      </c>
      <c r="BC10" s="144">
        <v>13.73</v>
      </c>
      <c r="BD10" s="144">
        <v>14.01</v>
      </c>
      <c r="BE10" s="144">
        <v>14.3</v>
      </c>
    </row>
    <row r="11" spans="1:57" ht="14.25" customHeight="1" x14ac:dyDescent="0.45">
      <c r="A11" s="618">
        <v>1</v>
      </c>
      <c r="B11" s="400"/>
      <c r="C11" s="401"/>
      <c r="D11" s="405" t="s">
        <v>489</v>
      </c>
      <c r="E11" s="406"/>
      <c r="F11" s="406"/>
      <c r="G11" s="406"/>
      <c r="H11" s="406"/>
      <c r="I11" s="407"/>
      <c r="J11" s="407"/>
      <c r="K11" s="407"/>
      <c r="L11" s="407"/>
      <c r="M11" s="407"/>
      <c r="N11" s="407"/>
      <c r="O11" s="407"/>
      <c r="P11" s="407"/>
      <c r="Q11" s="407"/>
      <c r="R11" s="407"/>
      <c r="S11" s="407"/>
      <c r="T11" s="407"/>
      <c r="U11" s="407"/>
      <c r="V11" s="407"/>
      <c r="W11" s="407"/>
      <c r="X11" s="407"/>
      <c r="Y11" s="407"/>
      <c r="Z11" s="407"/>
      <c r="AA11" s="407"/>
      <c r="AB11" s="407"/>
      <c r="AC11" s="407"/>
      <c r="AD11" s="407"/>
      <c r="AE11" s="407"/>
      <c r="AF11" s="407"/>
      <c r="AG11" s="407"/>
      <c r="AH11" s="407"/>
      <c r="AI11" s="407"/>
      <c r="AJ11" s="407"/>
      <c r="AK11" s="407"/>
      <c r="AL11" s="144"/>
      <c r="AM11" s="144"/>
      <c r="AN11" s="144"/>
      <c r="AO11" s="144"/>
      <c r="AP11" s="144"/>
      <c r="AQ11" s="144"/>
      <c r="AR11" s="144"/>
      <c r="AS11" s="144"/>
      <c r="AT11" s="144"/>
      <c r="AU11" s="144"/>
      <c r="AV11" s="144"/>
      <c r="AW11" s="144"/>
      <c r="AX11" s="144"/>
      <c r="AY11" s="144"/>
      <c r="AZ11" s="144"/>
      <c r="BA11" s="144"/>
      <c r="BB11" s="144"/>
      <c r="BC11" s="144"/>
      <c r="BD11" s="144"/>
      <c r="BE11" s="144"/>
    </row>
    <row r="12" spans="1:57" ht="14.25" customHeight="1" x14ac:dyDescent="0.45">
      <c r="A12" s="618">
        <v>1</v>
      </c>
      <c r="B12" s="400"/>
      <c r="C12" s="401"/>
      <c r="D12" s="408" t="s">
        <v>396</v>
      </c>
      <c r="E12" s="406">
        <f>'Copia de Demandas de energía '!D12*$E$89</f>
        <v>62.130723270034387</v>
      </c>
      <c r="F12" s="406">
        <f>'Copia de Demandas de energía '!E12*$E$89</f>
        <v>63.134676696020023</v>
      </c>
      <c r="G12" s="406">
        <f>'Copia de Demandas de energía '!F12*$E$89</f>
        <v>49.270364404372174</v>
      </c>
      <c r="H12" s="406">
        <f>'Copia de Demandas de energía '!G12*$E$89</f>
        <v>64.15430782154391</v>
      </c>
      <c r="I12" s="409">
        <v>63.04</v>
      </c>
      <c r="J12" s="409">
        <v>67.849999999999994</v>
      </c>
      <c r="K12" s="409">
        <v>67.08</v>
      </c>
      <c r="L12" s="409">
        <v>71.69</v>
      </c>
      <c r="M12" s="409">
        <v>70.78</v>
      </c>
      <c r="N12" s="409">
        <v>75.650000000000006</v>
      </c>
      <c r="O12" s="409">
        <v>75.39</v>
      </c>
      <c r="P12" s="409">
        <v>79.48</v>
      </c>
      <c r="Q12" s="409">
        <v>79.12</v>
      </c>
      <c r="R12" s="409">
        <v>83.82</v>
      </c>
      <c r="S12" s="409">
        <v>83.85</v>
      </c>
      <c r="T12" s="409">
        <v>88.2</v>
      </c>
      <c r="U12" s="409">
        <v>88.5</v>
      </c>
      <c r="V12" s="409">
        <v>92.27</v>
      </c>
      <c r="W12" s="409">
        <v>93.08</v>
      </c>
      <c r="X12" s="409">
        <v>96.65</v>
      </c>
      <c r="Y12" s="409">
        <v>97.57</v>
      </c>
      <c r="Z12" s="409">
        <v>101.29</v>
      </c>
      <c r="AA12" s="409">
        <v>102.44</v>
      </c>
      <c r="AB12" s="409">
        <v>105.86</v>
      </c>
      <c r="AC12" s="409">
        <v>107.24</v>
      </c>
      <c r="AD12" s="409">
        <v>110.03</v>
      </c>
      <c r="AE12" s="409">
        <v>111.61</v>
      </c>
      <c r="AF12" s="409">
        <v>114.47</v>
      </c>
      <c r="AG12" s="409">
        <v>116.37</v>
      </c>
      <c r="AH12" s="409">
        <v>119.18</v>
      </c>
      <c r="AI12" s="409">
        <v>120.72</v>
      </c>
      <c r="AJ12" s="409">
        <v>123.49</v>
      </c>
      <c r="AK12" s="409">
        <v>125.21</v>
      </c>
      <c r="AL12" s="144">
        <v>127.65</v>
      </c>
      <c r="AM12" s="144">
        <v>130.22999999999999</v>
      </c>
      <c r="AN12" s="144">
        <v>132.69999999999999</v>
      </c>
      <c r="AO12" s="144">
        <v>135.30000000000001</v>
      </c>
      <c r="AP12" s="144">
        <v>137.87</v>
      </c>
      <c r="AQ12" s="144">
        <v>140.55000000000001</v>
      </c>
      <c r="AR12" s="144">
        <v>143.19</v>
      </c>
      <c r="AS12" s="144">
        <v>145.91</v>
      </c>
      <c r="AT12" s="144">
        <v>148.62</v>
      </c>
      <c r="AU12" s="144">
        <v>151.46</v>
      </c>
      <c r="AV12" s="144">
        <v>154.29</v>
      </c>
      <c r="AW12" s="144">
        <v>157.26</v>
      </c>
      <c r="AX12" s="144">
        <v>160.26</v>
      </c>
      <c r="AY12" s="144">
        <v>163.32</v>
      </c>
      <c r="AZ12" s="144">
        <v>166.44</v>
      </c>
      <c r="BA12" s="144">
        <v>169.6</v>
      </c>
      <c r="BB12" s="144">
        <v>172.83</v>
      </c>
      <c r="BC12" s="144">
        <v>176.11</v>
      </c>
      <c r="BD12" s="144">
        <v>179.46</v>
      </c>
      <c r="BE12" s="144">
        <v>182.87</v>
      </c>
    </row>
    <row r="13" spans="1:57" ht="14.25" customHeight="1" x14ac:dyDescent="0.45">
      <c r="A13" s="618" t="s">
        <v>31</v>
      </c>
      <c r="B13" s="400"/>
      <c r="C13" s="401"/>
      <c r="D13" s="405" t="s">
        <v>397</v>
      </c>
      <c r="E13" s="406">
        <f>'Copia de Demandas de energía '!D13*$E$89</f>
        <v>58.736210992236785</v>
      </c>
      <c r="F13" s="406">
        <f>'Copia de Demandas de energía '!E13*$E$89</f>
        <v>59.685002142069365</v>
      </c>
      <c r="G13" s="406">
        <f>'Copia de Demandas de energía '!F13*$E$89</f>
        <v>46.916967507021226</v>
      </c>
      <c r="H13" s="406">
        <f>'Copia de Demandas de energía '!G13*$E$89</f>
        <v>61.090188545126189</v>
      </c>
      <c r="I13" s="409">
        <v>61.91</v>
      </c>
      <c r="J13" s="409">
        <v>62.73</v>
      </c>
      <c r="K13" s="409">
        <v>63.53</v>
      </c>
      <c r="L13" s="409">
        <v>64.33</v>
      </c>
      <c r="M13" s="409">
        <v>65.12</v>
      </c>
      <c r="N13" s="409">
        <v>65.900000000000006</v>
      </c>
      <c r="O13" s="409">
        <v>66.680000000000007</v>
      </c>
      <c r="P13" s="409">
        <v>67.44</v>
      </c>
      <c r="Q13" s="409">
        <v>68.19</v>
      </c>
      <c r="R13" s="409">
        <v>68.930000000000007</v>
      </c>
      <c r="S13" s="409">
        <v>69.66</v>
      </c>
      <c r="T13" s="409">
        <v>70.38</v>
      </c>
      <c r="U13" s="409">
        <v>71.09</v>
      </c>
      <c r="V13" s="409">
        <v>71.78</v>
      </c>
      <c r="W13" s="409">
        <v>72.459999999999994</v>
      </c>
      <c r="X13" s="409">
        <v>73.13</v>
      </c>
      <c r="Y13" s="409">
        <v>73.78</v>
      </c>
      <c r="Z13" s="409">
        <v>74.42</v>
      </c>
      <c r="AA13" s="409">
        <v>75.05</v>
      </c>
      <c r="AB13" s="409">
        <v>75.66</v>
      </c>
      <c r="AC13" s="409">
        <v>76.25</v>
      </c>
      <c r="AD13" s="409">
        <v>76.83</v>
      </c>
      <c r="AE13" s="409">
        <v>77.400000000000006</v>
      </c>
      <c r="AF13" s="409">
        <v>77.95</v>
      </c>
      <c r="AG13" s="409">
        <v>78.48</v>
      </c>
      <c r="AH13" s="409">
        <v>79</v>
      </c>
      <c r="AI13" s="409">
        <v>79.5</v>
      </c>
      <c r="AJ13" s="409">
        <v>79.98</v>
      </c>
      <c r="AK13" s="409">
        <v>80.45</v>
      </c>
      <c r="AL13" s="144">
        <v>80.91</v>
      </c>
      <c r="AM13" s="144">
        <v>81.34</v>
      </c>
      <c r="AN13" s="144">
        <v>81.760000000000005</v>
      </c>
      <c r="AO13" s="144">
        <v>82.17</v>
      </c>
      <c r="AP13" s="144">
        <v>82.55</v>
      </c>
      <c r="AQ13" s="144">
        <v>82.92</v>
      </c>
      <c r="AR13" s="144">
        <v>83.27</v>
      </c>
      <c r="AS13" s="144">
        <v>83.61</v>
      </c>
      <c r="AT13" s="144">
        <v>83.92</v>
      </c>
      <c r="AU13" s="144">
        <v>84.22</v>
      </c>
      <c r="AV13" s="144">
        <v>84.49</v>
      </c>
      <c r="AW13" s="144">
        <v>84.75</v>
      </c>
      <c r="AX13" s="144">
        <v>84.99</v>
      </c>
      <c r="AY13" s="144">
        <v>85.21</v>
      </c>
      <c r="AZ13" s="144">
        <v>85.41</v>
      </c>
      <c r="BA13" s="144">
        <v>85.59</v>
      </c>
      <c r="BB13" s="144">
        <v>85.75</v>
      </c>
      <c r="BC13" s="144">
        <v>85.9</v>
      </c>
      <c r="BD13" s="144">
        <v>86.02</v>
      </c>
      <c r="BE13" s="144">
        <v>86.12</v>
      </c>
    </row>
    <row r="14" spans="1:57" ht="14.25" customHeight="1" x14ac:dyDescent="0.45">
      <c r="A14" s="618">
        <v>1</v>
      </c>
      <c r="B14" s="400"/>
      <c r="C14" s="401" t="s">
        <v>490</v>
      </c>
      <c r="D14" s="408" t="s">
        <v>398</v>
      </c>
      <c r="E14" s="406">
        <f>'Copia de Demandas de energía '!D14*$E$89</f>
        <v>3.077474353802135E-2</v>
      </c>
      <c r="F14" s="406">
        <f>'Copia de Demandas de energía '!E14*$E$89</f>
        <v>3.4839332307193978E-3</v>
      </c>
      <c r="G14" s="406">
        <f>'Copia de Demandas de energía '!F14*$E$89</f>
        <v>9.8711441537049603E-3</v>
      </c>
      <c r="H14" s="406">
        <f>'Copia de Demandas de energía '!G14*$E$89</f>
        <v>1.9742288307409921E-2</v>
      </c>
      <c r="I14" s="407">
        <v>0.02</v>
      </c>
      <c r="J14" s="407">
        <v>0.02</v>
      </c>
      <c r="K14" s="407">
        <v>0.02</v>
      </c>
      <c r="L14" s="407">
        <v>0.02</v>
      </c>
      <c r="M14" s="407">
        <v>0.02</v>
      </c>
      <c r="N14" s="407">
        <v>0.02</v>
      </c>
      <c r="O14" s="407">
        <v>0.02</v>
      </c>
      <c r="P14" s="407">
        <v>0.02</v>
      </c>
      <c r="Q14" s="407">
        <v>0.03</v>
      </c>
      <c r="R14" s="407">
        <v>0.03</v>
      </c>
      <c r="S14" s="407">
        <v>0.03</v>
      </c>
      <c r="T14" s="407">
        <v>0.03</v>
      </c>
      <c r="U14" s="407">
        <v>0.03</v>
      </c>
      <c r="V14" s="407">
        <v>0.03</v>
      </c>
      <c r="W14" s="407">
        <v>0.03</v>
      </c>
      <c r="X14" s="407">
        <v>0.03</v>
      </c>
      <c r="Y14" s="407">
        <v>0.03</v>
      </c>
      <c r="Z14" s="407">
        <v>0.03</v>
      </c>
      <c r="AA14" s="407">
        <v>0.03</v>
      </c>
      <c r="AB14" s="407">
        <v>0.03</v>
      </c>
      <c r="AC14" s="407">
        <v>0.03</v>
      </c>
      <c r="AD14" s="407">
        <v>0.03</v>
      </c>
      <c r="AE14" s="407">
        <v>0.04</v>
      </c>
      <c r="AF14" s="407">
        <v>0.04</v>
      </c>
      <c r="AG14" s="407">
        <v>0.04</v>
      </c>
      <c r="AH14" s="407">
        <v>0.04</v>
      </c>
      <c r="AI14" s="407">
        <v>0.04</v>
      </c>
      <c r="AJ14" s="407">
        <v>0.04</v>
      </c>
      <c r="AK14" s="407">
        <v>0.04</v>
      </c>
      <c r="AL14" s="144">
        <v>0.04</v>
      </c>
      <c r="AM14" s="144">
        <v>0.04</v>
      </c>
      <c r="AN14" s="144">
        <v>0.04</v>
      </c>
      <c r="AO14" s="144">
        <v>0.04</v>
      </c>
      <c r="AP14" s="144">
        <v>0.04</v>
      </c>
      <c r="AQ14" s="144">
        <v>0.04</v>
      </c>
      <c r="AR14" s="144">
        <v>0.04</v>
      </c>
      <c r="AS14" s="144">
        <v>0.05</v>
      </c>
      <c r="AT14" s="144">
        <v>0.05</v>
      </c>
      <c r="AU14" s="144">
        <v>0.05</v>
      </c>
      <c r="AV14" s="144">
        <v>0.05</v>
      </c>
      <c r="AW14" s="144">
        <v>0.05</v>
      </c>
      <c r="AX14" s="144">
        <v>0.05</v>
      </c>
      <c r="AY14" s="144">
        <v>0.05</v>
      </c>
      <c r="AZ14" s="144">
        <v>0.05</v>
      </c>
      <c r="BA14" s="144">
        <v>0.05</v>
      </c>
      <c r="BB14" s="144">
        <v>0.05</v>
      </c>
      <c r="BC14" s="144">
        <v>0.05</v>
      </c>
      <c r="BD14" s="144">
        <v>0.05</v>
      </c>
      <c r="BE14" s="144">
        <v>0.05</v>
      </c>
    </row>
    <row r="15" spans="1:57" ht="14.25" customHeight="1" x14ac:dyDescent="0.45">
      <c r="A15" s="618">
        <v>1</v>
      </c>
      <c r="B15" s="400"/>
      <c r="C15" s="401" t="s">
        <v>491</v>
      </c>
      <c r="D15" s="408" t="s">
        <v>399</v>
      </c>
      <c r="E15" s="651">
        <v>4.7630758302215384</v>
      </c>
      <c r="F15" s="651">
        <v>5.2140192621427994</v>
      </c>
      <c r="G15" s="651">
        <v>4.8432446410198446</v>
      </c>
      <c r="H15" s="651">
        <v>5.4102095818988687</v>
      </c>
      <c r="I15" s="650">
        <v>5.3645577792123946</v>
      </c>
      <c r="J15" s="650">
        <v>5.76</v>
      </c>
      <c r="K15" s="650">
        <v>5.94</v>
      </c>
      <c r="L15" s="650">
        <v>6.08</v>
      </c>
      <c r="M15" s="650">
        <v>6.2</v>
      </c>
      <c r="N15" s="650">
        <v>6.36</v>
      </c>
      <c r="O15" s="650">
        <v>6.49</v>
      </c>
      <c r="P15" s="650">
        <v>6.58</v>
      </c>
      <c r="Q15" s="650">
        <v>6.67</v>
      </c>
      <c r="R15" s="650">
        <v>6.81</v>
      </c>
      <c r="S15" s="650">
        <v>6.9</v>
      </c>
      <c r="T15" s="650">
        <v>7.02</v>
      </c>
      <c r="U15" s="650">
        <v>7.1</v>
      </c>
      <c r="V15" s="650">
        <v>7.19</v>
      </c>
      <c r="W15" s="650">
        <v>7.3</v>
      </c>
      <c r="X15" s="650">
        <v>7.4</v>
      </c>
      <c r="Y15" s="650">
        <v>7.51</v>
      </c>
      <c r="Z15" s="650">
        <v>7.65</v>
      </c>
      <c r="AA15" s="650">
        <v>7.78</v>
      </c>
      <c r="AB15" s="650">
        <v>7.93</v>
      </c>
      <c r="AC15" s="650">
        <v>8.08</v>
      </c>
      <c r="AD15" s="650">
        <v>8.2200000000000006</v>
      </c>
      <c r="AE15" s="650">
        <v>8.4</v>
      </c>
      <c r="AF15" s="650">
        <v>8.57</v>
      </c>
      <c r="AG15" s="650">
        <v>8.7799999999999994</v>
      </c>
      <c r="AH15" s="650">
        <v>8.9700000000000006</v>
      </c>
      <c r="AI15" s="650">
        <v>9.16</v>
      </c>
      <c r="AJ15" s="650">
        <v>9.3699999999999992</v>
      </c>
      <c r="AK15" s="650">
        <v>9.57</v>
      </c>
      <c r="AL15" s="647">
        <v>9.75</v>
      </c>
      <c r="AM15" s="647">
        <v>9.94</v>
      </c>
      <c r="AN15" s="647">
        <v>10.130000000000001</v>
      </c>
      <c r="AO15" s="647">
        <v>10.33</v>
      </c>
      <c r="AP15" s="647">
        <v>10.54</v>
      </c>
      <c r="AQ15" s="647">
        <v>10.76</v>
      </c>
      <c r="AR15" s="647">
        <v>10.98</v>
      </c>
      <c r="AS15" s="647">
        <v>11.2</v>
      </c>
      <c r="AT15" s="647">
        <v>11.44</v>
      </c>
      <c r="AU15" s="647">
        <v>11.67</v>
      </c>
      <c r="AV15" s="647">
        <v>11.92</v>
      </c>
      <c r="AW15" s="647">
        <v>12.16</v>
      </c>
      <c r="AX15" s="647">
        <v>12.42</v>
      </c>
      <c r="AY15" s="647">
        <v>12.67</v>
      </c>
      <c r="AZ15" s="647">
        <v>12.93</v>
      </c>
      <c r="BA15" s="647">
        <v>13.19</v>
      </c>
      <c r="BB15" s="647">
        <v>13.46</v>
      </c>
      <c r="BC15" s="647">
        <v>13.73</v>
      </c>
      <c r="BD15" s="647">
        <v>14.01</v>
      </c>
      <c r="BE15" s="647">
        <v>14.3</v>
      </c>
    </row>
    <row r="16" spans="1:57" ht="14.25" customHeight="1" x14ac:dyDescent="0.45">
      <c r="A16" s="618"/>
      <c r="B16" s="400"/>
      <c r="C16" s="401"/>
      <c r="D16" s="404" t="s">
        <v>25</v>
      </c>
      <c r="E16" s="406">
        <f t="shared" ref="E16:AJ16" si="0">SUM(E6:E15)</f>
        <v>166.0890758985357</v>
      </c>
      <c r="F16" s="406">
        <f t="shared" si="0"/>
        <v>166.8344117755511</v>
      </c>
      <c r="G16" s="406">
        <f t="shared" si="0"/>
        <v>131.77373430111814</v>
      </c>
      <c r="H16" s="406">
        <f t="shared" si="0"/>
        <v>157.66289751983535</v>
      </c>
      <c r="I16" s="144">
        <f t="shared" si="0"/>
        <v>154.39866365397029</v>
      </c>
      <c r="J16" s="144">
        <f t="shared" si="0"/>
        <v>165.65249999999997</v>
      </c>
      <c r="K16" s="144">
        <f t="shared" si="0"/>
        <v>166.83</v>
      </c>
      <c r="L16" s="144">
        <f t="shared" si="0"/>
        <v>173.24</v>
      </c>
      <c r="M16" s="144">
        <f t="shared" si="0"/>
        <v>174.1275</v>
      </c>
      <c r="N16" s="144">
        <f t="shared" si="0"/>
        <v>180.94000000000003</v>
      </c>
      <c r="O16" s="144">
        <f t="shared" si="0"/>
        <v>182.54500000000002</v>
      </c>
      <c r="P16" s="144">
        <f t="shared" si="0"/>
        <v>188.28750000000002</v>
      </c>
      <c r="Q16" s="144">
        <f t="shared" si="0"/>
        <v>189.63249999999999</v>
      </c>
      <c r="R16" s="144">
        <f t="shared" si="0"/>
        <v>196.17500000000001</v>
      </c>
      <c r="S16" s="144">
        <f t="shared" si="0"/>
        <v>197.95249999999999</v>
      </c>
      <c r="T16" s="144">
        <f t="shared" si="0"/>
        <v>204.07750000000001</v>
      </c>
      <c r="U16" s="144">
        <f t="shared" si="0"/>
        <v>206.035</v>
      </c>
      <c r="V16" s="144">
        <f t="shared" si="0"/>
        <v>211.44749999999999</v>
      </c>
      <c r="W16" s="144">
        <f t="shared" si="0"/>
        <v>213.98</v>
      </c>
      <c r="X16" s="144">
        <f t="shared" si="0"/>
        <v>219.22</v>
      </c>
      <c r="Y16" s="144">
        <f t="shared" si="0"/>
        <v>221.82749999999999</v>
      </c>
      <c r="Z16" s="144">
        <f t="shared" si="0"/>
        <v>227.32</v>
      </c>
      <c r="AA16" s="144">
        <f t="shared" si="0"/>
        <v>230.21499999999997</v>
      </c>
      <c r="AB16" s="144">
        <f t="shared" si="0"/>
        <v>235.39000000000001</v>
      </c>
      <c r="AC16" s="144">
        <f t="shared" si="0"/>
        <v>238.47750000000002</v>
      </c>
      <c r="AD16" s="144">
        <f t="shared" si="0"/>
        <v>242.88749999999999</v>
      </c>
      <c r="AE16" s="144">
        <f t="shared" si="0"/>
        <v>246.19499999999999</v>
      </c>
      <c r="AF16" s="144">
        <f t="shared" si="0"/>
        <v>250.77</v>
      </c>
      <c r="AG16" s="144">
        <f t="shared" si="0"/>
        <v>254.47750000000002</v>
      </c>
      <c r="AH16" s="144">
        <f t="shared" si="0"/>
        <v>259.0025</v>
      </c>
      <c r="AI16" s="144">
        <f t="shared" si="0"/>
        <v>262.19749999999999</v>
      </c>
      <c r="AJ16" s="144">
        <f t="shared" si="0"/>
        <v>266.65500000000003</v>
      </c>
      <c r="AK16" s="144">
        <f t="shared" ref="AK16:BE16" si="1">SUM(AK6:AK15)</f>
        <v>270.16750000000002</v>
      </c>
      <c r="AL16" s="144">
        <f t="shared" si="1"/>
        <v>274.44</v>
      </c>
      <c r="AM16" s="144">
        <f t="shared" si="1"/>
        <v>278.77250000000004</v>
      </c>
      <c r="AN16" s="144">
        <f t="shared" si="1"/>
        <v>282.99250000000001</v>
      </c>
      <c r="AO16" s="144">
        <f t="shared" si="1"/>
        <v>287.375</v>
      </c>
      <c r="AP16" s="144">
        <f t="shared" si="1"/>
        <v>291.73750000000007</v>
      </c>
      <c r="AQ16" s="144">
        <f t="shared" si="1"/>
        <v>296.23</v>
      </c>
      <c r="AR16" s="144">
        <f t="shared" si="1"/>
        <v>300.69750000000005</v>
      </c>
      <c r="AS16" s="144">
        <f t="shared" si="1"/>
        <v>305.24</v>
      </c>
      <c r="AT16" s="144">
        <f t="shared" si="1"/>
        <v>309.8075</v>
      </c>
      <c r="AU16" s="144">
        <f t="shared" si="1"/>
        <v>314.51499999999999</v>
      </c>
      <c r="AV16" s="144">
        <f t="shared" si="1"/>
        <v>319.23250000000002</v>
      </c>
      <c r="AW16" s="144">
        <f t="shared" si="1"/>
        <v>324.10250000000002</v>
      </c>
      <c r="AX16" s="144">
        <f t="shared" si="1"/>
        <v>329.01500000000004</v>
      </c>
      <c r="AY16" s="144">
        <f t="shared" si="1"/>
        <v>333.98500000000001</v>
      </c>
      <c r="AZ16" s="144">
        <f t="shared" si="1"/>
        <v>339.03750000000002</v>
      </c>
      <c r="BA16" s="144">
        <f t="shared" si="1"/>
        <v>344.125</v>
      </c>
      <c r="BB16" s="144">
        <f t="shared" si="1"/>
        <v>349.3175</v>
      </c>
      <c r="BC16" s="144">
        <f t="shared" si="1"/>
        <v>354.56500000000005</v>
      </c>
      <c r="BD16" s="144">
        <f t="shared" si="1"/>
        <v>359.90749999999997</v>
      </c>
      <c r="BE16" s="144">
        <f t="shared" si="1"/>
        <v>365.33000000000004</v>
      </c>
    </row>
    <row r="17" spans="1:57" ht="14.25" customHeight="1" x14ac:dyDescent="0.45">
      <c r="A17" s="618"/>
      <c r="B17" s="400"/>
      <c r="C17" s="401"/>
      <c r="D17" s="410"/>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row>
    <row r="18" spans="1:57" ht="14.25" customHeight="1" x14ac:dyDescent="0.45">
      <c r="A18" s="618"/>
      <c r="B18" s="400"/>
      <c r="C18" s="401"/>
      <c r="D18" s="404" t="s">
        <v>492</v>
      </c>
      <c r="E18" s="403"/>
      <c r="F18" s="403"/>
      <c r="G18" s="403"/>
      <c r="H18" s="403"/>
      <c r="I18" s="403"/>
      <c r="J18" s="403"/>
      <c r="K18" s="403"/>
      <c r="L18" s="403"/>
      <c r="M18" s="403"/>
      <c r="N18" s="403"/>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3"/>
      <c r="BD18" s="403"/>
      <c r="BE18" s="403"/>
    </row>
    <row r="19" spans="1:57" ht="14.25" customHeight="1" x14ac:dyDescent="0.45">
      <c r="A19" s="618"/>
      <c r="B19" s="400"/>
      <c r="C19" s="401"/>
      <c r="D19" s="405" t="s">
        <v>480</v>
      </c>
      <c r="E19" s="406" t="s">
        <v>221</v>
      </c>
      <c r="F19" s="406" t="s">
        <v>221</v>
      </c>
      <c r="G19" s="406" t="s">
        <v>221</v>
      </c>
      <c r="H19" s="406" t="s">
        <v>221</v>
      </c>
      <c r="I19" s="403"/>
      <c r="J19" s="403"/>
      <c r="K19" s="403"/>
      <c r="L19" s="403"/>
      <c r="M19" s="403"/>
      <c r="N19" s="403"/>
      <c r="O19" s="403"/>
      <c r="P19" s="403"/>
      <c r="Q19" s="403"/>
      <c r="R19" s="403"/>
      <c r="S19" s="403"/>
      <c r="T19" s="403"/>
      <c r="U19" s="403"/>
      <c r="V19" s="403"/>
      <c r="W19" s="403"/>
      <c r="X19" s="403"/>
      <c r="Y19" s="403"/>
      <c r="Z19" s="403"/>
      <c r="AA19" s="403"/>
      <c r="AB19" s="403"/>
      <c r="AC19" s="403"/>
      <c r="AD19" s="403"/>
      <c r="AE19" s="403"/>
      <c r="AF19" s="403"/>
      <c r="AG19" s="403"/>
      <c r="AH19" s="403"/>
      <c r="AI19" s="403"/>
      <c r="AJ19" s="403"/>
      <c r="AK19" s="403"/>
      <c r="AL19" s="403"/>
      <c r="AM19" s="403"/>
      <c r="AN19" s="403"/>
      <c r="AO19" s="403"/>
      <c r="AP19" s="403"/>
      <c r="AQ19" s="403"/>
      <c r="AR19" s="403"/>
      <c r="AS19" s="403"/>
      <c r="AT19" s="403"/>
      <c r="AU19" s="403"/>
      <c r="AV19" s="403"/>
      <c r="AW19" s="403"/>
      <c r="AX19" s="403"/>
      <c r="AY19" s="403"/>
      <c r="AZ19" s="403"/>
      <c r="BA19" s="403"/>
      <c r="BB19" s="403"/>
      <c r="BC19" s="403"/>
      <c r="BD19" s="403"/>
      <c r="BE19" s="403"/>
    </row>
    <row r="20" spans="1:57" ht="14.25" customHeight="1" x14ac:dyDescent="0.45">
      <c r="A20" s="618"/>
      <c r="B20" s="400"/>
      <c r="C20" s="64" t="s">
        <v>493</v>
      </c>
      <c r="D20" s="405" t="s">
        <v>482</v>
      </c>
      <c r="E20" s="411">
        <f>'Copia de Demandas de energía '!D20*$E$89</f>
        <v>5.7368390353734968</v>
      </c>
      <c r="F20" s="406">
        <f>'Copia de Demandas de energía '!E20*$E$89</f>
        <v>4.7138772871007184</v>
      </c>
      <c r="G20" s="406">
        <f>'Copia de Demandas de energía '!F20*$E$89</f>
        <v>4.599894053279586</v>
      </c>
      <c r="H20" s="406">
        <f>'Copia de Demandas de energía '!G20*$E$89</f>
        <v>4.3899411636953181</v>
      </c>
      <c r="I20" s="647">
        <v>6.0873466752743708</v>
      </c>
      <c r="J20" s="647">
        <v>4.58</v>
      </c>
      <c r="K20" s="647">
        <v>4.7</v>
      </c>
      <c r="L20" s="647">
        <v>4.8125</v>
      </c>
      <c r="M20" s="647">
        <v>4.9250000000000007</v>
      </c>
      <c r="N20" s="647">
        <v>5.0549999999999997</v>
      </c>
      <c r="O20" s="647">
        <v>5.1825000000000001</v>
      </c>
      <c r="P20" s="647">
        <v>5.2949999999999999</v>
      </c>
      <c r="Q20" s="647">
        <v>5.42</v>
      </c>
      <c r="R20" s="647">
        <v>5.5649999999999995</v>
      </c>
      <c r="S20" s="647">
        <v>5.71</v>
      </c>
      <c r="T20" s="647">
        <v>5.8524999999999991</v>
      </c>
      <c r="U20" s="647">
        <v>5.99</v>
      </c>
      <c r="V20" s="647">
        <v>6.125</v>
      </c>
      <c r="W20" s="647">
        <v>6.2625000000000002</v>
      </c>
      <c r="X20" s="647">
        <v>6.3975</v>
      </c>
      <c r="Y20" s="647">
        <v>6.5350000000000001</v>
      </c>
      <c r="Z20" s="647">
        <v>6.6775000000000002</v>
      </c>
      <c r="AA20" s="647">
        <v>6.8174999999999999</v>
      </c>
      <c r="AB20" s="647">
        <v>6.9525000000000006</v>
      </c>
      <c r="AC20" s="647">
        <v>7.08</v>
      </c>
      <c r="AD20" s="647">
        <v>7.1999999999999993</v>
      </c>
      <c r="AE20" s="647">
        <v>7.32</v>
      </c>
      <c r="AF20" s="647">
        <v>7.4450000000000003</v>
      </c>
      <c r="AG20" s="647">
        <v>7.5750000000000002</v>
      </c>
      <c r="AH20" s="647">
        <v>7.6950000000000003</v>
      </c>
      <c r="AI20" s="647">
        <v>7.8049999999999997</v>
      </c>
      <c r="AJ20" s="647">
        <v>7.9174999999999995</v>
      </c>
      <c r="AK20" s="647">
        <v>8.0324999999999989</v>
      </c>
      <c r="AL20" s="647">
        <v>8.1549999999999994</v>
      </c>
      <c r="AM20" s="647">
        <v>8.2774999999999999</v>
      </c>
      <c r="AN20" s="647">
        <v>8.3925000000000001</v>
      </c>
      <c r="AO20" s="647">
        <v>8.5100000000000016</v>
      </c>
      <c r="AP20" s="647">
        <v>8.629999999999999</v>
      </c>
      <c r="AQ20" s="647">
        <v>8.7475000000000005</v>
      </c>
      <c r="AR20" s="647">
        <v>8.8625000000000007</v>
      </c>
      <c r="AS20" s="647">
        <v>8.9774999999999991</v>
      </c>
      <c r="AT20" s="647">
        <v>9.0925000000000011</v>
      </c>
      <c r="AU20" s="647">
        <v>9.2050000000000001</v>
      </c>
      <c r="AV20" s="647">
        <v>9.3125</v>
      </c>
      <c r="AW20" s="647">
        <v>9.42</v>
      </c>
      <c r="AX20" s="647">
        <v>9.5300000000000011</v>
      </c>
      <c r="AY20" s="647">
        <v>9.6374999999999993</v>
      </c>
      <c r="AZ20" s="647">
        <v>9.7424999999999997</v>
      </c>
      <c r="BA20" s="647">
        <v>9.8475000000000001</v>
      </c>
      <c r="BB20" s="647">
        <v>9.9499999999999993</v>
      </c>
      <c r="BC20" s="647">
        <v>10.050000000000001</v>
      </c>
      <c r="BD20" s="647">
        <v>10.147500000000001</v>
      </c>
      <c r="BE20" s="647">
        <v>10.24</v>
      </c>
    </row>
    <row r="21" spans="1:57" ht="14.25" customHeight="1" x14ac:dyDescent="0.45">
      <c r="A21" s="618">
        <v>2</v>
      </c>
      <c r="B21" s="400"/>
      <c r="C21" s="64" t="s">
        <v>494</v>
      </c>
      <c r="D21" s="405" t="s">
        <v>484</v>
      </c>
      <c r="E21" s="406">
        <f>'Copia de Demandas de energía '!D21*$E$89</f>
        <v>25.584823431726967</v>
      </c>
      <c r="F21" s="406">
        <f>'Copia de Demandas de energía '!E21*$E$89</f>
        <v>22.02394056774067</v>
      </c>
      <c r="G21" s="406">
        <f>'Copia de Demandas de energía '!F21*$E$89</f>
        <v>21.491393792287134</v>
      </c>
      <c r="H21" s="406">
        <f>'Copia de Demandas de energía '!G21*$E$89</f>
        <v>20.510462487417858</v>
      </c>
      <c r="I21" s="647">
        <v>28.440348612007746</v>
      </c>
      <c r="J21" s="144">
        <v>21.75</v>
      </c>
      <c r="K21" s="144">
        <v>22.61</v>
      </c>
      <c r="L21" s="144">
        <v>22.99</v>
      </c>
      <c r="M21" s="144">
        <v>23.72</v>
      </c>
      <c r="N21" s="144">
        <v>24.24</v>
      </c>
      <c r="O21" s="144">
        <v>25.12</v>
      </c>
      <c r="P21" s="144">
        <v>25.42</v>
      </c>
      <c r="Q21" s="144">
        <v>26.21</v>
      </c>
      <c r="R21" s="144">
        <v>26.8</v>
      </c>
      <c r="S21" s="144">
        <v>27.64</v>
      </c>
      <c r="T21" s="144">
        <v>28.22</v>
      </c>
      <c r="U21" s="144">
        <v>29.04</v>
      </c>
      <c r="V21" s="144">
        <v>29.53</v>
      </c>
      <c r="W21" s="144">
        <v>30.42</v>
      </c>
      <c r="X21" s="144">
        <v>30.93</v>
      </c>
      <c r="Y21" s="144">
        <v>31.77</v>
      </c>
      <c r="Z21" s="144">
        <v>32.4</v>
      </c>
      <c r="AA21" s="144">
        <v>33.229999999999997</v>
      </c>
      <c r="AB21" s="144">
        <v>33.840000000000003</v>
      </c>
      <c r="AC21" s="144">
        <v>34.67</v>
      </c>
      <c r="AD21" s="144">
        <v>35.14</v>
      </c>
      <c r="AE21" s="144">
        <v>35.97</v>
      </c>
      <c r="AF21" s="144">
        <v>36.520000000000003</v>
      </c>
      <c r="AG21" s="144">
        <v>37.4</v>
      </c>
      <c r="AH21" s="144">
        <v>37.979999999999997</v>
      </c>
      <c r="AI21" s="144">
        <v>38.69</v>
      </c>
      <c r="AJ21" s="144">
        <v>39.29</v>
      </c>
      <c r="AK21" s="144">
        <v>40.020000000000003</v>
      </c>
      <c r="AL21" s="144">
        <v>40.799999999999997</v>
      </c>
      <c r="AM21" s="144">
        <v>41.56</v>
      </c>
      <c r="AN21" s="144">
        <v>42.35</v>
      </c>
      <c r="AO21" s="144">
        <v>43.12</v>
      </c>
      <c r="AP21" s="144">
        <v>43.93</v>
      </c>
      <c r="AQ21" s="144">
        <v>44.74</v>
      </c>
      <c r="AR21" s="144">
        <v>45.57</v>
      </c>
      <c r="AS21" s="144">
        <v>46.4</v>
      </c>
      <c r="AT21" s="144">
        <v>47.25</v>
      </c>
      <c r="AU21" s="144">
        <v>48.12</v>
      </c>
      <c r="AV21" s="144">
        <v>49.01</v>
      </c>
      <c r="AW21" s="144">
        <v>49.93</v>
      </c>
      <c r="AX21" s="144">
        <v>50.85</v>
      </c>
      <c r="AY21" s="144">
        <v>51.79</v>
      </c>
      <c r="AZ21" s="144">
        <v>52.75</v>
      </c>
      <c r="BA21" s="144">
        <v>53.72</v>
      </c>
      <c r="BB21" s="144">
        <v>54.72</v>
      </c>
      <c r="BC21" s="144">
        <v>55.73</v>
      </c>
      <c r="BD21" s="144">
        <v>56.76</v>
      </c>
      <c r="BE21" s="144">
        <v>57.81</v>
      </c>
    </row>
    <row r="22" spans="1:57" ht="14.25" customHeight="1" x14ac:dyDescent="0.45">
      <c r="A22" s="618">
        <v>2</v>
      </c>
      <c r="B22" s="400"/>
      <c r="C22" s="64" t="s">
        <v>495</v>
      </c>
      <c r="D22" s="405" t="s">
        <v>486</v>
      </c>
      <c r="E22" s="406">
        <f>'Copia de Demandas de energía '!D22*$E$89</f>
        <v>2.5489150909015965</v>
      </c>
      <c r="F22" s="406">
        <f>'Copia de Demandas de energía '!E22*$E$89</f>
        <v>2.9144162332636521</v>
      </c>
      <c r="G22" s="406">
        <f>'Copia de Demandas de energía '!F22*$E$89</f>
        <v>0.67387279405921663</v>
      </c>
      <c r="H22" s="406">
        <f>'Copia de Demandas de energía '!G22*$E$89</f>
        <v>3.1559712018167967</v>
      </c>
      <c r="I22" s="647">
        <v>5.8671400903808903</v>
      </c>
      <c r="J22" s="647">
        <v>3.4450000000000003</v>
      </c>
      <c r="K22" s="647">
        <v>3.5625</v>
      </c>
      <c r="L22" s="647">
        <v>3.67</v>
      </c>
      <c r="M22" s="647">
        <v>3.7825000000000002</v>
      </c>
      <c r="N22" s="647">
        <v>3.9050000000000002</v>
      </c>
      <c r="O22" s="647">
        <v>4.0274999999999999</v>
      </c>
      <c r="P22" s="647">
        <v>4.1349999999999998</v>
      </c>
      <c r="Q22" s="647">
        <v>4.2475000000000005</v>
      </c>
      <c r="R22" s="647">
        <v>4.3674999999999997</v>
      </c>
      <c r="S22" s="647">
        <v>4.49</v>
      </c>
      <c r="T22" s="647">
        <v>4.6124999999999998</v>
      </c>
      <c r="U22" s="647">
        <v>4.7300000000000004</v>
      </c>
      <c r="V22" s="647">
        <v>4.8449999999999998</v>
      </c>
      <c r="W22" s="647">
        <v>4.9625000000000004</v>
      </c>
      <c r="X22" s="647">
        <v>5.08</v>
      </c>
      <c r="Y22" s="647">
        <v>5.2024999999999997</v>
      </c>
      <c r="Z22" s="647">
        <v>5.33</v>
      </c>
      <c r="AA22" s="647">
        <v>5.4524999999999997</v>
      </c>
      <c r="AB22" s="647">
        <v>5.5774999999999997</v>
      </c>
      <c r="AC22" s="647">
        <v>5.6999999999999993</v>
      </c>
      <c r="AD22" s="647">
        <v>5.8149999999999995</v>
      </c>
      <c r="AE22" s="647">
        <v>5.93</v>
      </c>
      <c r="AF22" s="647">
        <v>6.05</v>
      </c>
      <c r="AG22" s="647">
        <v>6.1749999999999998</v>
      </c>
      <c r="AH22" s="647">
        <v>6.2949999999999999</v>
      </c>
      <c r="AI22" s="647">
        <v>6.41</v>
      </c>
      <c r="AJ22" s="647">
        <v>6.5274999999999999</v>
      </c>
      <c r="AK22" s="647">
        <v>6.665</v>
      </c>
      <c r="AL22" s="647">
        <v>6.8150000000000004</v>
      </c>
      <c r="AM22" s="647">
        <v>6.9550000000000001</v>
      </c>
      <c r="AN22" s="647">
        <v>7.0949999999999998</v>
      </c>
      <c r="AO22" s="647">
        <v>7.2374999999999998</v>
      </c>
      <c r="AP22" s="647">
        <v>7.3849999999999998</v>
      </c>
      <c r="AQ22" s="647">
        <v>7.5350000000000001</v>
      </c>
      <c r="AR22" s="647">
        <v>7.6875</v>
      </c>
      <c r="AS22" s="647">
        <v>7.8425000000000002</v>
      </c>
      <c r="AT22" s="647">
        <v>8</v>
      </c>
      <c r="AU22" s="647">
        <v>8.1624999999999996</v>
      </c>
      <c r="AV22" s="647">
        <v>8.33</v>
      </c>
      <c r="AW22" s="647">
        <v>8.5</v>
      </c>
      <c r="AX22" s="647">
        <v>8.6724999999999994</v>
      </c>
      <c r="AY22" s="647">
        <v>8.85</v>
      </c>
      <c r="AZ22" s="647">
        <v>9.0300000000000011</v>
      </c>
      <c r="BA22" s="647">
        <v>9.2125000000000004</v>
      </c>
      <c r="BB22" s="647">
        <v>9.4</v>
      </c>
      <c r="BC22" s="647">
        <v>9.59</v>
      </c>
      <c r="BD22" s="647">
        <v>9.7824999999999989</v>
      </c>
      <c r="BE22" s="647">
        <v>9.98</v>
      </c>
    </row>
    <row r="23" spans="1:57" ht="14.25" customHeight="1" x14ac:dyDescent="0.45">
      <c r="A23" s="618">
        <v>2</v>
      </c>
      <c r="B23" s="400"/>
      <c r="C23" s="401"/>
      <c r="D23" s="405" t="s">
        <v>488</v>
      </c>
      <c r="E23" s="406" t="s">
        <v>221</v>
      </c>
      <c r="F23" s="406" t="s">
        <v>221</v>
      </c>
      <c r="G23" s="406" t="s">
        <v>221</v>
      </c>
      <c r="H23" s="406" t="s">
        <v>221</v>
      </c>
      <c r="I23" s="144"/>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row>
    <row r="24" spans="1:57" ht="14.25" customHeight="1" x14ac:dyDescent="0.45">
      <c r="A24" s="618"/>
      <c r="B24" s="400"/>
      <c r="C24" s="401"/>
      <c r="D24" s="405" t="s">
        <v>489</v>
      </c>
      <c r="E24" s="406"/>
      <c r="F24" s="406"/>
      <c r="G24" s="406"/>
      <c r="H24" s="406"/>
      <c r="I24" s="144"/>
      <c r="J24" s="144"/>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row>
    <row r="25" spans="1:57" ht="14.25" customHeight="1" x14ac:dyDescent="0.45">
      <c r="A25" s="618">
        <v>2</v>
      </c>
      <c r="B25" s="400"/>
      <c r="C25" s="401"/>
      <c r="D25" s="405" t="s">
        <v>396</v>
      </c>
      <c r="E25" s="406">
        <f>'Copia de Demandas de energía '!D25*$E$89</f>
        <v>119.77472119444064</v>
      </c>
      <c r="F25" s="406">
        <f>'Copia de Demandas de energía '!E25*$E$89</f>
        <v>121.70946544856682</v>
      </c>
      <c r="G25" s="406">
        <f>'Copia de Demandas de energía '!F25*$E$89</f>
        <v>103.25100653667698</v>
      </c>
      <c r="H25" s="406">
        <f>'Copia de Demandas de energía '!G25*$E$89</f>
        <v>116.77853861602196</v>
      </c>
      <c r="I25" s="412">
        <v>114.74</v>
      </c>
      <c r="J25" s="412">
        <v>123.51</v>
      </c>
      <c r="K25" s="412">
        <v>122.11</v>
      </c>
      <c r="L25" s="412">
        <v>130.5</v>
      </c>
      <c r="M25" s="412">
        <v>128.83000000000001</v>
      </c>
      <c r="N25" s="412">
        <v>137.71</v>
      </c>
      <c r="O25" s="412">
        <v>137.22999999999999</v>
      </c>
      <c r="P25" s="412">
        <v>144.66999999999999</v>
      </c>
      <c r="Q25" s="412">
        <v>144.02000000000001</v>
      </c>
      <c r="R25" s="412">
        <v>152.57</v>
      </c>
      <c r="S25" s="412">
        <v>152.63</v>
      </c>
      <c r="T25" s="412">
        <v>160.56</v>
      </c>
      <c r="U25" s="412">
        <v>161.1</v>
      </c>
      <c r="V25" s="412">
        <v>167.96</v>
      </c>
      <c r="W25" s="412">
        <v>169.43</v>
      </c>
      <c r="X25" s="412">
        <v>175.92</v>
      </c>
      <c r="Y25" s="412">
        <v>177.61</v>
      </c>
      <c r="Z25" s="412">
        <v>184.38</v>
      </c>
      <c r="AA25" s="412">
        <v>186.48</v>
      </c>
      <c r="AB25" s="412">
        <v>192.7</v>
      </c>
      <c r="AC25" s="412">
        <v>195.2</v>
      </c>
      <c r="AD25" s="412">
        <v>200.29</v>
      </c>
      <c r="AE25" s="412">
        <v>203.16</v>
      </c>
      <c r="AF25" s="412">
        <v>208.36</v>
      </c>
      <c r="AG25" s="412">
        <v>211.83</v>
      </c>
      <c r="AH25" s="412">
        <v>216.95</v>
      </c>
      <c r="AI25" s="412">
        <v>219.74</v>
      </c>
      <c r="AJ25" s="412">
        <v>224.78</v>
      </c>
      <c r="AK25" s="412">
        <v>227.91</v>
      </c>
      <c r="AL25" s="144">
        <v>232.35</v>
      </c>
      <c r="AM25" s="144">
        <v>237.05</v>
      </c>
      <c r="AN25" s="144">
        <v>241.55</v>
      </c>
      <c r="AO25" s="144">
        <v>246.29</v>
      </c>
      <c r="AP25" s="144">
        <v>250.97</v>
      </c>
      <c r="AQ25" s="144">
        <v>255.83</v>
      </c>
      <c r="AR25" s="144">
        <v>260.64</v>
      </c>
      <c r="AS25" s="144">
        <v>265.60000000000002</v>
      </c>
      <c r="AT25" s="144">
        <v>270.54000000000002</v>
      </c>
      <c r="AU25" s="144">
        <v>275.7</v>
      </c>
      <c r="AV25" s="144">
        <v>280.86</v>
      </c>
      <c r="AW25" s="144">
        <v>286.25</v>
      </c>
      <c r="AX25" s="144">
        <v>291.72000000000003</v>
      </c>
      <c r="AY25" s="144">
        <v>297.29000000000002</v>
      </c>
      <c r="AZ25" s="144">
        <v>302.97000000000003</v>
      </c>
      <c r="BA25" s="144">
        <v>308.73</v>
      </c>
      <c r="BB25" s="144">
        <v>314.58999999999997</v>
      </c>
      <c r="BC25" s="144">
        <v>320.57</v>
      </c>
      <c r="BD25" s="144">
        <v>326.66000000000003</v>
      </c>
      <c r="BE25" s="144">
        <v>332.87</v>
      </c>
    </row>
    <row r="26" spans="1:57" ht="14.25" customHeight="1" x14ac:dyDescent="0.45">
      <c r="A26" s="618">
        <v>2</v>
      </c>
      <c r="B26" s="400"/>
      <c r="C26" s="401"/>
      <c r="D26" s="405" t="s">
        <v>397</v>
      </c>
      <c r="E26" s="406">
        <f>'Copia de Demandas de energía '!D26*$E$89</f>
        <v>8.5942826246463007</v>
      </c>
      <c r="F26" s="406">
        <f>'Copia de Demandas de energía '!E26*$E$89</f>
        <v>8.7330592983366238</v>
      </c>
      <c r="G26" s="406">
        <f>'Copia de Demandas de energía '!F26*$E$89</f>
        <v>7.4085840151248004</v>
      </c>
      <c r="H26" s="406">
        <f>'Copia de Demandas de energía '!G26*$E$89</f>
        <v>8.3794400754186054</v>
      </c>
      <c r="I26" s="412">
        <v>8.49</v>
      </c>
      <c r="J26" s="412">
        <v>8.6</v>
      </c>
      <c r="K26" s="412">
        <v>8.7100000000000009</v>
      </c>
      <c r="L26" s="412">
        <v>8.82</v>
      </c>
      <c r="M26" s="412">
        <v>8.93</v>
      </c>
      <c r="N26" s="412">
        <v>9.0399999999999991</v>
      </c>
      <c r="O26" s="412">
        <v>9.15</v>
      </c>
      <c r="P26" s="412">
        <v>9.25</v>
      </c>
      <c r="Q26" s="412">
        <v>9.35</v>
      </c>
      <c r="R26" s="412">
        <v>9.4600000000000009</v>
      </c>
      <c r="S26" s="412">
        <v>9.56</v>
      </c>
      <c r="T26" s="412">
        <v>9.65</v>
      </c>
      <c r="U26" s="412">
        <v>9.75</v>
      </c>
      <c r="V26" s="412">
        <v>9.85</v>
      </c>
      <c r="W26" s="412">
        <v>9.94</v>
      </c>
      <c r="X26" s="412">
        <v>10.029999999999999</v>
      </c>
      <c r="Y26" s="412">
        <v>10.119999999999999</v>
      </c>
      <c r="Z26" s="412">
        <v>10.210000000000001</v>
      </c>
      <c r="AA26" s="412">
        <v>10.29</v>
      </c>
      <c r="AB26" s="412">
        <v>10.38</v>
      </c>
      <c r="AC26" s="412">
        <v>10.46</v>
      </c>
      <c r="AD26" s="412">
        <v>10.54</v>
      </c>
      <c r="AE26" s="412">
        <v>10.62</v>
      </c>
      <c r="AF26" s="412">
        <v>10.69</v>
      </c>
      <c r="AG26" s="412">
        <v>10.76</v>
      </c>
      <c r="AH26" s="412">
        <v>10.84</v>
      </c>
      <c r="AI26" s="412">
        <v>10.9</v>
      </c>
      <c r="AJ26" s="412">
        <v>10.97</v>
      </c>
      <c r="AK26" s="412">
        <v>11.04</v>
      </c>
      <c r="AL26" s="144">
        <v>11.1</v>
      </c>
      <c r="AM26" s="144">
        <v>11.16</v>
      </c>
      <c r="AN26" s="144">
        <v>11.22</v>
      </c>
      <c r="AO26" s="144">
        <v>11.27</v>
      </c>
      <c r="AP26" s="144">
        <v>11.32</v>
      </c>
      <c r="AQ26" s="144">
        <v>11.37</v>
      </c>
      <c r="AR26" s="144">
        <v>11.42</v>
      </c>
      <c r="AS26" s="144">
        <v>11.47</v>
      </c>
      <c r="AT26" s="144">
        <v>11.51</v>
      </c>
      <c r="AU26" s="144">
        <v>11.55</v>
      </c>
      <c r="AV26" s="144">
        <v>11.59</v>
      </c>
      <c r="AW26" s="144">
        <v>11.62</v>
      </c>
      <c r="AX26" s="144">
        <v>11.66</v>
      </c>
      <c r="AY26" s="144">
        <v>11.69</v>
      </c>
      <c r="AZ26" s="144">
        <v>11.72</v>
      </c>
      <c r="BA26" s="144">
        <v>11.74</v>
      </c>
      <c r="BB26" s="144">
        <v>11.76</v>
      </c>
      <c r="BC26" s="144">
        <v>11.78</v>
      </c>
      <c r="BD26" s="144">
        <v>11.8</v>
      </c>
      <c r="BE26" s="144">
        <v>11.81</v>
      </c>
    </row>
    <row r="27" spans="1:57" ht="14.25" customHeight="1" x14ac:dyDescent="0.45">
      <c r="A27" s="618"/>
      <c r="B27" s="400"/>
      <c r="C27" s="64" t="s">
        <v>496</v>
      </c>
      <c r="D27" s="408" t="s">
        <v>398</v>
      </c>
      <c r="E27" s="406">
        <f>'Copia de Demandas de energía '!D27*$E$89</f>
        <v>11.479559995220416</v>
      </c>
      <c r="F27" s="406">
        <f>'Copia de Demandas de energía '!E27*$E$89</f>
        <v>11.546335382142539</v>
      </c>
      <c r="G27" s="406">
        <f>'Copia de Demandas de energía '!F27*$E$89</f>
        <v>9.8560471097051785</v>
      </c>
      <c r="H27" s="406">
        <f>'Copia de Demandas de energía '!G27*$E$89</f>
        <v>11.926664759829405</v>
      </c>
      <c r="I27" s="144">
        <v>12.25</v>
      </c>
      <c r="J27" s="144">
        <v>12.63</v>
      </c>
      <c r="K27" s="144">
        <v>13.01</v>
      </c>
      <c r="L27" s="144">
        <v>13.36</v>
      </c>
      <c r="M27" s="144">
        <v>13.67</v>
      </c>
      <c r="N27" s="144">
        <v>14.1</v>
      </c>
      <c r="O27" s="144">
        <v>14.5</v>
      </c>
      <c r="P27" s="144">
        <v>14.82</v>
      </c>
      <c r="Q27" s="144">
        <v>15.17</v>
      </c>
      <c r="R27" s="144">
        <v>15.65</v>
      </c>
      <c r="S27" s="144">
        <v>16.04</v>
      </c>
      <c r="T27" s="144">
        <v>16.5</v>
      </c>
      <c r="U27" s="144">
        <v>16.899999999999999</v>
      </c>
      <c r="V27" s="144">
        <v>17.29</v>
      </c>
      <c r="W27" s="144">
        <v>17.739999999999998</v>
      </c>
      <c r="X27" s="144">
        <v>18.14</v>
      </c>
      <c r="Y27" s="144">
        <v>18.559999999999999</v>
      </c>
      <c r="Z27" s="144">
        <v>19.03</v>
      </c>
      <c r="AA27" s="144">
        <v>19.46</v>
      </c>
      <c r="AB27" s="144">
        <v>19.91</v>
      </c>
      <c r="AC27" s="144">
        <v>20.350000000000001</v>
      </c>
      <c r="AD27" s="144">
        <v>20.71</v>
      </c>
      <c r="AE27" s="144">
        <v>21.16</v>
      </c>
      <c r="AF27" s="144">
        <v>21.55</v>
      </c>
      <c r="AG27" s="144">
        <v>22.05</v>
      </c>
      <c r="AH27" s="144">
        <v>22.45</v>
      </c>
      <c r="AI27" s="144">
        <v>22.86</v>
      </c>
      <c r="AJ27" s="144">
        <v>23.27</v>
      </c>
      <c r="AK27" s="144">
        <v>23.69</v>
      </c>
      <c r="AL27" s="144">
        <v>24.17</v>
      </c>
      <c r="AM27" s="144">
        <v>24.61</v>
      </c>
      <c r="AN27" s="144">
        <v>25.04</v>
      </c>
      <c r="AO27" s="144">
        <v>25.49</v>
      </c>
      <c r="AP27" s="144">
        <v>25.94</v>
      </c>
      <c r="AQ27" s="144">
        <v>26.41</v>
      </c>
      <c r="AR27" s="144">
        <v>26.86</v>
      </c>
      <c r="AS27" s="144">
        <v>27.31</v>
      </c>
      <c r="AT27" s="144">
        <v>27.77</v>
      </c>
      <c r="AU27" s="144">
        <v>28.24</v>
      </c>
      <c r="AV27" s="144">
        <v>28.7</v>
      </c>
      <c r="AW27" s="144">
        <v>29.16</v>
      </c>
      <c r="AX27" s="144">
        <v>29.63</v>
      </c>
      <c r="AY27" s="144">
        <v>30.09</v>
      </c>
      <c r="AZ27" s="144">
        <v>30.56</v>
      </c>
      <c r="BA27" s="144">
        <v>31.03</v>
      </c>
      <c r="BB27" s="144">
        <v>31.49</v>
      </c>
      <c r="BC27" s="144">
        <v>31.96</v>
      </c>
      <c r="BD27" s="144">
        <v>32.43</v>
      </c>
      <c r="BE27" s="144">
        <v>32.9</v>
      </c>
    </row>
    <row r="28" spans="1:57" ht="14.25" customHeight="1" x14ac:dyDescent="0.45">
      <c r="A28" s="618"/>
      <c r="B28" s="400"/>
      <c r="C28" s="401"/>
      <c r="D28" s="405" t="s">
        <v>399</v>
      </c>
      <c r="E28" s="406" t="s">
        <v>221</v>
      </c>
      <c r="F28" s="406" t="s">
        <v>221</v>
      </c>
      <c r="G28" s="406" t="s">
        <v>221</v>
      </c>
      <c r="H28" s="406" t="s">
        <v>221</v>
      </c>
      <c r="I28" s="144" t="s">
        <v>221</v>
      </c>
      <c r="J28" s="144" t="s">
        <v>221</v>
      </c>
      <c r="K28" s="144" t="s">
        <v>221</v>
      </c>
      <c r="L28" s="144" t="s">
        <v>221</v>
      </c>
      <c r="M28" s="144" t="s">
        <v>221</v>
      </c>
      <c r="N28" s="144" t="s">
        <v>221</v>
      </c>
      <c r="O28" s="144" t="s">
        <v>221</v>
      </c>
      <c r="P28" s="144" t="s">
        <v>221</v>
      </c>
      <c r="Q28" s="144" t="s">
        <v>221</v>
      </c>
      <c r="R28" s="144" t="s">
        <v>221</v>
      </c>
      <c r="S28" s="144" t="s">
        <v>221</v>
      </c>
      <c r="T28" s="144" t="s">
        <v>221</v>
      </c>
      <c r="U28" s="144" t="s">
        <v>221</v>
      </c>
      <c r="V28" s="144" t="s">
        <v>221</v>
      </c>
      <c r="W28" s="144" t="s">
        <v>221</v>
      </c>
      <c r="X28" s="144" t="s">
        <v>221</v>
      </c>
      <c r="Y28" s="144" t="s">
        <v>221</v>
      </c>
      <c r="Z28" s="144" t="s">
        <v>221</v>
      </c>
      <c r="AA28" s="144" t="s">
        <v>221</v>
      </c>
      <c r="AB28" s="144" t="s">
        <v>221</v>
      </c>
      <c r="AC28" s="144" t="s">
        <v>221</v>
      </c>
      <c r="AD28" s="144" t="s">
        <v>221</v>
      </c>
      <c r="AE28" s="144" t="s">
        <v>221</v>
      </c>
      <c r="AF28" s="144" t="s">
        <v>221</v>
      </c>
      <c r="AG28" s="144" t="s">
        <v>221</v>
      </c>
      <c r="AH28" s="144" t="s">
        <v>221</v>
      </c>
      <c r="AI28" s="144" t="s">
        <v>221</v>
      </c>
      <c r="AJ28" s="144" t="s">
        <v>221</v>
      </c>
      <c r="AK28" s="144" t="s">
        <v>221</v>
      </c>
      <c r="AL28" s="144" t="s">
        <v>221</v>
      </c>
      <c r="AM28" s="144" t="s">
        <v>221</v>
      </c>
      <c r="AN28" s="144" t="s">
        <v>221</v>
      </c>
      <c r="AO28" s="144" t="s">
        <v>221</v>
      </c>
      <c r="AP28" s="144" t="s">
        <v>221</v>
      </c>
      <c r="AQ28" s="144" t="s">
        <v>221</v>
      </c>
      <c r="AR28" s="144" t="s">
        <v>221</v>
      </c>
      <c r="AS28" s="144" t="s">
        <v>221</v>
      </c>
      <c r="AT28" s="144" t="s">
        <v>221</v>
      </c>
      <c r="AU28" s="144" t="s">
        <v>221</v>
      </c>
      <c r="AV28" s="144" t="s">
        <v>221</v>
      </c>
      <c r="AW28" s="144" t="s">
        <v>221</v>
      </c>
      <c r="AX28" s="144" t="s">
        <v>221</v>
      </c>
      <c r="AY28" s="144" t="s">
        <v>221</v>
      </c>
      <c r="AZ28" s="144" t="s">
        <v>221</v>
      </c>
      <c r="BA28" s="144" t="s">
        <v>221</v>
      </c>
      <c r="BB28" s="144" t="s">
        <v>221</v>
      </c>
      <c r="BC28" s="144" t="s">
        <v>221</v>
      </c>
      <c r="BD28" s="144" t="s">
        <v>221</v>
      </c>
      <c r="BE28" s="144" t="s">
        <v>221</v>
      </c>
    </row>
    <row r="29" spans="1:57" ht="14.25" customHeight="1" x14ac:dyDescent="0.45">
      <c r="A29" s="618"/>
      <c r="B29" s="400"/>
      <c r="C29" s="401"/>
      <c r="D29" s="404" t="s">
        <v>25</v>
      </c>
      <c r="E29" s="406">
        <f t="shared" ref="E29:AJ29" si="2">SUM(E19:E28)</f>
        <v>173.71914137230942</v>
      </c>
      <c r="F29" s="406">
        <f t="shared" si="2"/>
        <v>171.64109421715102</v>
      </c>
      <c r="G29" s="406">
        <f t="shared" si="2"/>
        <v>147.2807983011329</v>
      </c>
      <c r="H29" s="406">
        <f t="shared" si="2"/>
        <v>165.14101830419995</v>
      </c>
      <c r="I29" s="144">
        <f t="shared" si="2"/>
        <v>175.874835377663</v>
      </c>
      <c r="J29" s="144">
        <f t="shared" si="2"/>
        <v>174.51499999999999</v>
      </c>
      <c r="K29" s="144">
        <f t="shared" si="2"/>
        <v>174.70249999999999</v>
      </c>
      <c r="L29" s="144">
        <f t="shared" si="2"/>
        <v>184.15249999999997</v>
      </c>
      <c r="M29" s="144">
        <f t="shared" si="2"/>
        <v>183.85750000000002</v>
      </c>
      <c r="N29" s="144">
        <f t="shared" si="2"/>
        <v>194.04999999999998</v>
      </c>
      <c r="O29" s="144">
        <f t="shared" si="2"/>
        <v>195.21</v>
      </c>
      <c r="P29" s="144">
        <f t="shared" si="2"/>
        <v>203.58999999999997</v>
      </c>
      <c r="Q29" s="144">
        <f t="shared" si="2"/>
        <v>204.41749999999999</v>
      </c>
      <c r="R29" s="144">
        <f t="shared" si="2"/>
        <v>214.41250000000002</v>
      </c>
      <c r="S29" s="144">
        <f t="shared" si="2"/>
        <v>216.07</v>
      </c>
      <c r="T29" s="144">
        <f t="shared" si="2"/>
        <v>225.39500000000001</v>
      </c>
      <c r="U29" s="144">
        <f t="shared" si="2"/>
        <v>227.51000000000002</v>
      </c>
      <c r="V29" s="144">
        <f t="shared" si="2"/>
        <v>235.6</v>
      </c>
      <c r="W29" s="144">
        <f t="shared" si="2"/>
        <v>238.75500000000002</v>
      </c>
      <c r="X29" s="144">
        <f t="shared" si="2"/>
        <v>246.4975</v>
      </c>
      <c r="Y29" s="144">
        <f t="shared" si="2"/>
        <v>249.79750000000001</v>
      </c>
      <c r="Z29" s="144">
        <f t="shared" si="2"/>
        <v>258.02750000000003</v>
      </c>
      <c r="AA29" s="144">
        <f t="shared" si="2"/>
        <v>261.72999999999996</v>
      </c>
      <c r="AB29" s="144">
        <f t="shared" si="2"/>
        <v>269.36</v>
      </c>
      <c r="AC29" s="144">
        <f t="shared" si="2"/>
        <v>273.45999999999998</v>
      </c>
      <c r="AD29" s="144">
        <f t="shared" si="2"/>
        <v>279.69499999999999</v>
      </c>
      <c r="AE29" s="144">
        <f t="shared" si="2"/>
        <v>284.16000000000003</v>
      </c>
      <c r="AF29" s="144">
        <f t="shared" si="2"/>
        <v>290.61500000000001</v>
      </c>
      <c r="AG29" s="144">
        <f t="shared" si="2"/>
        <v>295.79000000000002</v>
      </c>
      <c r="AH29" s="144">
        <f t="shared" si="2"/>
        <v>302.20999999999992</v>
      </c>
      <c r="AI29" s="144">
        <f t="shared" si="2"/>
        <v>306.40499999999997</v>
      </c>
      <c r="AJ29" s="144">
        <f t="shared" si="2"/>
        <v>312.755</v>
      </c>
      <c r="AK29" s="144">
        <f t="shared" ref="AK29:BE29" si="3">SUM(AK19:AK28)</f>
        <v>317.35750000000002</v>
      </c>
      <c r="AL29" s="144">
        <f t="shared" si="3"/>
        <v>323.39000000000004</v>
      </c>
      <c r="AM29" s="144">
        <f t="shared" si="3"/>
        <v>329.61250000000007</v>
      </c>
      <c r="AN29" s="144">
        <f t="shared" si="3"/>
        <v>335.64750000000004</v>
      </c>
      <c r="AO29" s="144">
        <f t="shared" si="3"/>
        <v>341.91749999999996</v>
      </c>
      <c r="AP29" s="144">
        <f t="shared" si="3"/>
        <v>348.17500000000001</v>
      </c>
      <c r="AQ29" s="144">
        <f t="shared" si="3"/>
        <v>354.63250000000005</v>
      </c>
      <c r="AR29" s="144">
        <f t="shared" si="3"/>
        <v>361.04</v>
      </c>
      <c r="AS29" s="144">
        <f t="shared" si="3"/>
        <v>367.60000000000008</v>
      </c>
      <c r="AT29" s="144">
        <f t="shared" si="3"/>
        <v>374.16250000000002</v>
      </c>
      <c r="AU29" s="144">
        <f t="shared" si="3"/>
        <v>380.97750000000002</v>
      </c>
      <c r="AV29" s="144">
        <f t="shared" si="3"/>
        <v>387.80250000000001</v>
      </c>
      <c r="AW29" s="144">
        <f t="shared" si="3"/>
        <v>394.88000000000005</v>
      </c>
      <c r="AX29" s="144">
        <f t="shared" si="3"/>
        <v>402.06250000000006</v>
      </c>
      <c r="AY29" s="144">
        <f t="shared" si="3"/>
        <v>409.34749999999997</v>
      </c>
      <c r="AZ29" s="144">
        <f t="shared" si="3"/>
        <v>416.77250000000009</v>
      </c>
      <c r="BA29" s="144">
        <f t="shared" si="3"/>
        <v>424.28</v>
      </c>
      <c r="BB29" s="144">
        <f t="shared" si="3"/>
        <v>431.90999999999997</v>
      </c>
      <c r="BC29" s="144">
        <f t="shared" si="3"/>
        <v>439.67999999999995</v>
      </c>
      <c r="BD29" s="144">
        <f t="shared" si="3"/>
        <v>447.58000000000004</v>
      </c>
      <c r="BE29" s="144">
        <f t="shared" si="3"/>
        <v>455.60999999999996</v>
      </c>
    </row>
    <row r="30" spans="1:57" ht="14.25" customHeight="1" x14ac:dyDescent="0.45">
      <c r="A30" s="618"/>
      <c r="B30" s="400"/>
      <c r="C30" s="401"/>
      <c r="D30" s="410"/>
      <c r="E30" s="401"/>
      <c r="F30" s="401"/>
      <c r="G30" s="401"/>
      <c r="H30" s="401"/>
      <c r="I30" s="401"/>
      <c r="J30" s="401"/>
      <c r="K30" s="401"/>
      <c r="L30" s="401"/>
      <c r="M30" s="401"/>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401"/>
      <c r="AT30" s="401"/>
      <c r="AU30" s="401"/>
      <c r="AV30" s="401"/>
      <c r="AW30" s="401"/>
      <c r="AX30" s="401"/>
      <c r="AY30" s="401"/>
      <c r="AZ30" s="401"/>
      <c r="BA30" s="401"/>
      <c r="BB30" s="401"/>
      <c r="BC30" s="401"/>
      <c r="BD30" s="401"/>
      <c r="BE30" s="401"/>
    </row>
    <row r="31" spans="1:57" ht="14.25" customHeight="1" x14ac:dyDescent="0.45">
      <c r="A31" s="618"/>
      <c r="B31" s="400"/>
      <c r="C31" s="401"/>
      <c r="D31" s="404" t="s">
        <v>497</v>
      </c>
      <c r="E31" s="403"/>
      <c r="F31" s="403"/>
      <c r="G31" s="403"/>
      <c r="H31" s="403"/>
      <c r="I31" s="403"/>
      <c r="J31" s="403"/>
      <c r="K31" s="403"/>
      <c r="L31" s="403"/>
      <c r="M31" s="403"/>
      <c r="N31" s="403"/>
      <c r="O31" s="403"/>
      <c r="P31" s="403"/>
      <c r="Q31" s="403"/>
      <c r="R31" s="403"/>
      <c r="S31" s="403"/>
      <c r="T31" s="403"/>
      <c r="U31" s="403"/>
      <c r="V31" s="403"/>
      <c r="W31" s="403"/>
      <c r="X31" s="403"/>
      <c r="Y31" s="403"/>
      <c r="Z31" s="403"/>
      <c r="AA31" s="403"/>
      <c r="AB31" s="403"/>
      <c r="AC31" s="403"/>
      <c r="AD31" s="403"/>
      <c r="AE31" s="403"/>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row>
    <row r="32" spans="1:57" ht="14.25" customHeight="1" x14ac:dyDescent="0.45">
      <c r="A32" s="618">
        <v>2</v>
      </c>
      <c r="B32" s="400"/>
      <c r="C32" s="64" t="s">
        <v>498</v>
      </c>
      <c r="D32" s="405" t="s">
        <v>480</v>
      </c>
      <c r="E32" s="406">
        <f>'Copia de Demandas de energía '!D32*$E$89</f>
        <v>37.18817750384455</v>
      </c>
      <c r="F32" s="406">
        <f>'Copia de Demandas de energía '!E32*$E$89</f>
        <v>38.367604452895222</v>
      </c>
      <c r="G32" s="406">
        <f>'Copia de Demandas de energía '!F32*$E$89</f>
        <v>39.136214531015874</v>
      </c>
      <c r="H32" s="406">
        <f>'Copia de Demandas de energía '!G32*$E$89</f>
        <v>39.917656399749696</v>
      </c>
      <c r="I32" s="647">
        <v>41.302969657843768</v>
      </c>
      <c r="J32" s="144">
        <v>40.99</v>
      </c>
      <c r="K32" s="144">
        <v>41.51</v>
      </c>
      <c r="L32" s="144">
        <v>42.04</v>
      </c>
      <c r="M32" s="144">
        <v>42.55</v>
      </c>
      <c r="N32" s="144">
        <v>43.06</v>
      </c>
      <c r="O32" s="144">
        <v>43.57</v>
      </c>
      <c r="P32" s="144">
        <v>44.07</v>
      </c>
      <c r="Q32" s="144">
        <v>44.56</v>
      </c>
      <c r="R32" s="144">
        <v>45.04</v>
      </c>
      <c r="S32" s="144">
        <v>45.52</v>
      </c>
      <c r="T32" s="144">
        <v>45.99</v>
      </c>
      <c r="U32" s="144">
        <v>46.45</v>
      </c>
      <c r="V32" s="144">
        <v>46.9</v>
      </c>
      <c r="W32" s="144">
        <v>47.35</v>
      </c>
      <c r="X32" s="144">
        <v>47.78</v>
      </c>
      <c r="Y32" s="144">
        <v>48.21</v>
      </c>
      <c r="Z32" s="144">
        <v>48.63</v>
      </c>
      <c r="AA32" s="144">
        <v>49.04</v>
      </c>
      <c r="AB32" s="144">
        <v>49.44</v>
      </c>
      <c r="AC32" s="144">
        <v>49.82</v>
      </c>
      <c r="AD32" s="144">
        <v>50.2</v>
      </c>
      <c r="AE32" s="144">
        <v>50.57</v>
      </c>
      <c r="AF32" s="144">
        <v>50.93</v>
      </c>
      <c r="AG32" s="144">
        <v>51.28</v>
      </c>
      <c r="AH32" s="144">
        <v>51.62</v>
      </c>
      <c r="AI32" s="144">
        <v>51.95</v>
      </c>
      <c r="AJ32" s="144">
        <v>52.26</v>
      </c>
      <c r="AK32" s="144">
        <v>52.57</v>
      </c>
      <c r="AL32" s="144">
        <v>52.87</v>
      </c>
      <c r="AM32" s="144">
        <v>53.15</v>
      </c>
      <c r="AN32" s="144">
        <v>53.43</v>
      </c>
      <c r="AO32" s="144">
        <v>53.69</v>
      </c>
      <c r="AP32" s="144">
        <v>53.94</v>
      </c>
      <c r="AQ32" s="144">
        <v>54.18</v>
      </c>
      <c r="AR32" s="144">
        <v>54.41</v>
      </c>
      <c r="AS32" s="144">
        <v>54.63</v>
      </c>
      <c r="AT32" s="144">
        <v>54.83</v>
      </c>
      <c r="AU32" s="144">
        <v>55.03</v>
      </c>
      <c r="AV32" s="144">
        <v>55.21</v>
      </c>
      <c r="AW32" s="144">
        <v>55.38</v>
      </c>
      <c r="AX32" s="144">
        <v>55.53</v>
      </c>
      <c r="AY32" s="144">
        <v>55.68</v>
      </c>
      <c r="AZ32" s="144">
        <v>55.81</v>
      </c>
      <c r="BA32" s="144">
        <v>55.93</v>
      </c>
      <c r="BB32" s="144">
        <v>56.03</v>
      </c>
      <c r="BC32" s="144">
        <v>56.13</v>
      </c>
      <c r="BD32" s="144">
        <v>56.21</v>
      </c>
      <c r="BE32" s="144">
        <v>56.27</v>
      </c>
    </row>
    <row r="33" spans="1:57" ht="14.25" customHeight="1" x14ac:dyDescent="0.45">
      <c r="A33" s="618"/>
      <c r="B33" s="400"/>
      <c r="C33" s="64" t="s">
        <v>499</v>
      </c>
      <c r="D33" s="408" t="s">
        <v>482</v>
      </c>
      <c r="E33" s="406">
        <f>'Copia de Demandas de energía '!D33*$E$89</f>
        <v>2.3911177966398309</v>
      </c>
      <c r="F33" s="406">
        <f>'Copia de Demandas de energía '!E33*$E$89</f>
        <v>2.3977571514238343</v>
      </c>
      <c r="G33" s="406">
        <f>'Copia de Demandas de energía '!F33*$E$89</f>
        <v>2.2406900605344502</v>
      </c>
      <c r="H33" s="406">
        <f>'Copia de Demandas de energía '!G33*$E$89</f>
        <v>2.3810967562588741</v>
      </c>
      <c r="I33" s="647">
        <v>2.6552614590058101</v>
      </c>
      <c r="J33" s="647">
        <v>2.4874999999999998</v>
      </c>
      <c r="K33" s="647">
        <v>2.5525000000000002</v>
      </c>
      <c r="L33" s="647">
        <v>2.6124999999999998</v>
      </c>
      <c r="M33" s="647">
        <v>2.6725000000000003</v>
      </c>
      <c r="N33" s="647">
        <v>2.7424999999999997</v>
      </c>
      <c r="O33" s="647">
        <v>2.81</v>
      </c>
      <c r="P33" s="647">
        <v>2.87</v>
      </c>
      <c r="Q33" s="647">
        <v>2.9375</v>
      </c>
      <c r="R33" s="647">
        <v>3.0150000000000001</v>
      </c>
      <c r="S33" s="647">
        <v>3.0925000000000002</v>
      </c>
      <c r="T33" s="647">
        <v>3.17</v>
      </c>
      <c r="U33" s="647">
        <v>3.2450000000000001</v>
      </c>
      <c r="V33" s="647">
        <v>3.3174999999999999</v>
      </c>
      <c r="W33" s="647">
        <v>3.3925000000000001</v>
      </c>
      <c r="X33" s="647">
        <v>3.4675000000000002</v>
      </c>
      <c r="Y33" s="647">
        <v>3.5449999999999999</v>
      </c>
      <c r="Z33" s="647">
        <v>3.625</v>
      </c>
      <c r="AA33" s="647">
        <v>3.7</v>
      </c>
      <c r="AB33" s="647">
        <v>3.7725</v>
      </c>
      <c r="AC33" s="647">
        <v>3.8424999999999998</v>
      </c>
      <c r="AD33" s="647">
        <v>3.9075000000000002</v>
      </c>
      <c r="AE33" s="647">
        <v>3.9725000000000001</v>
      </c>
      <c r="AF33" s="647">
        <v>4.04</v>
      </c>
      <c r="AG33" s="647">
        <v>4.1099999999999994</v>
      </c>
      <c r="AH33" s="647">
        <v>4.1749999999999998</v>
      </c>
      <c r="AI33" s="647">
        <v>4.2350000000000003</v>
      </c>
      <c r="AJ33" s="647">
        <v>4.2949999999999999</v>
      </c>
      <c r="AK33" s="647">
        <v>4.3574999999999999</v>
      </c>
      <c r="AL33" s="647">
        <v>4.4249999999999998</v>
      </c>
      <c r="AM33" s="647">
        <v>4.49</v>
      </c>
      <c r="AN33" s="647">
        <v>4.5525000000000002</v>
      </c>
      <c r="AO33" s="647">
        <v>4.6174999999999997</v>
      </c>
      <c r="AP33" s="647">
        <v>4.6825000000000001</v>
      </c>
      <c r="AQ33" s="647">
        <v>4.7474999999999996</v>
      </c>
      <c r="AR33" s="647">
        <v>4.8100000000000005</v>
      </c>
      <c r="AS33" s="647">
        <v>4.8699999999999992</v>
      </c>
      <c r="AT33" s="647">
        <v>4.93</v>
      </c>
      <c r="AU33" s="647">
        <v>4.99</v>
      </c>
      <c r="AV33" s="647">
        <v>5.0500000000000007</v>
      </c>
      <c r="AW33" s="647">
        <v>5.1099999999999994</v>
      </c>
      <c r="AX33" s="647">
        <v>5.17</v>
      </c>
      <c r="AY33" s="647">
        <v>5.23</v>
      </c>
      <c r="AZ33" s="647">
        <v>5.2874999999999996</v>
      </c>
      <c r="BA33" s="647">
        <v>5.3425000000000002</v>
      </c>
      <c r="BB33" s="647">
        <v>5.3975</v>
      </c>
      <c r="BC33" s="647">
        <v>5.45</v>
      </c>
      <c r="BD33" s="647">
        <v>5.5024999999999995</v>
      </c>
      <c r="BE33" s="647">
        <v>5.56</v>
      </c>
    </row>
    <row r="34" spans="1:57" ht="14.25" customHeight="1" x14ac:dyDescent="0.45">
      <c r="A34" s="618">
        <v>2</v>
      </c>
      <c r="B34" s="400"/>
      <c r="C34" s="64" t="s">
        <v>500</v>
      </c>
      <c r="D34" s="405" t="s">
        <v>484</v>
      </c>
      <c r="E34" s="406">
        <f>'Copia de Demandas de energía '!D34*$E$89</f>
        <v>3.9680445141083061</v>
      </c>
      <c r="F34" s="406">
        <f>'Copia de Demandas de energía '!E34*$E$89</f>
        <v>4.1453383632536083</v>
      </c>
      <c r="G34" s="406">
        <f>'Copia de Demandas de energía '!F34*$E$89</f>
        <v>3.6902606348657843</v>
      </c>
      <c r="H34" s="406">
        <f>'Copia de Demandas de energía '!G34*$E$89</f>
        <v>4.1259797721260085</v>
      </c>
      <c r="I34" s="647">
        <v>4.250161394448031</v>
      </c>
      <c r="J34" s="144">
        <v>4.37</v>
      </c>
      <c r="K34" s="144">
        <v>4.55</v>
      </c>
      <c r="L34" s="144">
        <v>4.63</v>
      </c>
      <c r="M34" s="144">
        <v>4.7699999999999996</v>
      </c>
      <c r="N34" s="144">
        <v>4.88</v>
      </c>
      <c r="O34" s="144">
        <v>5.05</v>
      </c>
      <c r="P34" s="144">
        <v>5.1100000000000003</v>
      </c>
      <c r="Q34" s="144">
        <v>5.27</v>
      </c>
      <c r="R34" s="144">
        <v>5.39</v>
      </c>
      <c r="S34" s="144">
        <v>5.56</v>
      </c>
      <c r="T34" s="144">
        <v>5.68</v>
      </c>
      <c r="U34" s="144">
        <v>5.84</v>
      </c>
      <c r="V34" s="144">
        <v>5.94</v>
      </c>
      <c r="W34" s="144">
        <v>6.12</v>
      </c>
      <c r="X34" s="144">
        <v>6.22</v>
      </c>
      <c r="Y34" s="144">
        <v>6.39</v>
      </c>
      <c r="Z34" s="144">
        <v>6.52</v>
      </c>
      <c r="AA34" s="144">
        <v>6.69</v>
      </c>
      <c r="AB34" s="144">
        <v>6.81</v>
      </c>
      <c r="AC34" s="144">
        <v>6.97</v>
      </c>
      <c r="AD34" s="144">
        <v>7.07</v>
      </c>
      <c r="AE34" s="144">
        <v>7.24</v>
      </c>
      <c r="AF34" s="144">
        <v>7.35</v>
      </c>
      <c r="AG34" s="144">
        <v>7.52</v>
      </c>
      <c r="AH34" s="144">
        <v>7.64</v>
      </c>
      <c r="AI34" s="144">
        <v>7.78</v>
      </c>
      <c r="AJ34" s="144">
        <v>7.9</v>
      </c>
      <c r="AK34" s="144">
        <v>8.0500000000000007</v>
      </c>
      <c r="AL34" s="144">
        <v>8.2100000000000009</v>
      </c>
      <c r="AM34" s="144">
        <v>8.36</v>
      </c>
      <c r="AN34" s="144">
        <v>8.52</v>
      </c>
      <c r="AO34" s="144">
        <v>8.67</v>
      </c>
      <c r="AP34" s="144">
        <v>8.84</v>
      </c>
      <c r="AQ34" s="144">
        <v>9</v>
      </c>
      <c r="AR34" s="144">
        <v>9.17</v>
      </c>
      <c r="AS34" s="144">
        <v>9.33</v>
      </c>
      <c r="AT34" s="144">
        <v>9.5</v>
      </c>
      <c r="AU34" s="144">
        <v>9.68</v>
      </c>
      <c r="AV34" s="144">
        <v>9.86</v>
      </c>
      <c r="AW34" s="144">
        <v>10.039999999999999</v>
      </c>
      <c r="AX34" s="144">
        <v>10.23</v>
      </c>
      <c r="AY34" s="144">
        <v>10.42</v>
      </c>
      <c r="AZ34" s="144">
        <v>10.61</v>
      </c>
      <c r="BA34" s="144">
        <v>10.81</v>
      </c>
      <c r="BB34" s="144">
        <v>11.01</v>
      </c>
      <c r="BC34" s="144">
        <v>11.21</v>
      </c>
      <c r="BD34" s="144">
        <v>11.42</v>
      </c>
      <c r="BE34" s="144">
        <v>11.63</v>
      </c>
    </row>
    <row r="35" spans="1:57" ht="14.25" customHeight="1" x14ac:dyDescent="0.45">
      <c r="A35" s="618"/>
      <c r="B35" s="400"/>
      <c r="C35" s="64" t="s">
        <v>501</v>
      </c>
      <c r="D35" s="405" t="s">
        <v>486</v>
      </c>
      <c r="E35" s="406">
        <f>'Copia de Demandas de energía '!D35*$E$89</f>
        <v>5.7711699514977761</v>
      </c>
      <c r="F35" s="406">
        <f>'Copia de Demandas de energía '!E35*$E$89</f>
        <v>7.8918634455827643</v>
      </c>
      <c r="G35" s="406">
        <f>'Copia de Demandas de energía '!F35*$E$89</f>
        <v>8.4675547275755445</v>
      </c>
      <c r="H35" s="406">
        <f>'Copia de Demandas de energía '!G35*$E$89</f>
        <v>8.6230478354968447</v>
      </c>
      <c r="I35" s="647">
        <v>9.8256294383473204</v>
      </c>
      <c r="J35" s="647">
        <v>9.42</v>
      </c>
      <c r="K35" s="647">
        <v>9.7375000000000007</v>
      </c>
      <c r="L35" s="647">
        <v>10.032499999999999</v>
      </c>
      <c r="M35" s="647">
        <v>10.342500000000001</v>
      </c>
      <c r="N35" s="647">
        <v>10.6775</v>
      </c>
      <c r="O35" s="647">
        <v>11.010000000000002</v>
      </c>
      <c r="P35" s="647">
        <v>11.3</v>
      </c>
      <c r="Q35" s="647">
        <v>11.61</v>
      </c>
      <c r="R35" s="647">
        <v>11.945</v>
      </c>
      <c r="S35" s="647">
        <v>12.280000000000001</v>
      </c>
      <c r="T35" s="647">
        <v>12.6075</v>
      </c>
      <c r="U35" s="647">
        <v>12.922499999999999</v>
      </c>
      <c r="V35" s="647">
        <v>13.237500000000001</v>
      </c>
      <c r="W35" s="647">
        <v>13.5625</v>
      </c>
      <c r="X35" s="647">
        <v>13.885000000000002</v>
      </c>
      <c r="Y35" s="647">
        <v>14.215</v>
      </c>
      <c r="Z35" s="647">
        <v>14.5625</v>
      </c>
      <c r="AA35" s="647">
        <v>14.905000000000001</v>
      </c>
      <c r="AB35" s="647">
        <v>15.245000000000001</v>
      </c>
      <c r="AC35" s="647">
        <v>15.57</v>
      </c>
      <c r="AD35" s="647">
        <v>15.88</v>
      </c>
      <c r="AE35" s="647">
        <v>16.197499999999998</v>
      </c>
      <c r="AF35" s="647">
        <v>16.529999999999998</v>
      </c>
      <c r="AG35" s="647">
        <v>16.872499999999999</v>
      </c>
      <c r="AH35" s="647">
        <v>17.202500000000001</v>
      </c>
      <c r="AI35" s="647">
        <v>17.515000000000001</v>
      </c>
      <c r="AJ35" s="647">
        <v>17.8325</v>
      </c>
      <c r="AK35" s="647">
        <v>18.21</v>
      </c>
      <c r="AL35" s="647">
        <v>18.619999999999997</v>
      </c>
      <c r="AM35" s="647">
        <v>19</v>
      </c>
      <c r="AN35" s="647">
        <v>19.384999999999998</v>
      </c>
      <c r="AO35" s="647">
        <v>19.7775</v>
      </c>
      <c r="AP35" s="647">
        <v>20.177499999999998</v>
      </c>
      <c r="AQ35" s="647">
        <v>20.587499999999999</v>
      </c>
      <c r="AR35" s="647">
        <v>21.005000000000003</v>
      </c>
      <c r="AS35" s="647">
        <v>21.427500000000002</v>
      </c>
      <c r="AT35" s="647">
        <v>21.857500000000002</v>
      </c>
      <c r="AU35" s="647">
        <v>22.3</v>
      </c>
      <c r="AV35" s="647">
        <v>22.7575</v>
      </c>
      <c r="AW35" s="647">
        <v>23.2225</v>
      </c>
      <c r="AX35" s="647">
        <v>23.692500000000003</v>
      </c>
      <c r="AY35" s="647">
        <v>24.172499999999999</v>
      </c>
      <c r="AZ35" s="647">
        <v>24.662500000000001</v>
      </c>
      <c r="BA35" s="647">
        <v>25.162500000000001</v>
      </c>
      <c r="BB35" s="647">
        <v>25.675000000000001</v>
      </c>
      <c r="BC35" s="647">
        <v>26.200000000000003</v>
      </c>
      <c r="BD35" s="647">
        <v>26.732500000000002</v>
      </c>
      <c r="BE35" s="647">
        <v>27.27</v>
      </c>
    </row>
    <row r="36" spans="1:57" ht="14.25" customHeight="1" x14ac:dyDescent="0.45">
      <c r="A36" s="618">
        <v>2</v>
      </c>
      <c r="B36" s="400"/>
      <c r="C36" s="64" t="s">
        <v>502</v>
      </c>
      <c r="D36" s="405" t="s">
        <v>488</v>
      </c>
      <c r="E36" s="406">
        <f>'Copia de Demandas de energía '!D36*$E$89</f>
        <v>1.0525426407975187</v>
      </c>
      <c r="F36" s="406">
        <f>'Copia de Demandas de energía '!E36*$E$89</f>
        <v>1.138470114511545</v>
      </c>
      <c r="G36" s="406">
        <f>'Copia de Demandas de energía '!F36*$E$89</f>
        <v>0.93313629908978357</v>
      </c>
      <c r="H36" s="406">
        <f>'Copia de Demandas de energía '!G36*$E$89</f>
        <v>1.0966180601025668</v>
      </c>
      <c r="I36" s="647">
        <v>1.0278244028405423</v>
      </c>
      <c r="J36" s="144">
        <v>1.17</v>
      </c>
      <c r="K36" s="144">
        <v>1.2</v>
      </c>
      <c r="L36" s="144">
        <v>1.23</v>
      </c>
      <c r="M36" s="144">
        <v>1.26</v>
      </c>
      <c r="N36" s="144">
        <v>1.29</v>
      </c>
      <c r="O36" s="144">
        <v>1.32</v>
      </c>
      <c r="P36" s="144">
        <v>1.33</v>
      </c>
      <c r="Q36" s="144">
        <v>1.35</v>
      </c>
      <c r="R36" s="144">
        <v>1.38</v>
      </c>
      <c r="S36" s="144">
        <v>1.4</v>
      </c>
      <c r="T36" s="144">
        <v>1.42</v>
      </c>
      <c r="U36" s="144">
        <v>1.44</v>
      </c>
      <c r="V36" s="144">
        <v>1.46</v>
      </c>
      <c r="W36" s="144">
        <v>1.48</v>
      </c>
      <c r="X36" s="144">
        <v>1.5</v>
      </c>
      <c r="Y36" s="144">
        <v>1.52</v>
      </c>
      <c r="Z36" s="144">
        <v>1.55</v>
      </c>
      <c r="AA36" s="144">
        <v>1.58</v>
      </c>
      <c r="AB36" s="144">
        <v>1.61</v>
      </c>
      <c r="AC36" s="144">
        <v>1.64</v>
      </c>
      <c r="AD36" s="144">
        <v>1.67</v>
      </c>
      <c r="AE36" s="144">
        <v>1.7</v>
      </c>
      <c r="AF36" s="144">
        <v>1.74</v>
      </c>
      <c r="AG36" s="144">
        <v>1.78</v>
      </c>
      <c r="AH36" s="144">
        <v>1.82</v>
      </c>
      <c r="AI36" s="144">
        <v>1.86</v>
      </c>
      <c r="AJ36" s="144">
        <v>1.9</v>
      </c>
      <c r="AK36" s="144">
        <v>1.94</v>
      </c>
      <c r="AL36" s="144">
        <v>1.98</v>
      </c>
      <c r="AM36" s="144">
        <v>2.0099999999999998</v>
      </c>
      <c r="AN36" s="144">
        <v>2.0499999999999998</v>
      </c>
      <c r="AO36" s="144">
        <v>2.09</v>
      </c>
      <c r="AP36" s="144">
        <v>2.14</v>
      </c>
      <c r="AQ36" s="144">
        <v>2.1800000000000002</v>
      </c>
      <c r="AR36" s="144">
        <v>2.23</v>
      </c>
      <c r="AS36" s="144">
        <v>2.27</v>
      </c>
      <c r="AT36" s="144">
        <v>2.3199999999999998</v>
      </c>
      <c r="AU36" s="144">
        <v>2.37</v>
      </c>
      <c r="AV36" s="144">
        <v>2.42</v>
      </c>
      <c r="AW36" s="144">
        <v>2.4700000000000002</v>
      </c>
      <c r="AX36" s="144">
        <v>2.52</v>
      </c>
      <c r="AY36" s="144">
        <v>2.57</v>
      </c>
      <c r="AZ36" s="144">
        <v>2.62</v>
      </c>
      <c r="BA36" s="144">
        <v>2.67</v>
      </c>
      <c r="BB36" s="144">
        <v>2.73</v>
      </c>
      <c r="BC36" s="144">
        <v>2.78</v>
      </c>
      <c r="BD36" s="144">
        <v>2.84</v>
      </c>
      <c r="BE36" s="144">
        <v>2.9</v>
      </c>
    </row>
    <row r="37" spans="1:57" ht="14.25" customHeight="1" x14ac:dyDescent="0.45">
      <c r="A37" s="618"/>
      <c r="B37" s="400"/>
      <c r="C37" s="401"/>
      <c r="D37" s="405" t="s">
        <v>503</v>
      </c>
      <c r="E37" s="406"/>
      <c r="F37" s="406"/>
      <c r="G37" s="406"/>
      <c r="H37" s="406"/>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row>
    <row r="38" spans="1:57" ht="14.25" customHeight="1" x14ac:dyDescent="0.45">
      <c r="A38" s="618"/>
      <c r="B38" s="400"/>
      <c r="C38" s="401"/>
      <c r="D38" s="405" t="s">
        <v>396</v>
      </c>
      <c r="E38" s="406" t="s">
        <v>221</v>
      </c>
      <c r="F38" s="406" t="s">
        <v>221</v>
      </c>
      <c r="G38" s="406" t="s">
        <v>221</v>
      </c>
      <c r="H38" s="406" t="s">
        <v>221</v>
      </c>
      <c r="I38" s="412" t="s">
        <v>221</v>
      </c>
      <c r="J38" s="412" t="s">
        <v>221</v>
      </c>
      <c r="K38" s="412" t="s">
        <v>221</v>
      </c>
      <c r="L38" s="412" t="s">
        <v>221</v>
      </c>
      <c r="M38" s="412" t="s">
        <v>221</v>
      </c>
      <c r="N38" s="412" t="s">
        <v>221</v>
      </c>
      <c r="O38" s="412" t="s">
        <v>221</v>
      </c>
      <c r="P38" s="412" t="s">
        <v>221</v>
      </c>
      <c r="Q38" s="412" t="s">
        <v>221</v>
      </c>
      <c r="R38" s="412" t="s">
        <v>221</v>
      </c>
      <c r="S38" s="412" t="s">
        <v>221</v>
      </c>
      <c r="T38" s="412" t="s">
        <v>221</v>
      </c>
      <c r="U38" s="412" t="s">
        <v>221</v>
      </c>
      <c r="V38" s="412" t="s">
        <v>221</v>
      </c>
      <c r="W38" s="412" t="s">
        <v>221</v>
      </c>
      <c r="X38" s="412" t="s">
        <v>221</v>
      </c>
      <c r="Y38" s="412" t="s">
        <v>221</v>
      </c>
      <c r="Z38" s="412" t="s">
        <v>221</v>
      </c>
      <c r="AA38" s="412" t="s">
        <v>221</v>
      </c>
      <c r="AB38" s="412" t="s">
        <v>221</v>
      </c>
      <c r="AC38" s="412" t="s">
        <v>221</v>
      </c>
      <c r="AD38" s="412" t="s">
        <v>221</v>
      </c>
      <c r="AE38" s="412" t="s">
        <v>221</v>
      </c>
      <c r="AF38" s="412" t="s">
        <v>221</v>
      </c>
      <c r="AG38" s="412" t="s">
        <v>221</v>
      </c>
      <c r="AH38" s="412" t="s">
        <v>221</v>
      </c>
      <c r="AI38" s="412" t="s">
        <v>221</v>
      </c>
      <c r="AJ38" s="412" t="s">
        <v>221</v>
      </c>
      <c r="AK38" s="412" t="s">
        <v>221</v>
      </c>
      <c r="AL38" s="250" t="s">
        <v>221</v>
      </c>
      <c r="AM38" s="250" t="s">
        <v>221</v>
      </c>
      <c r="AN38" s="250" t="s">
        <v>221</v>
      </c>
      <c r="AO38" s="250" t="s">
        <v>221</v>
      </c>
      <c r="AP38" s="250" t="s">
        <v>221</v>
      </c>
      <c r="AQ38" s="250" t="s">
        <v>221</v>
      </c>
      <c r="AR38" s="250" t="s">
        <v>221</v>
      </c>
      <c r="AS38" s="250" t="s">
        <v>221</v>
      </c>
      <c r="AT38" s="250" t="s">
        <v>221</v>
      </c>
      <c r="AU38" s="250" t="s">
        <v>221</v>
      </c>
      <c r="AV38" s="250" t="s">
        <v>221</v>
      </c>
      <c r="AW38" s="250" t="s">
        <v>221</v>
      </c>
      <c r="AX38" s="250" t="s">
        <v>221</v>
      </c>
      <c r="AY38" s="250" t="s">
        <v>221</v>
      </c>
      <c r="AZ38" s="250" t="s">
        <v>221</v>
      </c>
      <c r="BA38" s="250" t="s">
        <v>221</v>
      </c>
      <c r="BB38" s="250" t="s">
        <v>221</v>
      </c>
      <c r="BC38" s="250" t="s">
        <v>221</v>
      </c>
      <c r="BD38" s="250" t="s">
        <v>221</v>
      </c>
      <c r="BE38" s="250" t="s">
        <v>221</v>
      </c>
    </row>
    <row r="39" spans="1:57" ht="14.25" customHeight="1" x14ac:dyDescent="0.45">
      <c r="A39" s="618">
        <v>2</v>
      </c>
      <c r="B39" s="400"/>
      <c r="C39" s="401"/>
      <c r="D39" s="405" t="s">
        <v>397</v>
      </c>
      <c r="E39" s="406">
        <f>'Copia de Demandas de energía '!D39*$E$89</f>
        <v>0.25392066696559878</v>
      </c>
      <c r="F39" s="406">
        <f>'Copia de Demandas de energía '!E39*$E$89</f>
        <v>0.28806321262664891</v>
      </c>
      <c r="G39" s="406">
        <f>'Copia de Demandas de energía '!F39*$E$89</f>
        <v>0.31471530184165231</v>
      </c>
      <c r="H39" s="406">
        <f>'Copia de Demandas de energía '!G39*$E$89</f>
        <v>0.55202922040748859</v>
      </c>
      <c r="I39" s="412">
        <v>0.56000000000000005</v>
      </c>
      <c r="J39" s="412">
        <v>0.56999999999999995</v>
      </c>
      <c r="K39" s="412">
        <v>0.56999999999999995</v>
      </c>
      <c r="L39" s="412">
        <v>0.57999999999999996</v>
      </c>
      <c r="M39" s="412">
        <v>0.59</v>
      </c>
      <c r="N39" s="412">
        <v>0.6</v>
      </c>
      <c r="O39" s="412">
        <v>0.6</v>
      </c>
      <c r="P39" s="412">
        <v>0.61</v>
      </c>
      <c r="Q39" s="412">
        <v>0.62</v>
      </c>
      <c r="R39" s="412">
        <v>0.62</v>
      </c>
      <c r="S39" s="412">
        <v>0.63</v>
      </c>
      <c r="T39" s="412">
        <v>0.64</v>
      </c>
      <c r="U39" s="412">
        <v>0.64</v>
      </c>
      <c r="V39" s="412">
        <v>0.65</v>
      </c>
      <c r="W39" s="412">
        <v>0.65</v>
      </c>
      <c r="X39" s="412">
        <v>0.66</v>
      </c>
      <c r="Y39" s="412">
        <v>0.67</v>
      </c>
      <c r="Z39" s="412">
        <v>0.67</v>
      </c>
      <c r="AA39" s="412">
        <v>0.68</v>
      </c>
      <c r="AB39" s="412">
        <v>0.68</v>
      </c>
      <c r="AC39" s="412">
        <v>0.69</v>
      </c>
      <c r="AD39" s="412">
        <v>0.69</v>
      </c>
      <c r="AE39" s="412">
        <v>0.7</v>
      </c>
      <c r="AF39" s="412">
        <v>0.7</v>
      </c>
      <c r="AG39" s="412">
        <v>0.71</v>
      </c>
      <c r="AH39" s="412">
        <v>0.71</v>
      </c>
      <c r="AI39" s="412">
        <v>0.72</v>
      </c>
      <c r="AJ39" s="412">
        <v>0.72</v>
      </c>
      <c r="AK39" s="412">
        <v>0.73</v>
      </c>
      <c r="AL39" s="250">
        <v>0.73</v>
      </c>
      <c r="AM39" s="250">
        <v>0.74</v>
      </c>
      <c r="AN39" s="250">
        <v>0.74</v>
      </c>
      <c r="AO39" s="250">
        <v>0.74</v>
      </c>
      <c r="AP39" s="250">
        <v>0.75</v>
      </c>
      <c r="AQ39" s="250">
        <v>0.75</v>
      </c>
      <c r="AR39" s="250">
        <v>0.75</v>
      </c>
      <c r="AS39" s="250">
        <v>0.76</v>
      </c>
      <c r="AT39" s="250">
        <v>0.76</v>
      </c>
      <c r="AU39" s="250">
        <v>0.76</v>
      </c>
      <c r="AV39" s="250">
        <v>0.76</v>
      </c>
      <c r="AW39" s="250">
        <v>0.77</v>
      </c>
      <c r="AX39" s="250">
        <v>0.77</v>
      </c>
      <c r="AY39" s="250">
        <v>0.77</v>
      </c>
      <c r="AZ39" s="250">
        <v>0.77</v>
      </c>
      <c r="BA39" s="250">
        <v>0.77</v>
      </c>
      <c r="BB39" s="250">
        <v>0.77</v>
      </c>
      <c r="BC39" s="250">
        <v>0.78</v>
      </c>
      <c r="BD39" s="250">
        <v>0.78</v>
      </c>
      <c r="BE39" s="250">
        <v>0.78</v>
      </c>
    </row>
    <row r="40" spans="1:57" ht="14.25" customHeight="1" x14ac:dyDescent="0.45">
      <c r="A40" s="618"/>
      <c r="B40" s="400"/>
      <c r="C40" s="401"/>
      <c r="D40" s="405" t="s">
        <v>398</v>
      </c>
      <c r="E40" s="406" t="s">
        <v>221</v>
      </c>
      <c r="F40" s="406" t="s">
        <v>221</v>
      </c>
      <c r="G40" s="406" t="s">
        <v>221</v>
      </c>
      <c r="H40" s="406" t="s">
        <v>221</v>
      </c>
      <c r="I40" s="144"/>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row>
    <row r="41" spans="1:57" ht="14.25" customHeight="1" x14ac:dyDescent="0.45">
      <c r="A41" s="618"/>
      <c r="B41" s="400"/>
      <c r="C41" s="401"/>
      <c r="D41" s="405" t="s">
        <v>399</v>
      </c>
      <c r="E41" s="406" t="s">
        <v>221</v>
      </c>
      <c r="F41" s="406" t="s">
        <v>221</v>
      </c>
      <c r="G41" s="406" t="s">
        <v>221</v>
      </c>
      <c r="H41" s="406" t="s">
        <v>221</v>
      </c>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row>
    <row r="42" spans="1:57" ht="14.25" customHeight="1" x14ac:dyDescent="0.45">
      <c r="A42" s="618"/>
      <c r="B42" s="400"/>
      <c r="C42" s="401"/>
      <c r="D42" s="404" t="s">
        <v>25</v>
      </c>
      <c r="E42" s="406">
        <f t="shared" ref="E42:AJ42" si="4">SUM(E32:E41)</f>
        <v>50.624973073853582</v>
      </c>
      <c r="F42" s="406">
        <f t="shared" si="4"/>
        <v>54.22909674029362</v>
      </c>
      <c r="G42" s="406">
        <f t="shared" si="4"/>
        <v>54.782571554923088</v>
      </c>
      <c r="H42" s="406">
        <f t="shared" si="4"/>
        <v>56.696428044141477</v>
      </c>
      <c r="I42" s="144">
        <f t="shared" si="4"/>
        <v>59.62184635248547</v>
      </c>
      <c r="J42" s="144">
        <f t="shared" si="4"/>
        <v>59.0075</v>
      </c>
      <c r="K42" s="144">
        <f t="shared" si="4"/>
        <v>60.12</v>
      </c>
      <c r="L42" s="144">
        <f t="shared" si="4"/>
        <v>61.124999999999993</v>
      </c>
      <c r="M42" s="144">
        <f t="shared" si="4"/>
        <v>62.184999999999995</v>
      </c>
      <c r="N42" s="144">
        <f t="shared" si="4"/>
        <v>63.250000000000007</v>
      </c>
      <c r="O42" s="144">
        <f t="shared" si="4"/>
        <v>64.36</v>
      </c>
      <c r="P42" s="144">
        <f t="shared" si="4"/>
        <v>65.289999999999992</v>
      </c>
      <c r="Q42" s="144">
        <f t="shared" si="4"/>
        <v>66.347499999999997</v>
      </c>
      <c r="R42" s="144">
        <f t="shared" si="4"/>
        <v>67.39</v>
      </c>
      <c r="S42" s="144">
        <f t="shared" si="4"/>
        <v>68.482500000000016</v>
      </c>
      <c r="T42" s="144">
        <f t="shared" si="4"/>
        <v>69.507500000000007</v>
      </c>
      <c r="U42" s="144">
        <f t="shared" si="4"/>
        <v>70.537499999999994</v>
      </c>
      <c r="V42" s="144">
        <f t="shared" si="4"/>
        <v>71.504999999999995</v>
      </c>
      <c r="W42" s="144">
        <f t="shared" si="4"/>
        <v>72.555000000000007</v>
      </c>
      <c r="X42" s="144">
        <f t="shared" si="4"/>
        <v>73.512500000000003</v>
      </c>
      <c r="Y42" s="144">
        <f t="shared" si="4"/>
        <v>74.55</v>
      </c>
      <c r="Z42" s="144">
        <f t="shared" si="4"/>
        <v>75.557500000000005</v>
      </c>
      <c r="AA42" s="144">
        <f t="shared" si="4"/>
        <v>76.595000000000013</v>
      </c>
      <c r="AB42" s="144">
        <f t="shared" si="4"/>
        <v>77.557500000000005</v>
      </c>
      <c r="AC42" s="144">
        <f t="shared" si="4"/>
        <v>78.532499999999999</v>
      </c>
      <c r="AD42" s="144">
        <f t="shared" si="4"/>
        <v>79.417500000000004</v>
      </c>
      <c r="AE42" s="144">
        <f t="shared" si="4"/>
        <v>80.38000000000001</v>
      </c>
      <c r="AF42" s="144">
        <f t="shared" si="4"/>
        <v>81.289999999999992</v>
      </c>
      <c r="AG42" s="144">
        <f t="shared" si="4"/>
        <v>82.272499999999994</v>
      </c>
      <c r="AH42" s="144">
        <f t="shared" si="4"/>
        <v>83.167499999999976</v>
      </c>
      <c r="AI42" s="144">
        <f t="shared" si="4"/>
        <v>84.06</v>
      </c>
      <c r="AJ42" s="144">
        <f t="shared" si="4"/>
        <v>84.907499999999999</v>
      </c>
      <c r="AK42" s="144">
        <f t="shared" ref="AK42:BE42" si="5">SUM(AK32:AK41)</f>
        <v>85.857500000000002</v>
      </c>
      <c r="AL42" s="144">
        <f t="shared" si="5"/>
        <v>86.835000000000008</v>
      </c>
      <c r="AM42" s="144">
        <f t="shared" si="5"/>
        <v>87.75</v>
      </c>
      <c r="AN42" s="144">
        <f t="shared" si="5"/>
        <v>88.677499999999981</v>
      </c>
      <c r="AO42" s="144">
        <f t="shared" si="5"/>
        <v>89.584999999999994</v>
      </c>
      <c r="AP42" s="144">
        <f t="shared" si="5"/>
        <v>90.529999999999987</v>
      </c>
      <c r="AQ42" s="144">
        <f t="shared" si="5"/>
        <v>91.445000000000022</v>
      </c>
      <c r="AR42" s="144">
        <f t="shared" si="5"/>
        <v>92.375000000000014</v>
      </c>
      <c r="AS42" s="144">
        <f t="shared" si="5"/>
        <v>93.287499999999994</v>
      </c>
      <c r="AT42" s="144">
        <f t="shared" si="5"/>
        <v>94.197499999999991</v>
      </c>
      <c r="AU42" s="144">
        <f t="shared" si="5"/>
        <v>95.13000000000001</v>
      </c>
      <c r="AV42" s="144">
        <f t="shared" si="5"/>
        <v>96.057500000000005</v>
      </c>
      <c r="AW42" s="144">
        <f t="shared" si="5"/>
        <v>96.992499999999993</v>
      </c>
      <c r="AX42" s="144">
        <f t="shared" si="5"/>
        <v>97.912499999999994</v>
      </c>
      <c r="AY42" s="144">
        <f t="shared" si="5"/>
        <v>98.842499999999987</v>
      </c>
      <c r="AZ42" s="144">
        <f t="shared" si="5"/>
        <v>99.76</v>
      </c>
      <c r="BA42" s="144">
        <f t="shared" si="5"/>
        <v>100.685</v>
      </c>
      <c r="BB42" s="144">
        <f t="shared" si="5"/>
        <v>101.6125</v>
      </c>
      <c r="BC42" s="144">
        <f t="shared" si="5"/>
        <v>102.55000000000001</v>
      </c>
      <c r="BD42" s="144">
        <f t="shared" si="5"/>
        <v>103.485</v>
      </c>
      <c r="BE42" s="144">
        <f t="shared" si="5"/>
        <v>104.41000000000001</v>
      </c>
    </row>
    <row r="43" spans="1:57" ht="14.25" customHeight="1" x14ac:dyDescent="0.45">
      <c r="A43" s="618"/>
      <c r="B43" s="400"/>
      <c r="C43" s="401"/>
      <c r="D43" s="410"/>
      <c r="E43" s="401"/>
      <c r="F43" s="401"/>
      <c r="G43" s="401"/>
      <c r="H43" s="401"/>
      <c r="I43" s="401"/>
      <c r="J43" s="401"/>
      <c r="K43" s="401"/>
      <c r="L43" s="401"/>
      <c r="M43" s="401"/>
      <c r="N43" s="401"/>
      <c r="O43" s="401"/>
      <c r="P43" s="401"/>
      <c r="Q43" s="401"/>
      <c r="R43" s="401"/>
      <c r="S43" s="401"/>
      <c r="T43" s="401"/>
      <c r="U43" s="401"/>
      <c r="V43" s="401"/>
      <c r="W43" s="401"/>
      <c r="X43" s="401"/>
      <c r="Y43" s="401"/>
      <c r="Z43" s="401"/>
      <c r="AA43" s="401"/>
      <c r="AB43" s="401"/>
      <c r="AC43" s="401"/>
      <c r="AD43" s="401"/>
      <c r="AE43" s="401"/>
      <c r="AF43" s="401"/>
      <c r="AG43" s="401"/>
      <c r="AH43" s="401"/>
      <c r="AI43" s="401"/>
      <c r="AJ43" s="401"/>
      <c r="AK43" s="401"/>
      <c r="AL43" s="401"/>
      <c r="AM43" s="401"/>
      <c r="AN43" s="401"/>
      <c r="AO43" s="401"/>
      <c r="AP43" s="401"/>
      <c r="AQ43" s="401"/>
      <c r="AR43" s="401"/>
      <c r="AS43" s="401"/>
      <c r="AT43" s="401"/>
      <c r="AU43" s="401"/>
      <c r="AV43" s="401"/>
      <c r="AW43" s="401"/>
      <c r="AX43" s="401"/>
      <c r="AY43" s="401"/>
      <c r="AZ43" s="401"/>
      <c r="BA43" s="401"/>
      <c r="BB43" s="401"/>
      <c r="BC43" s="401"/>
      <c r="BD43" s="401"/>
      <c r="BE43" s="401"/>
    </row>
    <row r="44" spans="1:57" ht="14.25" customHeight="1" x14ac:dyDescent="0.45">
      <c r="A44" s="618"/>
      <c r="B44" s="400"/>
      <c r="C44" s="401"/>
      <c r="D44" s="404" t="s">
        <v>504</v>
      </c>
      <c r="E44" s="403"/>
      <c r="F44" s="403"/>
      <c r="G44" s="403"/>
      <c r="H44" s="403"/>
      <c r="I44" s="403"/>
      <c r="J44" s="403"/>
      <c r="K44" s="403"/>
      <c r="L44" s="403"/>
      <c r="M44" s="403"/>
      <c r="N44" s="403"/>
      <c r="O44" s="403"/>
      <c r="P44" s="403"/>
      <c r="Q44" s="403"/>
      <c r="R44" s="403"/>
      <c r="S44" s="403"/>
      <c r="T44" s="403"/>
      <c r="U44" s="403"/>
      <c r="V44" s="403"/>
      <c r="W44" s="403"/>
      <c r="X44" s="403"/>
      <c r="Y44" s="403"/>
      <c r="Z44" s="403"/>
      <c r="AA44" s="403"/>
      <c r="AB44" s="403"/>
      <c r="AC44" s="403"/>
      <c r="AD44" s="403"/>
      <c r="AE44" s="403"/>
      <c r="AF44" s="403"/>
      <c r="AG44" s="403"/>
      <c r="AH44" s="403"/>
      <c r="AI44" s="403"/>
      <c r="AJ44" s="403"/>
      <c r="AK44" s="403"/>
      <c r="AL44" s="403"/>
      <c r="AM44" s="403"/>
      <c r="AN44" s="403"/>
      <c r="AO44" s="403"/>
      <c r="AP44" s="403"/>
      <c r="AQ44" s="403"/>
      <c r="AR44" s="403"/>
      <c r="AS44" s="403"/>
      <c r="AT44" s="403"/>
      <c r="AU44" s="403"/>
      <c r="AV44" s="403"/>
      <c r="AW44" s="403"/>
      <c r="AX44" s="403"/>
      <c r="AY44" s="403"/>
      <c r="AZ44" s="403"/>
      <c r="BA44" s="403"/>
      <c r="BB44" s="403"/>
      <c r="BC44" s="403"/>
      <c r="BD44" s="403"/>
      <c r="BE44" s="403"/>
    </row>
    <row r="45" spans="1:57" ht="14.25" customHeight="1" x14ac:dyDescent="0.45">
      <c r="A45" s="618"/>
      <c r="B45" s="400"/>
      <c r="C45" s="401"/>
      <c r="D45" s="405" t="s">
        <v>480</v>
      </c>
      <c r="E45" s="413" t="s">
        <v>221</v>
      </c>
      <c r="F45" s="413" t="s">
        <v>221</v>
      </c>
      <c r="G45" s="413" t="s">
        <v>221</v>
      </c>
      <c r="H45" s="413" t="s">
        <v>221</v>
      </c>
      <c r="I45" s="413" t="s">
        <v>221</v>
      </c>
      <c r="J45" s="413" t="s">
        <v>221</v>
      </c>
      <c r="K45" s="413" t="s">
        <v>221</v>
      </c>
      <c r="L45" s="413" t="s">
        <v>221</v>
      </c>
      <c r="M45" s="413" t="s">
        <v>221</v>
      </c>
      <c r="N45" s="413" t="s">
        <v>221</v>
      </c>
      <c r="O45" s="413" t="s">
        <v>221</v>
      </c>
      <c r="P45" s="413" t="s">
        <v>221</v>
      </c>
      <c r="Q45" s="413" t="s">
        <v>221</v>
      </c>
      <c r="R45" s="413" t="s">
        <v>221</v>
      </c>
      <c r="S45" s="413" t="s">
        <v>221</v>
      </c>
      <c r="T45" s="413" t="s">
        <v>221</v>
      </c>
      <c r="U45" s="413" t="s">
        <v>221</v>
      </c>
      <c r="V45" s="413" t="s">
        <v>221</v>
      </c>
      <c r="W45" s="413" t="s">
        <v>221</v>
      </c>
      <c r="X45" s="413" t="s">
        <v>221</v>
      </c>
      <c r="Y45" s="413" t="s">
        <v>221</v>
      </c>
      <c r="Z45" s="413" t="s">
        <v>221</v>
      </c>
      <c r="AA45" s="413" t="s">
        <v>221</v>
      </c>
      <c r="AB45" s="413" t="s">
        <v>221</v>
      </c>
      <c r="AC45" s="413" t="s">
        <v>221</v>
      </c>
      <c r="AD45" s="413" t="s">
        <v>221</v>
      </c>
      <c r="AE45" s="413" t="s">
        <v>221</v>
      </c>
      <c r="AF45" s="413" t="s">
        <v>221</v>
      </c>
      <c r="AG45" s="413" t="s">
        <v>221</v>
      </c>
      <c r="AH45" s="413" t="s">
        <v>221</v>
      </c>
      <c r="AI45" s="413" t="s">
        <v>221</v>
      </c>
      <c r="AJ45" s="413" t="s">
        <v>221</v>
      </c>
      <c r="AK45" s="413" t="s">
        <v>221</v>
      </c>
      <c r="AL45" s="403"/>
      <c r="AM45" s="403"/>
      <c r="AN45" s="403"/>
      <c r="AO45" s="403"/>
      <c r="AP45" s="403"/>
      <c r="AQ45" s="403"/>
      <c r="AR45" s="403"/>
      <c r="AS45" s="403"/>
      <c r="AT45" s="403"/>
      <c r="AU45" s="403"/>
      <c r="AV45" s="403"/>
      <c r="AW45" s="403"/>
      <c r="AX45" s="403"/>
      <c r="AY45" s="403"/>
      <c r="AZ45" s="403"/>
      <c r="BA45" s="403"/>
      <c r="BB45" s="403"/>
      <c r="BC45" s="403"/>
      <c r="BD45" s="403"/>
      <c r="BE45" s="403"/>
    </row>
    <row r="46" spans="1:57" ht="14.25" customHeight="1" x14ac:dyDescent="0.45">
      <c r="A46" s="618"/>
      <c r="B46" s="400"/>
      <c r="C46" s="401"/>
      <c r="D46" s="405" t="s">
        <v>482</v>
      </c>
      <c r="E46" s="413" t="s">
        <v>221</v>
      </c>
      <c r="F46" s="413" t="s">
        <v>221</v>
      </c>
      <c r="G46" s="413" t="s">
        <v>221</v>
      </c>
      <c r="H46" s="413" t="s">
        <v>221</v>
      </c>
      <c r="I46" s="413" t="s">
        <v>221</v>
      </c>
      <c r="J46" s="413" t="s">
        <v>221</v>
      </c>
      <c r="K46" s="413" t="s">
        <v>221</v>
      </c>
      <c r="L46" s="413" t="s">
        <v>221</v>
      </c>
      <c r="M46" s="413" t="s">
        <v>221</v>
      </c>
      <c r="N46" s="413" t="s">
        <v>221</v>
      </c>
      <c r="O46" s="413" t="s">
        <v>221</v>
      </c>
      <c r="P46" s="413" t="s">
        <v>221</v>
      </c>
      <c r="Q46" s="413" t="s">
        <v>221</v>
      </c>
      <c r="R46" s="413" t="s">
        <v>221</v>
      </c>
      <c r="S46" s="413" t="s">
        <v>221</v>
      </c>
      <c r="T46" s="413" t="s">
        <v>221</v>
      </c>
      <c r="U46" s="413" t="s">
        <v>221</v>
      </c>
      <c r="V46" s="413" t="s">
        <v>221</v>
      </c>
      <c r="W46" s="413" t="s">
        <v>221</v>
      </c>
      <c r="X46" s="413" t="s">
        <v>221</v>
      </c>
      <c r="Y46" s="413" t="s">
        <v>221</v>
      </c>
      <c r="Z46" s="413" t="s">
        <v>221</v>
      </c>
      <c r="AA46" s="413" t="s">
        <v>221</v>
      </c>
      <c r="AB46" s="413" t="s">
        <v>221</v>
      </c>
      <c r="AC46" s="413" t="s">
        <v>221</v>
      </c>
      <c r="AD46" s="413" t="s">
        <v>221</v>
      </c>
      <c r="AE46" s="413" t="s">
        <v>221</v>
      </c>
      <c r="AF46" s="413" t="s">
        <v>221</v>
      </c>
      <c r="AG46" s="413" t="s">
        <v>221</v>
      </c>
      <c r="AH46" s="413" t="s">
        <v>221</v>
      </c>
      <c r="AI46" s="413" t="s">
        <v>221</v>
      </c>
      <c r="AJ46" s="413" t="s">
        <v>221</v>
      </c>
      <c r="AK46" s="413" t="s">
        <v>221</v>
      </c>
      <c r="AL46" s="403"/>
      <c r="AM46" s="403"/>
      <c r="AN46" s="403"/>
      <c r="AO46" s="403"/>
      <c r="AP46" s="403"/>
      <c r="AQ46" s="403"/>
      <c r="AR46" s="403"/>
      <c r="AS46" s="403"/>
      <c r="AT46" s="403"/>
      <c r="AU46" s="403"/>
      <c r="AV46" s="403"/>
      <c r="AW46" s="403"/>
      <c r="AX46" s="403"/>
      <c r="AY46" s="403"/>
      <c r="AZ46" s="403"/>
      <c r="BA46" s="403"/>
      <c r="BB46" s="403"/>
      <c r="BC46" s="403"/>
      <c r="BD46" s="403"/>
      <c r="BE46" s="403"/>
    </row>
    <row r="47" spans="1:57" ht="14.25" customHeight="1" x14ac:dyDescent="0.45">
      <c r="A47" s="618">
        <v>2</v>
      </c>
      <c r="B47" s="400"/>
      <c r="C47" s="401"/>
      <c r="D47" s="408" t="s">
        <v>484</v>
      </c>
      <c r="E47" s="413" t="s">
        <v>221</v>
      </c>
      <c r="F47" s="413" t="s">
        <v>221</v>
      </c>
      <c r="G47" s="413" t="s">
        <v>221</v>
      </c>
      <c r="H47" s="413" t="s">
        <v>221</v>
      </c>
      <c r="I47" s="413" t="s">
        <v>221</v>
      </c>
      <c r="J47" s="413" t="s">
        <v>221</v>
      </c>
      <c r="K47" s="413" t="s">
        <v>221</v>
      </c>
      <c r="L47" s="413" t="s">
        <v>221</v>
      </c>
      <c r="M47" s="413" t="s">
        <v>221</v>
      </c>
      <c r="N47" s="413" t="s">
        <v>221</v>
      </c>
      <c r="O47" s="413" t="s">
        <v>221</v>
      </c>
      <c r="P47" s="413" t="s">
        <v>221</v>
      </c>
      <c r="Q47" s="413" t="s">
        <v>221</v>
      </c>
      <c r="R47" s="413" t="s">
        <v>221</v>
      </c>
      <c r="S47" s="413" t="s">
        <v>221</v>
      </c>
      <c r="T47" s="413" t="s">
        <v>221</v>
      </c>
      <c r="U47" s="413" t="s">
        <v>221</v>
      </c>
      <c r="V47" s="413" t="s">
        <v>221</v>
      </c>
      <c r="W47" s="413" t="s">
        <v>221</v>
      </c>
      <c r="X47" s="413" t="s">
        <v>221</v>
      </c>
      <c r="Y47" s="413" t="s">
        <v>221</v>
      </c>
      <c r="Z47" s="413" t="s">
        <v>221</v>
      </c>
      <c r="AA47" s="413" t="s">
        <v>221</v>
      </c>
      <c r="AB47" s="413" t="s">
        <v>221</v>
      </c>
      <c r="AC47" s="413" t="s">
        <v>221</v>
      </c>
      <c r="AD47" s="413" t="s">
        <v>221</v>
      </c>
      <c r="AE47" s="413" t="s">
        <v>221</v>
      </c>
      <c r="AF47" s="413" t="s">
        <v>221</v>
      </c>
      <c r="AG47" s="413" t="s">
        <v>221</v>
      </c>
      <c r="AH47" s="413" t="s">
        <v>221</v>
      </c>
      <c r="AI47" s="413" t="s">
        <v>221</v>
      </c>
      <c r="AJ47" s="413" t="s">
        <v>221</v>
      </c>
      <c r="AK47" s="413" t="s">
        <v>221</v>
      </c>
      <c r="AL47" s="403"/>
      <c r="AM47" s="403"/>
      <c r="AN47" s="403"/>
      <c r="AO47" s="403"/>
      <c r="AP47" s="403"/>
      <c r="AQ47" s="403"/>
      <c r="AR47" s="403"/>
      <c r="AS47" s="403"/>
      <c r="AT47" s="403"/>
      <c r="AU47" s="403"/>
      <c r="AV47" s="403"/>
      <c r="AW47" s="403"/>
      <c r="AX47" s="403"/>
      <c r="AY47" s="403"/>
      <c r="AZ47" s="403"/>
      <c r="BA47" s="403"/>
      <c r="BB47" s="403"/>
      <c r="BC47" s="403"/>
      <c r="BD47" s="403"/>
      <c r="BE47" s="403"/>
    </row>
    <row r="48" spans="1:57" ht="14.25" customHeight="1" x14ac:dyDescent="0.45">
      <c r="A48" s="618"/>
      <c r="B48" s="400"/>
      <c r="C48" s="64" t="s">
        <v>505</v>
      </c>
      <c r="D48" s="405" t="s">
        <v>486</v>
      </c>
      <c r="E48" s="406">
        <f>'Copia de Demandas de energía '!D48*$E$89</f>
        <v>1.3684500923317247</v>
      </c>
      <c r="F48" s="406">
        <f>'Copia de Demandas de energía '!E48*$E$89</f>
        <v>1.0504392799815812</v>
      </c>
      <c r="G48" s="406">
        <f>'Copia de Demandas de energía '!F48*$E$89</f>
        <v>1.5998269764069828</v>
      </c>
      <c r="H48" s="406">
        <f>'Copia de Demandas de energía '!G48*$E$89</f>
        <v>1.8325867497126211</v>
      </c>
      <c r="I48" s="144">
        <v>2.4914138153647514</v>
      </c>
      <c r="J48" s="144">
        <v>2.0024999999999999</v>
      </c>
      <c r="K48" s="144">
        <v>2.0700000000000003</v>
      </c>
      <c r="L48" s="144">
        <v>2.1325000000000003</v>
      </c>
      <c r="M48" s="144">
        <v>2.1974999999999998</v>
      </c>
      <c r="N48" s="144">
        <v>2.2675000000000001</v>
      </c>
      <c r="O48" s="144">
        <v>2.3374999999999999</v>
      </c>
      <c r="P48" s="144">
        <v>2.4</v>
      </c>
      <c r="Q48" s="144">
        <v>2.4675000000000002</v>
      </c>
      <c r="R48" s="144">
        <v>2.5375000000000001</v>
      </c>
      <c r="S48" s="144">
        <v>2.6074999999999999</v>
      </c>
      <c r="T48" s="144">
        <v>2.6775000000000002</v>
      </c>
      <c r="U48" s="144">
        <v>2.7450000000000001</v>
      </c>
      <c r="V48" s="144">
        <v>2.8125</v>
      </c>
      <c r="W48" s="144">
        <v>2.88</v>
      </c>
      <c r="X48" s="144">
        <v>2.9474999999999998</v>
      </c>
      <c r="Y48" s="144">
        <v>3.02</v>
      </c>
      <c r="Z48" s="144">
        <v>3.0949999999999998</v>
      </c>
      <c r="AA48" s="144">
        <v>3.1675</v>
      </c>
      <c r="AB48" s="144">
        <v>3.24</v>
      </c>
      <c r="AC48" s="144">
        <v>3.3075000000000001</v>
      </c>
      <c r="AD48" s="144">
        <v>3.3725000000000001</v>
      </c>
      <c r="AE48" s="144">
        <v>3.4424999999999999</v>
      </c>
      <c r="AF48" s="144">
        <v>3.5150000000000001</v>
      </c>
      <c r="AG48" s="144">
        <v>3.5875000000000004</v>
      </c>
      <c r="AH48" s="144">
        <v>3.6574999999999998</v>
      </c>
      <c r="AI48" s="144">
        <v>3.7225000000000001</v>
      </c>
      <c r="AJ48" s="144">
        <v>3.7875000000000001</v>
      </c>
      <c r="AK48" s="144">
        <v>3.8675000000000002</v>
      </c>
      <c r="AL48" s="144">
        <v>3.9575</v>
      </c>
      <c r="AM48" s="144">
        <v>4.04</v>
      </c>
      <c r="AN48" s="144">
        <v>4.12</v>
      </c>
      <c r="AO48" s="144">
        <v>4.2025000000000006</v>
      </c>
      <c r="AP48" s="144">
        <v>4.2874999999999996</v>
      </c>
      <c r="AQ48" s="144">
        <v>4.3725000000000005</v>
      </c>
      <c r="AR48" s="144">
        <v>4.46</v>
      </c>
      <c r="AS48" s="144">
        <v>4.5525000000000002</v>
      </c>
      <c r="AT48" s="144">
        <v>4.6475</v>
      </c>
      <c r="AU48" s="144">
        <v>4.7424999999999997</v>
      </c>
      <c r="AV48" s="144">
        <v>4.84</v>
      </c>
      <c r="AW48" s="144">
        <v>4.9399999999999995</v>
      </c>
      <c r="AX48" s="144">
        <v>5.04</v>
      </c>
      <c r="AY48" s="144">
        <v>5.1400000000000006</v>
      </c>
      <c r="AZ48" s="144">
        <v>5.2424999999999997</v>
      </c>
      <c r="BA48" s="144">
        <v>5.35</v>
      </c>
      <c r="BB48" s="144">
        <v>5.46</v>
      </c>
      <c r="BC48" s="144">
        <v>5.57</v>
      </c>
      <c r="BD48" s="144">
        <v>5.6825000000000001</v>
      </c>
      <c r="BE48" s="144">
        <v>5.8</v>
      </c>
    </row>
    <row r="49" spans="1:57" ht="14.25" customHeight="1" x14ac:dyDescent="0.45">
      <c r="A49" s="618"/>
      <c r="B49" s="400"/>
      <c r="C49" s="401"/>
      <c r="D49" s="405" t="s">
        <v>488</v>
      </c>
      <c r="E49" s="406" t="s">
        <v>221</v>
      </c>
      <c r="F49" s="406" t="s">
        <v>221</v>
      </c>
      <c r="G49" s="406" t="s">
        <v>221</v>
      </c>
      <c r="H49" s="406" t="s">
        <v>221</v>
      </c>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250"/>
      <c r="AM49" s="250"/>
      <c r="AN49" s="250"/>
      <c r="AO49" s="250"/>
      <c r="AP49" s="250"/>
      <c r="AQ49" s="250"/>
      <c r="AR49" s="250"/>
      <c r="AS49" s="250"/>
      <c r="AT49" s="250"/>
      <c r="AU49" s="250"/>
      <c r="AV49" s="250"/>
      <c r="AW49" s="250"/>
      <c r="AX49" s="250"/>
      <c r="AY49" s="250"/>
      <c r="AZ49" s="250"/>
      <c r="BA49" s="250"/>
      <c r="BB49" s="250"/>
      <c r="BC49" s="250"/>
      <c r="BD49" s="250"/>
      <c r="BE49" s="250"/>
    </row>
    <row r="50" spans="1:57" ht="14.25" customHeight="1" x14ac:dyDescent="0.45">
      <c r="A50" s="618">
        <v>2</v>
      </c>
      <c r="B50" s="400"/>
      <c r="C50" s="401"/>
      <c r="D50" s="408" t="s">
        <v>489</v>
      </c>
      <c r="E50" s="406"/>
      <c r="F50" s="406"/>
      <c r="G50" s="406"/>
      <c r="H50" s="406"/>
      <c r="I50" s="250"/>
      <c r="J50" s="250"/>
      <c r="K50" s="250"/>
      <c r="L50" s="250"/>
      <c r="M50" s="250"/>
      <c r="N50" s="250"/>
      <c r="O50" s="250"/>
      <c r="P50" s="250"/>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row>
    <row r="51" spans="1:57" ht="14.25" customHeight="1" x14ac:dyDescent="0.45">
      <c r="A51" s="618"/>
      <c r="B51" s="400"/>
      <c r="C51" s="401"/>
      <c r="D51" s="405" t="s">
        <v>396</v>
      </c>
      <c r="E51" s="406" t="s">
        <v>221</v>
      </c>
      <c r="F51" s="406" t="s">
        <v>221</v>
      </c>
      <c r="G51" s="406" t="s">
        <v>221</v>
      </c>
      <c r="H51" s="406" t="s">
        <v>221</v>
      </c>
      <c r="I51" s="412" t="s">
        <v>221</v>
      </c>
      <c r="J51" s="412" t="s">
        <v>221</v>
      </c>
      <c r="K51" s="412" t="s">
        <v>221</v>
      </c>
      <c r="L51" s="412" t="s">
        <v>221</v>
      </c>
      <c r="M51" s="412" t="s">
        <v>221</v>
      </c>
      <c r="N51" s="412" t="s">
        <v>221</v>
      </c>
      <c r="O51" s="412" t="s">
        <v>221</v>
      </c>
      <c r="P51" s="412" t="s">
        <v>221</v>
      </c>
      <c r="Q51" s="412" t="s">
        <v>221</v>
      </c>
      <c r="R51" s="412" t="s">
        <v>221</v>
      </c>
      <c r="S51" s="412" t="s">
        <v>221</v>
      </c>
      <c r="T51" s="412" t="s">
        <v>221</v>
      </c>
      <c r="U51" s="412" t="s">
        <v>221</v>
      </c>
      <c r="V51" s="412" t="s">
        <v>221</v>
      </c>
      <c r="W51" s="412" t="s">
        <v>221</v>
      </c>
      <c r="X51" s="412" t="s">
        <v>221</v>
      </c>
      <c r="Y51" s="412" t="s">
        <v>221</v>
      </c>
      <c r="Z51" s="412" t="s">
        <v>221</v>
      </c>
      <c r="AA51" s="412" t="s">
        <v>221</v>
      </c>
      <c r="AB51" s="412" t="s">
        <v>221</v>
      </c>
      <c r="AC51" s="412" t="s">
        <v>221</v>
      </c>
      <c r="AD51" s="412" t="s">
        <v>221</v>
      </c>
      <c r="AE51" s="412" t="s">
        <v>221</v>
      </c>
      <c r="AF51" s="412" t="s">
        <v>221</v>
      </c>
      <c r="AG51" s="412" t="s">
        <v>221</v>
      </c>
      <c r="AH51" s="412" t="s">
        <v>221</v>
      </c>
      <c r="AI51" s="412" t="s">
        <v>221</v>
      </c>
      <c r="AJ51" s="412" t="s">
        <v>221</v>
      </c>
      <c r="AK51" s="412" t="s">
        <v>221</v>
      </c>
      <c r="AL51" s="250" t="s">
        <v>221</v>
      </c>
      <c r="AM51" s="250" t="s">
        <v>221</v>
      </c>
      <c r="AN51" s="250" t="s">
        <v>221</v>
      </c>
      <c r="AO51" s="250" t="s">
        <v>221</v>
      </c>
      <c r="AP51" s="250" t="s">
        <v>221</v>
      </c>
      <c r="AQ51" s="250" t="s">
        <v>221</v>
      </c>
      <c r="AR51" s="250" t="s">
        <v>221</v>
      </c>
      <c r="AS51" s="250" t="s">
        <v>221</v>
      </c>
      <c r="AT51" s="250" t="s">
        <v>221</v>
      </c>
      <c r="AU51" s="250" t="s">
        <v>221</v>
      </c>
      <c r="AV51" s="250" t="s">
        <v>221</v>
      </c>
      <c r="AW51" s="250" t="s">
        <v>221</v>
      </c>
      <c r="AX51" s="250" t="s">
        <v>221</v>
      </c>
      <c r="AY51" s="250" t="s">
        <v>221</v>
      </c>
      <c r="AZ51" s="250" t="s">
        <v>221</v>
      </c>
      <c r="BA51" s="250" t="s">
        <v>221</v>
      </c>
      <c r="BB51" s="250" t="s">
        <v>221</v>
      </c>
      <c r="BC51" s="250" t="s">
        <v>221</v>
      </c>
      <c r="BD51" s="250" t="s">
        <v>221</v>
      </c>
      <c r="BE51" s="250" t="s">
        <v>221</v>
      </c>
    </row>
    <row r="52" spans="1:57" ht="14.25" customHeight="1" x14ac:dyDescent="0.45">
      <c r="A52" s="618"/>
      <c r="B52" s="400"/>
      <c r="C52" s="401"/>
      <c r="D52" s="405" t="s">
        <v>397</v>
      </c>
      <c r="E52" s="406" t="s">
        <v>221</v>
      </c>
      <c r="F52" s="406" t="s">
        <v>221</v>
      </c>
      <c r="G52" s="406" t="s">
        <v>221</v>
      </c>
      <c r="H52" s="406" t="s">
        <v>221</v>
      </c>
      <c r="I52" s="412" t="s">
        <v>221</v>
      </c>
      <c r="J52" s="412" t="s">
        <v>221</v>
      </c>
      <c r="K52" s="412" t="s">
        <v>221</v>
      </c>
      <c r="L52" s="412" t="s">
        <v>221</v>
      </c>
      <c r="M52" s="412" t="s">
        <v>221</v>
      </c>
      <c r="N52" s="412" t="s">
        <v>221</v>
      </c>
      <c r="O52" s="412" t="s">
        <v>221</v>
      </c>
      <c r="P52" s="412" t="s">
        <v>221</v>
      </c>
      <c r="Q52" s="412" t="s">
        <v>221</v>
      </c>
      <c r="R52" s="412" t="s">
        <v>221</v>
      </c>
      <c r="S52" s="412" t="s">
        <v>221</v>
      </c>
      <c r="T52" s="412" t="s">
        <v>221</v>
      </c>
      <c r="U52" s="412" t="s">
        <v>221</v>
      </c>
      <c r="V52" s="412" t="s">
        <v>221</v>
      </c>
      <c r="W52" s="412" t="s">
        <v>221</v>
      </c>
      <c r="X52" s="412" t="s">
        <v>221</v>
      </c>
      <c r="Y52" s="412" t="s">
        <v>221</v>
      </c>
      <c r="Z52" s="412" t="s">
        <v>221</v>
      </c>
      <c r="AA52" s="412" t="s">
        <v>221</v>
      </c>
      <c r="AB52" s="412" t="s">
        <v>221</v>
      </c>
      <c r="AC52" s="412" t="s">
        <v>221</v>
      </c>
      <c r="AD52" s="412" t="s">
        <v>221</v>
      </c>
      <c r="AE52" s="412" t="s">
        <v>221</v>
      </c>
      <c r="AF52" s="412" t="s">
        <v>221</v>
      </c>
      <c r="AG52" s="412" t="s">
        <v>221</v>
      </c>
      <c r="AH52" s="412" t="s">
        <v>221</v>
      </c>
      <c r="AI52" s="412" t="s">
        <v>221</v>
      </c>
      <c r="AJ52" s="412" t="s">
        <v>221</v>
      </c>
      <c r="AK52" s="412" t="s">
        <v>221</v>
      </c>
      <c r="AL52" s="250" t="s">
        <v>221</v>
      </c>
      <c r="AM52" s="250" t="s">
        <v>221</v>
      </c>
      <c r="AN52" s="250" t="s">
        <v>221</v>
      </c>
      <c r="AO52" s="250" t="s">
        <v>221</v>
      </c>
      <c r="AP52" s="250" t="s">
        <v>221</v>
      </c>
      <c r="AQ52" s="250" t="s">
        <v>221</v>
      </c>
      <c r="AR52" s="250" t="s">
        <v>221</v>
      </c>
      <c r="AS52" s="250" t="s">
        <v>221</v>
      </c>
      <c r="AT52" s="250" t="s">
        <v>221</v>
      </c>
      <c r="AU52" s="250" t="s">
        <v>221</v>
      </c>
      <c r="AV52" s="250" t="s">
        <v>221</v>
      </c>
      <c r="AW52" s="250" t="s">
        <v>221</v>
      </c>
      <c r="AX52" s="250" t="s">
        <v>221</v>
      </c>
      <c r="AY52" s="250" t="s">
        <v>221</v>
      </c>
      <c r="AZ52" s="250" t="s">
        <v>221</v>
      </c>
      <c r="BA52" s="250" t="s">
        <v>221</v>
      </c>
      <c r="BB52" s="250" t="s">
        <v>221</v>
      </c>
      <c r="BC52" s="250" t="s">
        <v>221</v>
      </c>
      <c r="BD52" s="250" t="s">
        <v>221</v>
      </c>
      <c r="BE52" s="250" t="s">
        <v>221</v>
      </c>
    </row>
    <row r="53" spans="1:57" ht="14.25" customHeight="1" x14ac:dyDescent="0.45">
      <c r="A53" s="618"/>
      <c r="B53" s="400"/>
      <c r="C53" s="401"/>
      <c r="D53" s="405" t="s">
        <v>398</v>
      </c>
      <c r="E53" s="406" t="s">
        <v>221</v>
      </c>
      <c r="F53" s="406" t="s">
        <v>221</v>
      </c>
      <c r="G53" s="406" t="s">
        <v>221</v>
      </c>
      <c r="H53" s="406" t="s">
        <v>221</v>
      </c>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4"/>
      <c r="AF53" s="144"/>
      <c r="AG53" s="144"/>
      <c r="AH53" s="144"/>
      <c r="AI53" s="144"/>
      <c r="AJ53" s="144"/>
      <c r="AK53" s="144"/>
      <c r="AL53" s="250"/>
      <c r="AM53" s="250"/>
      <c r="AN53" s="250"/>
      <c r="AO53" s="250"/>
      <c r="AP53" s="250"/>
      <c r="AQ53" s="250"/>
      <c r="AR53" s="250"/>
      <c r="AS53" s="250"/>
      <c r="AT53" s="250"/>
      <c r="AU53" s="250"/>
      <c r="AV53" s="250"/>
      <c r="AW53" s="250"/>
      <c r="AX53" s="250"/>
      <c r="AY53" s="250"/>
      <c r="AZ53" s="250"/>
      <c r="BA53" s="250"/>
      <c r="BB53" s="250"/>
      <c r="BC53" s="250"/>
      <c r="BD53" s="250"/>
      <c r="BE53" s="250"/>
    </row>
    <row r="54" spans="1:57" ht="14.25" customHeight="1" x14ac:dyDescent="0.45">
      <c r="A54" s="618">
        <v>2</v>
      </c>
      <c r="B54" s="400"/>
      <c r="C54" s="64" t="s">
        <v>506</v>
      </c>
      <c r="D54" s="405" t="s">
        <v>399</v>
      </c>
      <c r="E54" s="406">
        <f>'Copia de Demandas de energía '!D54*$E$89</f>
        <v>3.8285522927913922</v>
      </c>
      <c r="F54" s="406">
        <f>'Copia de Demandas de energía '!E54*$E$89</f>
        <v>3.849281695514172</v>
      </c>
      <c r="G54" s="406">
        <f>'Copia de Demandas de energía '!F54*$E$89</f>
        <v>1.7414440253750914</v>
      </c>
      <c r="H54" s="406">
        <f>'Copia de Demandas de energía '!G54*$E$89</f>
        <v>2.3650680736738634</v>
      </c>
      <c r="I54" s="647">
        <v>4.3396384764364102</v>
      </c>
      <c r="J54" s="144">
        <v>3.46</v>
      </c>
      <c r="K54" s="144">
        <v>3.65</v>
      </c>
      <c r="L54" s="144">
        <v>3.72</v>
      </c>
      <c r="M54" s="144">
        <v>3.78</v>
      </c>
      <c r="N54" s="144">
        <v>3.87</v>
      </c>
      <c r="O54" s="144">
        <v>3.94</v>
      </c>
      <c r="P54" s="144">
        <v>4.01</v>
      </c>
      <c r="Q54" s="144">
        <v>4.08</v>
      </c>
      <c r="R54" s="144">
        <v>4.17</v>
      </c>
      <c r="S54" s="144">
        <v>4.24</v>
      </c>
      <c r="T54" s="144">
        <v>4.32</v>
      </c>
      <c r="U54" s="144">
        <v>4.4000000000000004</v>
      </c>
      <c r="V54" s="144">
        <v>4.47</v>
      </c>
      <c r="W54" s="144">
        <v>4.55</v>
      </c>
      <c r="X54" s="144">
        <v>4.62</v>
      </c>
      <c r="Y54" s="144">
        <v>4.7</v>
      </c>
      <c r="Z54" s="144">
        <v>4.7699999999999996</v>
      </c>
      <c r="AA54" s="144">
        <v>4.8499999999999996</v>
      </c>
      <c r="AB54" s="144">
        <v>4.92</v>
      </c>
      <c r="AC54" s="144">
        <v>5</v>
      </c>
      <c r="AD54" s="144">
        <v>5.0599999999999996</v>
      </c>
      <c r="AE54" s="144">
        <v>5.14</v>
      </c>
      <c r="AF54" s="144">
        <v>5.2</v>
      </c>
      <c r="AG54" s="144">
        <v>5.28</v>
      </c>
      <c r="AH54" s="144">
        <v>5.34</v>
      </c>
      <c r="AI54" s="144">
        <v>5.41</v>
      </c>
      <c r="AJ54" s="144">
        <v>5.48</v>
      </c>
      <c r="AK54" s="144">
        <v>5.54</v>
      </c>
      <c r="AL54" s="144">
        <v>5.6123237581999996</v>
      </c>
      <c r="AM54" s="144">
        <v>5.6701827640492883</v>
      </c>
      <c r="AN54" s="144">
        <v>5.742506523563379</v>
      </c>
      <c r="AO54" s="144">
        <v>5.8003655327894785</v>
      </c>
      <c r="AP54" s="144">
        <v>5.8726892929549592</v>
      </c>
      <c r="AQ54" s="144">
        <v>5.9305483022427277</v>
      </c>
      <c r="AR54" s="144">
        <v>6.002872062315471</v>
      </c>
      <c r="AS54" s="144">
        <v>6.0607310688431895</v>
      </c>
      <c r="AT54" s="144">
        <v>6.1185900743604131</v>
      </c>
      <c r="AU54" s="144">
        <v>6.1909138342926679</v>
      </c>
      <c r="AV54" s="144">
        <v>6.2487728396597166</v>
      </c>
      <c r="AW54" s="144">
        <v>6.3066318458142918</v>
      </c>
      <c r="AX54" s="144">
        <v>6.3644908540369283</v>
      </c>
      <c r="AY54" s="144">
        <v>6.42234986122231</v>
      </c>
      <c r="AZ54" s="144">
        <v>6.48020886892321</v>
      </c>
      <c r="BA54" s="144">
        <v>6.5380678739042208</v>
      </c>
      <c r="BB54" s="144">
        <v>6.5959268847622736</v>
      </c>
      <c r="BC54" s="144">
        <v>6.6537858936805261</v>
      </c>
      <c r="BD54" s="144">
        <v>6.6971801486409932</v>
      </c>
      <c r="BE54" s="144">
        <v>6.7550391573737691</v>
      </c>
    </row>
    <row r="55" spans="1:57" ht="14.25" customHeight="1" x14ac:dyDescent="0.45">
      <c r="A55" s="618"/>
      <c r="B55" s="400"/>
      <c r="C55" s="401"/>
      <c r="D55" s="404" t="s">
        <v>25</v>
      </c>
      <c r="E55" s="406">
        <f t="shared" ref="E55:AJ55" si="6">SUM(E45:E54)</f>
        <v>5.1970023851231169</v>
      </c>
      <c r="F55" s="406">
        <f t="shared" si="6"/>
        <v>4.8997209754957529</v>
      </c>
      <c r="G55" s="406">
        <f t="shared" si="6"/>
        <v>3.3412710017820739</v>
      </c>
      <c r="H55" s="406">
        <f t="shared" si="6"/>
        <v>4.1976548233864843</v>
      </c>
      <c r="I55" s="144">
        <f t="shared" si="6"/>
        <v>6.8310522918011616</v>
      </c>
      <c r="J55" s="144">
        <f t="shared" si="6"/>
        <v>5.4625000000000004</v>
      </c>
      <c r="K55" s="144">
        <f t="shared" si="6"/>
        <v>5.7200000000000006</v>
      </c>
      <c r="L55" s="144">
        <f t="shared" si="6"/>
        <v>5.8525000000000009</v>
      </c>
      <c r="M55" s="144">
        <f t="shared" si="6"/>
        <v>5.9774999999999991</v>
      </c>
      <c r="N55" s="144">
        <f t="shared" si="6"/>
        <v>6.1375000000000002</v>
      </c>
      <c r="O55" s="144">
        <f t="shared" si="6"/>
        <v>6.2774999999999999</v>
      </c>
      <c r="P55" s="144">
        <f t="shared" si="6"/>
        <v>6.41</v>
      </c>
      <c r="Q55" s="144">
        <f t="shared" si="6"/>
        <v>6.5475000000000003</v>
      </c>
      <c r="R55" s="144">
        <f t="shared" si="6"/>
        <v>6.7074999999999996</v>
      </c>
      <c r="S55" s="144">
        <f t="shared" si="6"/>
        <v>6.8475000000000001</v>
      </c>
      <c r="T55" s="144">
        <f t="shared" si="6"/>
        <v>6.9975000000000005</v>
      </c>
      <c r="U55" s="144">
        <f t="shared" si="6"/>
        <v>7.1450000000000005</v>
      </c>
      <c r="V55" s="144">
        <f t="shared" si="6"/>
        <v>7.2824999999999998</v>
      </c>
      <c r="W55" s="144">
        <f t="shared" si="6"/>
        <v>7.43</v>
      </c>
      <c r="X55" s="144">
        <f t="shared" si="6"/>
        <v>7.5674999999999999</v>
      </c>
      <c r="Y55" s="144">
        <f t="shared" si="6"/>
        <v>7.7200000000000006</v>
      </c>
      <c r="Z55" s="144">
        <f t="shared" si="6"/>
        <v>7.8649999999999993</v>
      </c>
      <c r="AA55" s="144">
        <f t="shared" si="6"/>
        <v>8.0175000000000001</v>
      </c>
      <c r="AB55" s="144">
        <f t="shared" si="6"/>
        <v>8.16</v>
      </c>
      <c r="AC55" s="144">
        <f t="shared" si="6"/>
        <v>8.307500000000001</v>
      </c>
      <c r="AD55" s="144">
        <f t="shared" si="6"/>
        <v>8.4324999999999992</v>
      </c>
      <c r="AE55" s="144">
        <f t="shared" si="6"/>
        <v>8.5824999999999996</v>
      </c>
      <c r="AF55" s="144">
        <f t="shared" si="6"/>
        <v>8.7149999999999999</v>
      </c>
      <c r="AG55" s="144">
        <f t="shared" si="6"/>
        <v>8.8674999999999997</v>
      </c>
      <c r="AH55" s="144">
        <f t="shared" si="6"/>
        <v>8.9974999999999987</v>
      </c>
      <c r="AI55" s="144">
        <f t="shared" si="6"/>
        <v>9.1325000000000003</v>
      </c>
      <c r="AJ55" s="144">
        <f t="shared" si="6"/>
        <v>9.2675000000000001</v>
      </c>
      <c r="AK55" s="144">
        <f t="shared" ref="AK55:BE55" si="7">SUM(AK45:AK54)</f>
        <v>9.4075000000000006</v>
      </c>
      <c r="AL55" s="144">
        <f t="shared" si="7"/>
        <v>9.5698237582000001</v>
      </c>
      <c r="AM55" s="144">
        <f t="shared" si="7"/>
        <v>9.7101827640492893</v>
      </c>
      <c r="AN55" s="144">
        <f t="shared" si="7"/>
        <v>9.8625065235633791</v>
      </c>
      <c r="AO55" s="144">
        <f t="shared" si="7"/>
        <v>10.002865532789478</v>
      </c>
      <c r="AP55" s="144">
        <f t="shared" si="7"/>
        <v>10.160189292954959</v>
      </c>
      <c r="AQ55" s="144">
        <f t="shared" si="7"/>
        <v>10.303048302242729</v>
      </c>
      <c r="AR55" s="144">
        <f t="shared" si="7"/>
        <v>10.462872062315471</v>
      </c>
      <c r="AS55" s="144">
        <f t="shared" si="7"/>
        <v>10.61323106884319</v>
      </c>
      <c r="AT55" s="144">
        <f t="shared" si="7"/>
        <v>10.766090074360413</v>
      </c>
      <c r="AU55" s="144">
        <f t="shared" si="7"/>
        <v>10.933413834292669</v>
      </c>
      <c r="AV55" s="144">
        <f t="shared" si="7"/>
        <v>11.088772839659716</v>
      </c>
      <c r="AW55" s="144">
        <f t="shared" si="7"/>
        <v>11.246631845814292</v>
      </c>
      <c r="AX55" s="144">
        <f t="shared" si="7"/>
        <v>11.404490854036929</v>
      </c>
      <c r="AY55" s="144">
        <f t="shared" si="7"/>
        <v>11.562349861222311</v>
      </c>
      <c r="AZ55" s="144">
        <f t="shared" si="7"/>
        <v>11.72270886892321</v>
      </c>
      <c r="BA55" s="144">
        <f t="shared" si="7"/>
        <v>11.88806787390422</v>
      </c>
      <c r="BB55" s="144">
        <f t="shared" si="7"/>
        <v>12.055926884762274</v>
      </c>
      <c r="BC55" s="144">
        <f t="shared" si="7"/>
        <v>12.223785893680526</v>
      </c>
      <c r="BD55" s="144">
        <f t="shared" si="7"/>
        <v>12.379680148640993</v>
      </c>
      <c r="BE55" s="144">
        <f t="shared" si="7"/>
        <v>12.55503915737377</v>
      </c>
    </row>
    <row r="56" spans="1:57" ht="14.25" customHeight="1" x14ac:dyDescent="0.45">
      <c r="A56" s="618"/>
      <c r="B56" s="400"/>
      <c r="C56" s="401"/>
      <c r="D56" s="410"/>
      <c r="E56" s="401"/>
      <c r="F56" s="401"/>
      <c r="G56" s="401"/>
      <c r="H56" s="401"/>
      <c r="I56" s="401"/>
      <c r="J56" s="401"/>
      <c r="K56" s="401"/>
      <c r="L56" s="401"/>
      <c r="M56" s="401"/>
      <c r="N56" s="401"/>
      <c r="O56" s="401"/>
      <c r="P56" s="401"/>
      <c r="Q56" s="401"/>
      <c r="R56" s="401"/>
      <c r="S56" s="401"/>
      <c r="T56" s="401"/>
      <c r="U56" s="401"/>
      <c r="V56" s="401"/>
      <c r="W56" s="401"/>
      <c r="X56" s="401"/>
      <c r="Y56" s="401"/>
      <c r="Z56" s="401"/>
      <c r="AA56" s="401"/>
      <c r="AB56" s="401"/>
      <c r="AC56" s="401"/>
      <c r="AD56" s="401"/>
      <c r="AE56" s="401"/>
      <c r="AF56" s="401"/>
      <c r="AG56" s="401"/>
      <c r="AH56" s="401"/>
      <c r="AI56" s="401"/>
      <c r="AJ56" s="401"/>
      <c r="AK56" s="401"/>
      <c r="AL56" s="401"/>
      <c r="AM56" s="401"/>
      <c r="AN56" s="401"/>
      <c r="AO56" s="401"/>
      <c r="AP56" s="401"/>
      <c r="AQ56" s="401"/>
      <c r="AR56" s="401"/>
      <c r="AS56" s="401"/>
      <c r="AT56" s="401"/>
      <c r="AU56" s="401"/>
      <c r="AV56" s="401"/>
      <c r="AW56" s="401"/>
      <c r="AX56" s="401"/>
      <c r="AY56" s="401"/>
      <c r="AZ56" s="401"/>
      <c r="BA56" s="401"/>
      <c r="BB56" s="401"/>
      <c r="BC56" s="401"/>
      <c r="BD56" s="401"/>
      <c r="BE56" s="401"/>
    </row>
    <row r="57" spans="1:57" ht="14.25" customHeight="1" x14ac:dyDescent="0.45">
      <c r="A57" s="618"/>
      <c r="B57" s="400"/>
      <c r="C57" s="401"/>
      <c r="D57" s="404" t="s">
        <v>507</v>
      </c>
      <c r="E57" s="403"/>
      <c r="F57" s="403"/>
      <c r="G57" s="403"/>
      <c r="H57" s="403"/>
      <c r="I57" s="403"/>
      <c r="J57" s="403"/>
      <c r="K57" s="403"/>
      <c r="L57" s="403"/>
      <c r="M57" s="403"/>
      <c r="N57" s="403"/>
      <c r="O57" s="403"/>
      <c r="P57" s="403"/>
      <c r="Q57" s="403"/>
      <c r="R57" s="403"/>
      <c r="S57" s="403"/>
      <c r="T57" s="403"/>
      <c r="U57" s="403"/>
      <c r="V57" s="403"/>
      <c r="W57" s="403"/>
      <c r="X57" s="403"/>
      <c r="Y57" s="403"/>
      <c r="Z57" s="403"/>
      <c r="AA57" s="403"/>
      <c r="AB57" s="403"/>
      <c r="AC57" s="403"/>
      <c r="AD57" s="403"/>
      <c r="AE57" s="403"/>
      <c r="AF57" s="403"/>
      <c r="AG57" s="403"/>
      <c r="AH57" s="403"/>
      <c r="AI57" s="403"/>
      <c r="AJ57" s="403"/>
      <c r="AK57" s="403"/>
      <c r="AL57" s="403"/>
      <c r="AM57" s="403"/>
      <c r="AN57" s="403"/>
      <c r="AO57" s="403"/>
      <c r="AP57" s="403"/>
      <c r="AQ57" s="403"/>
      <c r="AR57" s="403"/>
      <c r="AS57" s="403"/>
      <c r="AT57" s="403"/>
      <c r="AU57" s="403"/>
      <c r="AV57" s="403"/>
      <c r="AW57" s="403"/>
      <c r="AX57" s="403"/>
      <c r="AY57" s="403"/>
      <c r="AZ57" s="403"/>
      <c r="BA57" s="403"/>
      <c r="BB57" s="403"/>
      <c r="BC57" s="403"/>
      <c r="BD57" s="403"/>
      <c r="BE57" s="403"/>
    </row>
    <row r="58" spans="1:57" ht="14.25" customHeight="1" x14ac:dyDescent="0.45">
      <c r="A58" s="618"/>
      <c r="B58" s="400"/>
      <c r="C58" s="401"/>
      <c r="D58" s="405" t="s">
        <v>480</v>
      </c>
      <c r="E58" s="406" t="s">
        <v>221</v>
      </c>
      <c r="F58" s="406" t="s">
        <v>221</v>
      </c>
      <c r="G58" s="406" t="s">
        <v>221</v>
      </c>
      <c r="H58" s="406" t="s">
        <v>221</v>
      </c>
      <c r="I58" s="403"/>
      <c r="J58" s="403"/>
      <c r="K58" s="403"/>
      <c r="L58" s="403"/>
      <c r="M58" s="403"/>
      <c r="N58" s="403"/>
      <c r="O58" s="403"/>
      <c r="P58" s="403"/>
      <c r="Q58" s="403"/>
      <c r="R58" s="403"/>
      <c r="S58" s="403"/>
      <c r="T58" s="403"/>
      <c r="U58" s="403"/>
      <c r="V58" s="403"/>
      <c r="W58" s="403"/>
      <c r="X58" s="403"/>
      <c r="Y58" s="403"/>
      <c r="Z58" s="403"/>
      <c r="AA58" s="403"/>
      <c r="AB58" s="403"/>
      <c r="AC58" s="403"/>
      <c r="AD58" s="403"/>
      <c r="AE58" s="403"/>
      <c r="AF58" s="403"/>
      <c r="AG58" s="403"/>
      <c r="AH58" s="403"/>
      <c r="AI58" s="403"/>
      <c r="AJ58" s="403"/>
      <c r="AK58" s="403"/>
      <c r="AL58" s="403"/>
      <c r="AM58" s="403"/>
      <c r="AN58" s="403"/>
      <c r="AO58" s="403"/>
      <c r="AP58" s="403"/>
      <c r="AQ58" s="403"/>
      <c r="AR58" s="403"/>
      <c r="AS58" s="403"/>
      <c r="AT58" s="403"/>
      <c r="AU58" s="403"/>
      <c r="AV58" s="403"/>
      <c r="AW58" s="403"/>
      <c r="AX58" s="403"/>
      <c r="AY58" s="403"/>
      <c r="AZ58" s="403"/>
      <c r="BA58" s="403"/>
      <c r="BB58" s="403"/>
      <c r="BC58" s="403"/>
      <c r="BD58" s="403"/>
      <c r="BE58" s="403"/>
    </row>
    <row r="59" spans="1:57" ht="14.25" customHeight="1" x14ac:dyDescent="0.45">
      <c r="A59" s="618"/>
      <c r="B59" s="400"/>
      <c r="C59" s="64" t="s">
        <v>508</v>
      </c>
      <c r="D59" s="405" t="s">
        <v>482</v>
      </c>
      <c r="E59" s="411">
        <f>'Copia de Demandas de energía '!D59*$E$89</f>
        <v>0.27453468820698873</v>
      </c>
      <c r="F59" s="406">
        <f>'Copia de Demandas de energía '!E59*$E$89</f>
        <v>0.28255511883412587</v>
      </c>
      <c r="G59" s="406">
        <f>'Copia de Demandas de energía '!F59*$E$89</f>
        <v>0.26980482787102172</v>
      </c>
      <c r="H59" s="406">
        <f>'Copia de Demandas de energía '!G59*$E$89</f>
        <v>0.31491248201071131</v>
      </c>
      <c r="I59" s="647">
        <v>0.31723692704970952</v>
      </c>
      <c r="J59" s="144">
        <v>0.33</v>
      </c>
      <c r="K59" s="144">
        <v>0.33</v>
      </c>
      <c r="L59" s="144">
        <v>0.35</v>
      </c>
      <c r="M59" s="144">
        <v>0.35</v>
      </c>
      <c r="N59" s="144">
        <v>0.37</v>
      </c>
      <c r="O59" s="144">
        <v>0.37</v>
      </c>
      <c r="P59" s="144">
        <v>0.38</v>
      </c>
      <c r="Q59" s="144">
        <v>0.39</v>
      </c>
      <c r="R59" s="144">
        <v>0.4</v>
      </c>
      <c r="S59" s="144">
        <v>0.41</v>
      </c>
      <c r="T59" s="144">
        <v>0.42</v>
      </c>
      <c r="U59" s="144">
        <v>0.43</v>
      </c>
      <c r="V59" s="144">
        <v>0.44</v>
      </c>
      <c r="W59" s="144">
        <v>0.45</v>
      </c>
      <c r="X59" s="144">
        <v>0.46</v>
      </c>
      <c r="Y59" s="144">
        <v>0.47</v>
      </c>
      <c r="Z59" s="144">
        <v>0.48</v>
      </c>
      <c r="AA59" s="144">
        <v>0.49</v>
      </c>
      <c r="AB59" s="144">
        <v>0.5</v>
      </c>
      <c r="AC59" s="144">
        <v>0.51</v>
      </c>
      <c r="AD59" s="144">
        <v>0.52</v>
      </c>
      <c r="AE59" s="144">
        <v>0.52</v>
      </c>
      <c r="AF59" s="144">
        <v>0.53</v>
      </c>
      <c r="AG59" s="144">
        <v>0.54</v>
      </c>
      <c r="AH59" s="144">
        <v>0.55000000000000004</v>
      </c>
      <c r="AI59" s="144">
        <v>0.56000000000000005</v>
      </c>
      <c r="AJ59" s="144">
        <v>0.56999999999999995</v>
      </c>
      <c r="AK59" s="144">
        <v>0.57999999999999996</v>
      </c>
      <c r="AL59" s="144">
        <v>0.59</v>
      </c>
      <c r="AM59" s="144">
        <v>0.59</v>
      </c>
      <c r="AN59" s="144">
        <v>0.6</v>
      </c>
      <c r="AO59" s="144">
        <v>0.61</v>
      </c>
      <c r="AP59" s="144">
        <v>0.62</v>
      </c>
      <c r="AQ59" s="144">
        <v>0.63</v>
      </c>
      <c r="AR59" s="144">
        <v>0.64</v>
      </c>
      <c r="AS59" s="144">
        <v>0.64</v>
      </c>
      <c r="AT59" s="144">
        <v>0.65</v>
      </c>
      <c r="AU59" s="144">
        <v>0.66</v>
      </c>
      <c r="AV59" s="144">
        <v>0.67</v>
      </c>
      <c r="AW59" s="144">
        <v>0.68</v>
      </c>
      <c r="AX59" s="144">
        <v>0.68</v>
      </c>
      <c r="AY59" s="144">
        <v>0.69</v>
      </c>
      <c r="AZ59" s="144">
        <v>0.7</v>
      </c>
      <c r="BA59" s="144">
        <v>0.71</v>
      </c>
      <c r="BB59" s="144">
        <v>0.71</v>
      </c>
      <c r="BC59" s="144">
        <v>0.72</v>
      </c>
      <c r="BD59" s="144">
        <v>0.73</v>
      </c>
      <c r="BE59" s="144">
        <v>0.73</v>
      </c>
    </row>
    <row r="60" spans="1:57" ht="14.25" customHeight="1" x14ac:dyDescent="0.45">
      <c r="A60" s="618"/>
      <c r="B60" s="400"/>
      <c r="C60" s="64" t="s">
        <v>509</v>
      </c>
      <c r="D60" s="405" t="s">
        <v>484</v>
      </c>
      <c r="E60" s="406">
        <f>'Copia de Demandas de energía '!D60*$E$89</f>
        <v>9.4607379223717381</v>
      </c>
      <c r="F60" s="406">
        <f>'Copia de Demandas de energía '!E60*$E$89</f>
        <v>9.737129958675478</v>
      </c>
      <c r="G60" s="406">
        <f>'Copia de Demandas de energía '!F60*$E$89</f>
        <v>9.297742280369194</v>
      </c>
      <c r="H60" s="406">
        <f>'Copia de Demandas de energía '!G60*$E$89</f>
        <v>10.852196815581776</v>
      </c>
      <c r="I60" s="647">
        <v>10.928405422853453</v>
      </c>
      <c r="J60" s="144">
        <v>11.51</v>
      </c>
      <c r="K60" s="144">
        <v>11.96</v>
      </c>
      <c r="L60" s="144">
        <v>12.17</v>
      </c>
      <c r="M60" s="144">
        <v>12.55</v>
      </c>
      <c r="N60" s="144">
        <v>12.83</v>
      </c>
      <c r="O60" s="144">
        <v>13.29</v>
      </c>
      <c r="P60" s="144">
        <v>13.45</v>
      </c>
      <c r="Q60" s="144">
        <v>13.87</v>
      </c>
      <c r="R60" s="144">
        <v>14.18</v>
      </c>
      <c r="S60" s="144">
        <v>14.62</v>
      </c>
      <c r="T60" s="144">
        <v>14.93</v>
      </c>
      <c r="U60" s="144">
        <v>15.37</v>
      </c>
      <c r="V60" s="144">
        <v>15.63</v>
      </c>
      <c r="W60" s="144">
        <v>16.100000000000001</v>
      </c>
      <c r="X60" s="144">
        <v>16.37</v>
      </c>
      <c r="Y60" s="144">
        <v>16.809999999999999</v>
      </c>
      <c r="Z60" s="144">
        <v>17.149999999999999</v>
      </c>
      <c r="AA60" s="144">
        <v>17.579999999999998</v>
      </c>
      <c r="AB60" s="144">
        <v>17.91</v>
      </c>
      <c r="AC60" s="144">
        <v>18.350000000000001</v>
      </c>
      <c r="AD60" s="144">
        <v>18.59</v>
      </c>
      <c r="AE60" s="144">
        <v>19.03</v>
      </c>
      <c r="AF60" s="144">
        <v>19.32</v>
      </c>
      <c r="AG60" s="144">
        <v>19.79</v>
      </c>
      <c r="AH60" s="144">
        <v>20.09</v>
      </c>
      <c r="AI60" s="144">
        <v>20.47</v>
      </c>
      <c r="AJ60" s="144">
        <v>20.79</v>
      </c>
      <c r="AK60" s="144">
        <v>21.17</v>
      </c>
      <c r="AL60" s="144">
        <v>21.59</v>
      </c>
      <c r="AM60" s="144">
        <v>21.99</v>
      </c>
      <c r="AN60" s="144">
        <v>22.41</v>
      </c>
      <c r="AO60" s="144">
        <v>22.82</v>
      </c>
      <c r="AP60" s="144">
        <v>23.25</v>
      </c>
      <c r="AQ60" s="144">
        <v>23.67</v>
      </c>
      <c r="AR60" s="144">
        <v>24.11</v>
      </c>
      <c r="AS60" s="144">
        <v>24.55</v>
      </c>
      <c r="AT60" s="144">
        <v>25</v>
      </c>
      <c r="AU60" s="144">
        <v>25.46</v>
      </c>
      <c r="AV60" s="144">
        <v>25.93</v>
      </c>
      <c r="AW60" s="144">
        <v>26.42</v>
      </c>
      <c r="AX60" s="144">
        <v>26.9</v>
      </c>
      <c r="AY60" s="144">
        <v>27.4</v>
      </c>
      <c r="AZ60" s="144">
        <v>27.91</v>
      </c>
      <c r="BA60" s="144">
        <v>28.43</v>
      </c>
      <c r="BB60" s="144">
        <v>28.95</v>
      </c>
      <c r="BC60" s="144">
        <v>29.49</v>
      </c>
      <c r="BD60" s="144">
        <v>30.03</v>
      </c>
      <c r="BE60" s="144">
        <v>30.59</v>
      </c>
    </row>
    <row r="61" spans="1:57" ht="14.25" customHeight="1" x14ac:dyDescent="0.45">
      <c r="A61" s="618"/>
      <c r="B61" s="400"/>
      <c r="C61" s="401"/>
      <c r="D61" s="405" t="s">
        <v>486</v>
      </c>
      <c r="E61" s="406" t="s">
        <v>221</v>
      </c>
      <c r="F61" s="406" t="s">
        <v>221</v>
      </c>
      <c r="G61" s="406" t="s">
        <v>221</v>
      </c>
      <c r="H61" s="406" t="s">
        <v>221</v>
      </c>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144"/>
    </row>
    <row r="62" spans="1:57" ht="14.25" customHeight="1" x14ac:dyDescent="0.45">
      <c r="A62" s="618"/>
      <c r="B62" s="400"/>
      <c r="C62" s="401"/>
      <c r="D62" s="405" t="s">
        <v>488</v>
      </c>
      <c r="E62" s="406" t="s">
        <v>221</v>
      </c>
      <c r="F62" s="406" t="s">
        <v>221</v>
      </c>
      <c r="G62" s="406" t="s">
        <v>221</v>
      </c>
      <c r="H62" s="406" t="s">
        <v>221</v>
      </c>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c r="AX62" s="144"/>
      <c r="AY62" s="144"/>
      <c r="AZ62" s="144"/>
      <c r="BA62" s="144"/>
      <c r="BB62" s="144"/>
      <c r="BC62" s="144"/>
      <c r="BD62" s="144"/>
      <c r="BE62" s="144"/>
    </row>
    <row r="63" spans="1:57" ht="14.25" customHeight="1" x14ac:dyDescent="0.45">
      <c r="A63" s="618"/>
      <c r="B63" s="400"/>
      <c r="C63" s="401"/>
      <c r="D63" s="405" t="s">
        <v>489</v>
      </c>
      <c r="E63" s="406"/>
      <c r="F63" s="406"/>
      <c r="G63" s="406"/>
      <c r="H63" s="406"/>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c r="AX63" s="144"/>
      <c r="AY63" s="144"/>
      <c r="AZ63" s="144"/>
      <c r="BA63" s="144"/>
      <c r="BB63" s="144"/>
      <c r="BC63" s="144"/>
      <c r="BD63" s="144"/>
      <c r="BE63" s="144"/>
    </row>
    <row r="64" spans="1:57" ht="14.25" customHeight="1" x14ac:dyDescent="0.45">
      <c r="A64" s="618"/>
      <c r="B64" s="400"/>
      <c r="C64" s="401"/>
      <c r="D64" s="405" t="s">
        <v>396</v>
      </c>
      <c r="E64" s="406" t="s">
        <v>221</v>
      </c>
      <c r="F64" s="406" t="s">
        <v>221</v>
      </c>
      <c r="G64" s="406" t="s">
        <v>221</v>
      </c>
      <c r="H64" s="406" t="s">
        <v>221</v>
      </c>
      <c r="I64" s="412" t="s">
        <v>221</v>
      </c>
      <c r="J64" s="412" t="s">
        <v>221</v>
      </c>
      <c r="K64" s="412" t="s">
        <v>221</v>
      </c>
      <c r="L64" s="412" t="s">
        <v>221</v>
      </c>
      <c r="M64" s="412" t="s">
        <v>221</v>
      </c>
      <c r="N64" s="412" t="s">
        <v>221</v>
      </c>
      <c r="O64" s="412" t="s">
        <v>221</v>
      </c>
      <c r="P64" s="412" t="s">
        <v>221</v>
      </c>
      <c r="Q64" s="412" t="s">
        <v>221</v>
      </c>
      <c r="R64" s="412" t="s">
        <v>221</v>
      </c>
      <c r="S64" s="412" t="s">
        <v>221</v>
      </c>
      <c r="T64" s="412" t="s">
        <v>221</v>
      </c>
      <c r="U64" s="412" t="s">
        <v>221</v>
      </c>
      <c r="V64" s="412" t="s">
        <v>221</v>
      </c>
      <c r="W64" s="412" t="s">
        <v>221</v>
      </c>
      <c r="X64" s="412" t="s">
        <v>221</v>
      </c>
      <c r="Y64" s="412" t="s">
        <v>221</v>
      </c>
      <c r="Z64" s="412" t="s">
        <v>221</v>
      </c>
      <c r="AA64" s="412" t="s">
        <v>221</v>
      </c>
      <c r="AB64" s="412" t="s">
        <v>221</v>
      </c>
      <c r="AC64" s="412" t="s">
        <v>221</v>
      </c>
      <c r="AD64" s="412" t="s">
        <v>221</v>
      </c>
      <c r="AE64" s="412" t="s">
        <v>221</v>
      </c>
      <c r="AF64" s="412" t="s">
        <v>221</v>
      </c>
      <c r="AG64" s="412" t="s">
        <v>221</v>
      </c>
      <c r="AH64" s="412" t="s">
        <v>221</v>
      </c>
      <c r="AI64" s="412" t="s">
        <v>221</v>
      </c>
      <c r="AJ64" s="412" t="s">
        <v>221</v>
      </c>
      <c r="AK64" s="412" t="s">
        <v>221</v>
      </c>
      <c r="AL64" s="144" t="s">
        <v>221</v>
      </c>
      <c r="AM64" s="144" t="s">
        <v>221</v>
      </c>
      <c r="AN64" s="144" t="s">
        <v>221</v>
      </c>
      <c r="AO64" s="144" t="s">
        <v>221</v>
      </c>
      <c r="AP64" s="144" t="s">
        <v>221</v>
      </c>
      <c r="AQ64" s="144" t="s">
        <v>221</v>
      </c>
      <c r="AR64" s="144" t="s">
        <v>221</v>
      </c>
      <c r="AS64" s="144" t="s">
        <v>221</v>
      </c>
      <c r="AT64" s="144" t="s">
        <v>221</v>
      </c>
      <c r="AU64" s="144" t="s">
        <v>221</v>
      </c>
      <c r="AV64" s="144" t="s">
        <v>221</v>
      </c>
      <c r="AW64" s="144" t="s">
        <v>221</v>
      </c>
      <c r="AX64" s="144" t="s">
        <v>221</v>
      </c>
      <c r="AY64" s="144" t="s">
        <v>221</v>
      </c>
      <c r="AZ64" s="144" t="s">
        <v>221</v>
      </c>
      <c r="BA64" s="144" t="s">
        <v>221</v>
      </c>
      <c r="BB64" s="144" t="s">
        <v>221</v>
      </c>
      <c r="BC64" s="144" t="s">
        <v>221</v>
      </c>
      <c r="BD64" s="144" t="s">
        <v>221</v>
      </c>
      <c r="BE64" s="144" t="s">
        <v>221</v>
      </c>
    </row>
    <row r="65" spans="1:57" ht="14.25" customHeight="1" x14ac:dyDescent="0.45">
      <c r="A65" s="618"/>
      <c r="B65" s="400"/>
      <c r="C65" s="401"/>
      <c r="D65" s="405" t="s">
        <v>397</v>
      </c>
      <c r="E65" s="406" t="s">
        <v>221</v>
      </c>
      <c r="F65" s="406" t="s">
        <v>221</v>
      </c>
      <c r="G65" s="406" t="s">
        <v>221</v>
      </c>
      <c r="H65" s="406" t="s">
        <v>221</v>
      </c>
      <c r="I65" s="412" t="s">
        <v>221</v>
      </c>
      <c r="J65" s="412" t="s">
        <v>221</v>
      </c>
      <c r="K65" s="412" t="s">
        <v>221</v>
      </c>
      <c r="L65" s="412" t="s">
        <v>221</v>
      </c>
      <c r="M65" s="412" t="s">
        <v>221</v>
      </c>
      <c r="N65" s="412" t="s">
        <v>221</v>
      </c>
      <c r="O65" s="412" t="s">
        <v>221</v>
      </c>
      <c r="P65" s="412" t="s">
        <v>221</v>
      </c>
      <c r="Q65" s="412" t="s">
        <v>221</v>
      </c>
      <c r="R65" s="412" t="s">
        <v>221</v>
      </c>
      <c r="S65" s="412" t="s">
        <v>221</v>
      </c>
      <c r="T65" s="412" t="s">
        <v>221</v>
      </c>
      <c r="U65" s="412" t="s">
        <v>221</v>
      </c>
      <c r="V65" s="412" t="s">
        <v>221</v>
      </c>
      <c r="W65" s="412" t="s">
        <v>221</v>
      </c>
      <c r="X65" s="412" t="s">
        <v>221</v>
      </c>
      <c r="Y65" s="412" t="s">
        <v>221</v>
      </c>
      <c r="Z65" s="412" t="s">
        <v>221</v>
      </c>
      <c r="AA65" s="412" t="s">
        <v>221</v>
      </c>
      <c r="AB65" s="412" t="s">
        <v>221</v>
      </c>
      <c r="AC65" s="412" t="s">
        <v>221</v>
      </c>
      <c r="AD65" s="412" t="s">
        <v>221</v>
      </c>
      <c r="AE65" s="412" t="s">
        <v>221</v>
      </c>
      <c r="AF65" s="412" t="s">
        <v>221</v>
      </c>
      <c r="AG65" s="412" t="s">
        <v>221</v>
      </c>
      <c r="AH65" s="412" t="s">
        <v>221</v>
      </c>
      <c r="AI65" s="412" t="s">
        <v>221</v>
      </c>
      <c r="AJ65" s="412" t="s">
        <v>221</v>
      </c>
      <c r="AK65" s="412" t="s">
        <v>221</v>
      </c>
      <c r="AL65" s="144" t="s">
        <v>221</v>
      </c>
      <c r="AM65" s="144" t="s">
        <v>221</v>
      </c>
      <c r="AN65" s="144" t="s">
        <v>221</v>
      </c>
      <c r="AO65" s="144" t="s">
        <v>221</v>
      </c>
      <c r="AP65" s="144" t="s">
        <v>221</v>
      </c>
      <c r="AQ65" s="144" t="s">
        <v>221</v>
      </c>
      <c r="AR65" s="144" t="s">
        <v>221</v>
      </c>
      <c r="AS65" s="144" t="s">
        <v>221</v>
      </c>
      <c r="AT65" s="144" t="s">
        <v>221</v>
      </c>
      <c r="AU65" s="144" t="s">
        <v>221</v>
      </c>
      <c r="AV65" s="144" t="s">
        <v>221</v>
      </c>
      <c r="AW65" s="144" t="s">
        <v>221</v>
      </c>
      <c r="AX65" s="144" t="s">
        <v>221</v>
      </c>
      <c r="AY65" s="144" t="s">
        <v>221</v>
      </c>
      <c r="AZ65" s="144" t="s">
        <v>221</v>
      </c>
      <c r="BA65" s="144" t="s">
        <v>221</v>
      </c>
      <c r="BB65" s="144" t="s">
        <v>221</v>
      </c>
      <c r="BC65" s="144" t="s">
        <v>221</v>
      </c>
      <c r="BD65" s="144" t="s">
        <v>221</v>
      </c>
      <c r="BE65" s="144" t="s">
        <v>221</v>
      </c>
    </row>
    <row r="66" spans="1:57" ht="14.25" customHeight="1" x14ac:dyDescent="0.45">
      <c r="A66" s="618"/>
      <c r="B66" s="400"/>
      <c r="C66" s="64" t="s">
        <v>510</v>
      </c>
      <c r="D66" s="405" t="s">
        <v>398</v>
      </c>
      <c r="E66" s="406">
        <f>'Copia de Demandas de energía '!D66*$E$89</f>
        <v>0.37022597131778134</v>
      </c>
      <c r="F66" s="406">
        <f>'Copia de Demandas de energía '!E66*$E$89</f>
        <v>0.36906466024087492</v>
      </c>
      <c r="G66" s="406">
        <f>'Copia de Demandas de energía '!F66*$E$89</f>
        <v>0.18720334559732232</v>
      </c>
      <c r="H66" s="406">
        <v>0.18720334559732232</v>
      </c>
      <c r="I66" s="144">
        <v>0.36</v>
      </c>
      <c r="J66" s="144">
        <v>0.38</v>
      </c>
      <c r="K66" s="144">
        <v>0.39</v>
      </c>
      <c r="L66" s="144">
        <v>0.4</v>
      </c>
      <c r="M66" s="144">
        <v>0.41</v>
      </c>
      <c r="N66" s="144">
        <v>0.42</v>
      </c>
      <c r="O66" s="144">
        <v>0.43</v>
      </c>
      <c r="P66" s="144">
        <v>0.44</v>
      </c>
      <c r="Q66" s="144">
        <v>0.45</v>
      </c>
      <c r="R66" s="144">
        <v>0.47</v>
      </c>
      <c r="S66" s="144">
        <v>0.48</v>
      </c>
      <c r="T66" s="144">
        <v>0.49</v>
      </c>
      <c r="U66" s="144">
        <v>0.5</v>
      </c>
      <c r="V66" s="144">
        <v>0.51</v>
      </c>
      <c r="W66" s="144">
        <v>0.53</v>
      </c>
      <c r="X66" s="144">
        <v>0.54</v>
      </c>
      <c r="Y66" s="144">
        <v>0.55000000000000004</v>
      </c>
      <c r="Z66" s="144">
        <v>0.56999999999999995</v>
      </c>
      <c r="AA66" s="144">
        <v>0.57999999999999996</v>
      </c>
      <c r="AB66" s="144">
        <v>0.59</v>
      </c>
      <c r="AC66" s="144">
        <v>0.61</v>
      </c>
      <c r="AD66" s="144">
        <v>0.62</v>
      </c>
      <c r="AE66" s="144">
        <v>0.63</v>
      </c>
      <c r="AF66" s="144">
        <v>0.64</v>
      </c>
      <c r="AG66" s="144">
        <v>0.66</v>
      </c>
      <c r="AH66" s="144">
        <v>0.67</v>
      </c>
      <c r="AI66" s="144">
        <v>0.68</v>
      </c>
      <c r="AJ66" s="144">
        <v>0.69</v>
      </c>
      <c r="AK66" s="144">
        <v>0.7</v>
      </c>
      <c r="AL66" s="144">
        <v>0.72</v>
      </c>
      <c r="AM66" s="144">
        <v>0.73</v>
      </c>
      <c r="AN66" s="144">
        <v>0.74</v>
      </c>
      <c r="AO66" s="144">
        <v>0.76</v>
      </c>
      <c r="AP66" s="144">
        <v>0.77</v>
      </c>
      <c r="AQ66" s="144">
        <v>0.79</v>
      </c>
      <c r="AR66" s="144">
        <v>0.8</v>
      </c>
      <c r="AS66" s="144">
        <v>0.81</v>
      </c>
      <c r="AT66" s="144">
        <v>0.83</v>
      </c>
      <c r="AU66" s="144">
        <v>0.84</v>
      </c>
      <c r="AV66" s="144">
        <v>0.85</v>
      </c>
      <c r="AW66" s="144">
        <v>0.87</v>
      </c>
      <c r="AX66" s="144">
        <v>0.88</v>
      </c>
      <c r="AY66" s="144">
        <v>0.9</v>
      </c>
      <c r="AZ66" s="144">
        <v>0.91</v>
      </c>
      <c r="BA66" s="144">
        <v>0.92</v>
      </c>
      <c r="BB66" s="144">
        <v>0.94</v>
      </c>
      <c r="BC66" s="144">
        <v>0.95</v>
      </c>
      <c r="BD66" s="144">
        <v>0.96</v>
      </c>
      <c r="BE66" s="144">
        <v>0.98</v>
      </c>
    </row>
    <row r="67" spans="1:57" ht="14.25" customHeight="1" x14ac:dyDescent="0.45">
      <c r="A67" s="618"/>
      <c r="B67" s="400"/>
      <c r="C67" s="401"/>
      <c r="D67" s="405" t="s">
        <v>399</v>
      </c>
      <c r="E67" s="406" t="s">
        <v>221</v>
      </c>
      <c r="F67" s="406" t="s">
        <v>221</v>
      </c>
      <c r="G67" s="406" t="s">
        <v>221</v>
      </c>
      <c r="H67" s="406" t="s">
        <v>221</v>
      </c>
      <c r="I67" s="406"/>
      <c r="J67" s="406"/>
      <c r="K67" s="406"/>
      <c r="L67" s="406"/>
      <c r="M67" s="406"/>
      <c r="N67" s="406"/>
      <c r="O67" s="406"/>
      <c r="P67" s="406"/>
      <c r="Q67" s="406"/>
      <c r="R67" s="406"/>
      <c r="S67" s="406"/>
      <c r="T67" s="406"/>
      <c r="U67" s="406"/>
      <c r="V67" s="406"/>
      <c r="W67" s="406"/>
      <c r="X67" s="406"/>
      <c r="Y67" s="406"/>
      <c r="Z67" s="406"/>
      <c r="AA67" s="406"/>
      <c r="AB67" s="406"/>
      <c r="AC67" s="406"/>
      <c r="AD67" s="406"/>
      <c r="AE67" s="406"/>
      <c r="AF67" s="406"/>
      <c r="AG67" s="406"/>
      <c r="AH67" s="406"/>
      <c r="AI67" s="406"/>
      <c r="AJ67" s="406"/>
      <c r="AK67" s="406"/>
      <c r="AL67" s="406"/>
      <c r="AM67" s="406"/>
      <c r="AN67" s="406"/>
      <c r="AO67" s="406"/>
      <c r="AP67" s="406"/>
      <c r="AQ67" s="406"/>
      <c r="AR67" s="406"/>
      <c r="AS67" s="406"/>
      <c r="AT67" s="406"/>
      <c r="AU67" s="406"/>
      <c r="AV67" s="406"/>
      <c r="AW67" s="406"/>
      <c r="AX67" s="406"/>
      <c r="AY67" s="406"/>
      <c r="AZ67" s="406"/>
      <c r="BA67" s="406"/>
      <c r="BB67" s="406"/>
      <c r="BC67" s="406"/>
      <c r="BD67" s="406"/>
      <c r="BE67" s="406"/>
    </row>
    <row r="68" spans="1:57" ht="14.25" customHeight="1" x14ac:dyDescent="0.45">
      <c r="A68" s="618"/>
      <c r="B68" s="400"/>
      <c r="C68" s="401"/>
      <c r="D68" s="404" t="s">
        <v>25</v>
      </c>
      <c r="E68" s="406">
        <f t="shared" ref="E68:BE68" si="8">SUM(E58:E67)</f>
        <v>10.105498581896509</v>
      </c>
      <c r="F68" s="406">
        <f t="shared" si="8"/>
        <v>10.388749737750478</v>
      </c>
      <c r="G68" s="406">
        <f t="shared" si="8"/>
        <v>9.7547504538375378</v>
      </c>
      <c r="H68" s="406">
        <f t="shared" si="8"/>
        <v>11.354312643189809</v>
      </c>
      <c r="I68" s="144">
        <f t="shared" si="8"/>
        <v>11.605642349903162</v>
      </c>
      <c r="J68" s="144">
        <f t="shared" si="8"/>
        <v>12.22</v>
      </c>
      <c r="K68" s="144">
        <f t="shared" si="8"/>
        <v>12.680000000000001</v>
      </c>
      <c r="L68" s="144">
        <f t="shared" si="8"/>
        <v>12.92</v>
      </c>
      <c r="M68" s="144">
        <f t="shared" si="8"/>
        <v>13.31</v>
      </c>
      <c r="N68" s="144">
        <f t="shared" si="8"/>
        <v>13.62</v>
      </c>
      <c r="O68" s="144">
        <f t="shared" si="8"/>
        <v>14.089999999999998</v>
      </c>
      <c r="P68" s="144">
        <f t="shared" si="8"/>
        <v>14.27</v>
      </c>
      <c r="Q68" s="144">
        <f t="shared" si="8"/>
        <v>14.709999999999999</v>
      </c>
      <c r="R68" s="144">
        <f t="shared" si="8"/>
        <v>15.05</v>
      </c>
      <c r="S68" s="144">
        <f t="shared" si="8"/>
        <v>15.51</v>
      </c>
      <c r="T68" s="144">
        <f t="shared" si="8"/>
        <v>15.84</v>
      </c>
      <c r="U68" s="144">
        <f t="shared" si="8"/>
        <v>16.299999999999997</v>
      </c>
      <c r="V68" s="144">
        <f t="shared" si="8"/>
        <v>16.580000000000002</v>
      </c>
      <c r="W68" s="144">
        <f t="shared" si="8"/>
        <v>17.080000000000002</v>
      </c>
      <c r="X68" s="144">
        <f t="shared" si="8"/>
        <v>17.37</v>
      </c>
      <c r="Y68" s="144">
        <f t="shared" si="8"/>
        <v>17.829999999999998</v>
      </c>
      <c r="Z68" s="144">
        <f t="shared" si="8"/>
        <v>18.2</v>
      </c>
      <c r="AA68" s="144">
        <f t="shared" si="8"/>
        <v>18.649999999999995</v>
      </c>
      <c r="AB68" s="144">
        <f t="shared" si="8"/>
        <v>19</v>
      </c>
      <c r="AC68" s="144">
        <f t="shared" si="8"/>
        <v>19.470000000000002</v>
      </c>
      <c r="AD68" s="144">
        <f t="shared" si="8"/>
        <v>19.73</v>
      </c>
      <c r="AE68" s="144">
        <f t="shared" si="8"/>
        <v>20.18</v>
      </c>
      <c r="AF68" s="144">
        <f t="shared" si="8"/>
        <v>20.490000000000002</v>
      </c>
      <c r="AG68" s="144">
        <f t="shared" si="8"/>
        <v>20.99</v>
      </c>
      <c r="AH68" s="144">
        <f t="shared" si="8"/>
        <v>21.310000000000002</v>
      </c>
      <c r="AI68" s="144">
        <f t="shared" si="8"/>
        <v>21.709999999999997</v>
      </c>
      <c r="AJ68" s="144">
        <f t="shared" si="8"/>
        <v>22.05</v>
      </c>
      <c r="AK68" s="144">
        <f t="shared" si="8"/>
        <v>22.45</v>
      </c>
      <c r="AL68" s="144">
        <f t="shared" si="8"/>
        <v>22.9</v>
      </c>
      <c r="AM68" s="144">
        <f t="shared" si="8"/>
        <v>23.31</v>
      </c>
      <c r="AN68" s="144">
        <f t="shared" si="8"/>
        <v>23.75</v>
      </c>
      <c r="AO68" s="144">
        <f t="shared" si="8"/>
        <v>24.19</v>
      </c>
      <c r="AP68" s="144">
        <f t="shared" si="8"/>
        <v>24.64</v>
      </c>
      <c r="AQ68" s="144">
        <f t="shared" si="8"/>
        <v>25.09</v>
      </c>
      <c r="AR68" s="144">
        <f t="shared" si="8"/>
        <v>25.55</v>
      </c>
      <c r="AS68" s="144">
        <f t="shared" si="8"/>
        <v>26</v>
      </c>
      <c r="AT68" s="144">
        <f t="shared" si="8"/>
        <v>26.479999999999997</v>
      </c>
      <c r="AU68" s="144">
        <f t="shared" si="8"/>
        <v>26.96</v>
      </c>
      <c r="AV68" s="144">
        <f t="shared" si="8"/>
        <v>27.450000000000003</v>
      </c>
      <c r="AW68" s="144">
        <f t="shared" si="8"/>
        <v>27.970000000000002</v>
      </c>
      <c r="AX68" s="144">
        <f t="shared" si="8"/>
        <v>28.459999999999997</v>
      </c>
      <c r="AY68" s="144">
        <f t="shared" si="8"/>
        <v>28.99</v>
      </c>
      <c r="AZ68" s="144">
        <f t="shared" si="8"/>
        <v>29.52</v>
      </c>
      <c r="BA68" s="144">
        <f t="shared" si="8"/>
        <v>30.060000000000002</v>
      </c>
      <c r="BB68" s="144">
        <f t="shared" si="8"/>
        <v>30.6</v>
      </c>
      <c r="BC68" s="144">
        <f t="shared" si="8"/>
        <v>31.159999999999997</v>
      </c>
      <c r="BD68" s="144">
        <f t="shared" si="8"/>
        <v>31.720000000000002</v>
      </c>
      <c r="BE68" s="144">
        <f t="shared" si="8"/>
        <v>32.299999999999997</v>
      </c>
    </row>
    <row r="69" spans="1:57" ht="14.25" customHeight="1" x14ac:dyDescent="0.45">
      <c r="A69" s="618"/>
      <c r="B69" s="400"/>
      <c r="C69" s="401"/>
      <c r="D69" s="410"/>
      <c r="E69" s="401"/>
      <c r="F69" s="401"/>
      <c r="G69" s="401"/>
      <c r="H69" s="401"/>
      <c r="I69" s="401"/>
      <c r="J69" s="401"/>
      <c r="K69" s="401"/>
      <c r="L69" s="401"/>
      <c r="M69" s="401"/>
      <c r="N69" s="401"/>
      <c r="O69" s="401"/>
      <c r="P69" s="401"/>
      <c r="Q69" s="401"/>
      <c r="R69" s="401"/>
      <c r="S69" s="401"/>
      <c r="T69" s="401"/>
      <c r="U69" s="401"/>
      <c r="V69" s="401"/>
      <c r="W69" s="401"/>
      <c r="X69" s="401"/>
      <c r="Y69" s="401"/>
      <c r="Z69" s="401"/>
      <c r="AA69" s="401"/>
      <c r="AB69" s="401"/>
      <c r="AC69" s="401"/>
      <c r="AD69" s="401"/>
      <c r="AE69" s="401"/>
      <c r="AF69" s="401"/>
      <c r="AG69" s="401"/>
      <c r="AH69" s="401"/>
      <c r="AI69" s="401"/>
      <c r="AJ69" s="401"/>
      <c r="AK69" s="401"/>
      <c r="AL69" s="401"/>
      <c r="AM69" s="401"/>
      <c r="AN69" s="401"/>
      <c r="AO69" s="401"/>
      <c r="AP69" s="401"/>
      <c r="AQ69" s="401"/>
      <c r="AR69" s="401"/>
      <c r="AS69" s="401"/>
      <c r="AT69" s="401"/>
      <c r="AU69" s="401"/>
      <c r="AV69" s="401"/>
      <c r="AW69" s="401"/>
      <c r="AX69" s="401"/>
      <c r="AY69" s="401"/>
      <c r="AZ69" s="401"/>
      <c r="BA69" s="401"/>
      <c r="BB69" s="401"/>
      <c r="BC69" s="401"/>
      <c r="BD69" s="401"/>
      <c r="BE69" s="401"/>
    </row>
    <row r="70" spans="1:57" ht="14.25" customHeight="1" x14ac:dyDescent="0.45">
      <c r="A70" s="618"/>
      <c r="B70" s="400"/>
      <c r="C70" s="401"/>
      <c r="D70" s="404" t="s">
        <v>511</v>
      </c>
      <c r="E70" s="403"/>
      <c r="F70" s="414"/>
      <c r="G70" s="415"/>
      <c r="H70" s="415"/>
      <c r="I70" s="403"/>
      <c r="J70" s="403"/>
      <c r="K70" s="403"/>
      <c r="L70" s="403"/>
      <c r="M70" s="403"/>
      <c r="N70" s="403"/>
      <c r="O70" s="403"/>
      <c r="P70" s="403"/>
      <c r="Q70" s="403"/>
      <c r="R70" s="403"/>
      <c r="S70" s="403"/>
      <c r="T70" s="403"/>
      <c r="U70" s="403"/>
      <c r="V70" s="403"/>
      <c r="W70" s="403"/>
      <c r="X70" s="403"/>
      <c r="Y70" s="403"/>
      <c r="Z70" s="403"/>
      <c r="AA70" s="403"/>
      <c r="AB70" s="403"/>
      <c r="AC70" s="403"/>
      <c r="AD70" s="403"/>
      <c r="AE70" s="403"/>
      <c r="AF70" s="403"/>
      <c r="AG70" s="403"/>
      <c r="AH70" s="403"/>
      <c r="AI70" s="403"/>
      <c r="AJ70" s="403"/>
      <c r="AK70" s="403"/>
      <c r="AL70" s="403"/>
      <c r="AM70" s="403"/>
      <c r="AN70" s="403"/>
      <c r="AO70" s="403"/>
      <c r="AP70" s="403"/>
      <c r="AQ70" s="403"/>
      <c r="AR70" s="403"/>
      <c r="AS70" s="403"/>
      <c r="AT70" s="403"/>
      <c r="AU70" s="403"/>
      <c r="AV70" s="403"/>
      <c r="AW70" s="403"/>
      <c r="AX70" s="403"/>
      <c r="AY70" s="403"/>
      <c r="AZ70" s="403"/>
      <c r="BA70" s="403"/>
      <c r="BB70" s="403"/>
      <c r="BC70" s="403"/>
      <c r="BD70" s="403"/>
      <c r="BE70" s="403"/>
    </row>
    <row r="71" spans="1:57" ht="14.25" customHeight="1" x14ac:dyDescent="0.45">
      <c r="A71" s="618"/>
      <c r="B71" s="400"/>
      <c r="C71" s="64" t="s">
        <v>512</v>
      </c>
      <c r="D71" s="405" t="s">
        <v>484</v>
      </c>
      <c r="E71" s="406">
        <f>'Copia de Demandas de energía '!D71*$E$89</f>
        <v>1.9633782832774673</v>
      </c>
      <c r="F71" s="406">
        <f>'Copia de Demandas de energía '!E71*$E$89</f>
        <v>1.5793630784291601</v>
      </c>
      <c r="G71" s="406">
        <f>'Copia de Demandas de energía '!F71*$E$89</f>
        <v>0.94433599472858032</v>
      </c>
      <c r="H71" s="406">
        <f>'Copia de Demandas de energía '!G71*$E$89</f>
        <v>1.6548595399193049</v>
      </c>
      <c r="I71" s="647">
        <v>1.7430600387346675</v>
      </c>
      <c r="J71" s="144">
        <v>1.75</v>
      </c>
      <c r="K71" s="144">
        <v>1.82</v>
      </c>
      <c r="L71" s="144">
        <v>1.86</v>
      </c>
      <c r="M71" s="144">
        <v>1.91</v>
      </c>
      <c r="N71" s="144">
        <v>1.96</v>
      </c>
      <c r="O71" s="144">
        <v>2.0299999999999998</v>
      </c>
      <c r="P71" s="144">
        <v>2.0499999999999998</v>
      </c>
      <c r="Q71" s="144">
        <v>2.11</v>
      </c>
      <c r="R71" s="144">
        <v>2.16</v>
      </c>
      <c r="S71" s="144">
        <v>2.23</v>
      </c>
      <c r="T71" s="144">
        <v>2.2799999999999998</v>
      </c>
      <c r="U71" s="144">
        <v>2.34</v>
      </c>
      <c r="V71" s="144">
        <v>2.38</v>
      </c>
      <c r="W71" s="144">
        <v>2.4500000000000002</v>
      </c>
      <c r="X71" s="144">
        <v>2.5</v>
      </c>
      <c r="Y71" s="144">
        <v>2.56</v>
      </c>
      <c r="Z71" s="144">
        <v>2.61</v>
      </c>
      <c r="AA71" s="144">
        <v>2.68</v>
      </c>
      <c r="AB71" s="144">
        <v>2.73</v>
      </c>
      <c r="AC71" s="144">
        <v>2.8</v>
      </c>
      <c r="AD71" s="144">
        <v>2.84</v>
      </c>
      <c r="AE71" s="144">
        <v>2.9</v>
      </c>
      <c r="AF71" s="144">
        <v>2.95</v>
      </c>
      <c r="AG71" s="144">
        <v>3.02</v>
      </c>
      <c r="AH71" s="144">
        <v>3.06</v>
      </c>
      <c r="AI71" s="144">
        <v>3.12</v>
      </c>
      <c r="AJ71" s="144">
        <v>3.17</v>
      </c>
      <c r="AK71" s="144">
        <v>3.23</v>
      </c>
      <c r="AL71" s="144">
        <v>3.29</v>
      </c>
      <c r="AM71" s="144">
        <v>3.35</v>
      </c>
      <c r="AN71" s="144">
        <v>3.42</v>
      </c>
      <c r="AO71" s="144">
        <v>3.48</v>
      </c>
      <c r="AP71" s="144">
        <v>3.54</v>
      </c>
      <c r="AQ71" s="144">
        <v>3.61</v>
      </c>
      <c r="AR71" s="144">
        <v>3.68</v>
      </c>
      <c r="AS71" s="144">
        <v>3.74</v>
      </c>
      <c r="AT71" s="144">
        <v>3.81</v>
      </c>
      <c r="AU71" s="144">
        <v>3.88</v>
      </c>
      <c r="AV71" s="144">
        <v>3.95</v>
      </c>
      <c r="AW71" s="144">
        <v>4.03</v>
      </c>
      <c r="AX71" s="144">
        <v>4.0999999999999996</v>
      </c>
      <c r="AY71" s="144">
        <v>4.18</v>
      </c>
      <c r="AZ71" s="144">
        <v>4.26</v>
      </c>
      <c r="BA71" s="144">
        <v>4.33</v>
      </c>
      <c r="BB71" s="144">
        <v>4.41</v>
      </c>
      <c r="BC71" s="144">
        <v>4.5</v>
      </c>
      <c r="BD71" s="144">
        <v>4.58</v>
      </c>
      <c r="BE71" s="144">
        <v>4.66</v>
      </c>
    </row>
    <row r="72" spans="1:57" ht="14.25" customHeight="1" x14ac:dyDescent="0.45">
      <c r="A72" s="618"/>
      <c r="B72" s="400"/>
      <c r="C72" s="64" t="s">
        <v>513</v>
      </c>
      <c r="D72" s="405" t="s">
        <v>480</v>
      </c>
      <c r="E72" s="406">
        <f>'Copia de Demandas de energía '!D72*$E$89</f>
        <v>2.1965065231681419E-2</v>
      </c>
      <c r="F72" s="406">
        <f>'Copia de Demandas de energía '!E72*$E$89</f>
        <v>2.0567028672531788E-2</v>
      </c>
      <c r="G72" s="406">
        <f>'Copia de Demandas de energía '!F72*$E$89</f>
        <v>1.9008262653815083E-2</v>
      </c>
      <c r="H72" s="406">
        <f>'Copia de Demandas de energía '!G72*$E$89</f>
        <v>2.3492363900933837E-2</v>
      </c>
      <c r="I72" s="144">
        <v>0.02</v>
      </c>
      <c r="J72" s="144">
        <v>0.02</v>
      </c>
      <c r="K72" s="144">
        <v>0.02</v>
      </c>
      <c r="L72" s="144">
        <v>0.02</v>
      </c>
      <c r="M72" s="144">
        <v>0.03</v>
      </c>
      <c r="N72" s="144">
        <v>0.03</v>
      </c>
      <c r="O72" s="144">
        <v>0.03</v>
      </c>
      <c r="P72" s="144">
        <v>0.03</v>
      </c>
      <c r="Q72" s="144">
        <v>0.03</v>
      </c>
      <c r="R72" s="144">
        <v>0.03</v>
      </c>
      <c r="S72" s="144">
        <v>0.03</v>
      </c>
      <c r="T72" s="144">
        <v>0.03</v>
      </c>
      <c r="U72" s="144">
        <v>0.03</v>
      </c>
      <c r="V72" s="144">
        <v>0.03</v>
      </c>
      <c r="W72" s="144">
        <v>0.03</v>
      </c>
      <c r="X72" s="144">
        <v>0.03</v>
      </c>
      <c r="Y72" s="144">
        <v>0.03</v>
      </c>
      <c r="Z72" s="144">
        <v>0.03</v>
      </c>
      <c r="AA72" s="144">
        <v>0.03</v>
      </c>
      <c r="AB72" s="144">
        <v>0.03</v>
      </c>
      <c r="AC72" s="144">
        <v>0.03</v>
      </c>
      <c r="AD72" s="144">
        <v>0.03</v>
      </c>
      <c r="AE72" s="144">
        <v>0.03</v>
      </c>
      <c r="AF72" s="144">
        <v>0.03</v>
      </c>
      <c r="AG72" s="144">
        <v>0.03</v>
      </c>
      <c r="AH72" s="144">
        <v>0.03</v>
      </c>
      <c r="AI72" s="144">
        <v>0.03</v>
      </c>
      <c r="AJ72" s="144">
        <v>0.03</v>
      </c>
      <c r="AK72" s="144">
        <v>0.03</v>
      </c>
      <c r="AL72" s="144">
        <v>0.03</v>
      </c>
      <c r="AM72" s="144">
        <v>0.03</v>
      </c>
      <c r="AN72" s="144">
        <v>0.03</v>
      </c>
      <c r="AO72" s="144">
        <v>0.03</v>
      </c>
      <c r="AP72" s="144">
        <v>0.03</v>
      </c>
      <c r="AQ72" s="144">
        <v>0.03</v>
      </c>
      <c r="AR72" s="144">
        <v>0.03</v>
      </c>
      <c r="AS72" s="144">
        <v>0.03</v>
      </c>
      <c r="AT72" s="144">
        <v>0.03</v>
      </c>
      <c r="AU72" s="144">
        <v>0.03</v>
      </c>
      <c r="AV72" s="144">
        <v>0.03</v>
      </c>
      <c r="AW72" s="144">
        <v>0.03</v>
      </c>
      <c r="AX72" s="144">
        <v>0.03</v>
      </c>
      <c r="AY72" s="144">
        <v>0.03</v>
      </c>
      <c r="AZ72" s="144">
        <v>0.03</v>
      </c>
      <c r="BA72" s="144">
        <v>0.03</v>
      </c>
      <c r="BB72" s="144">
        <v>0.03</v>
      </c>
      <c r="BC72" s="144">
        <v>0.03</v>
      </c>
      <c r="BD72" s="144">
        <v>0.03</v>
      </c>
      <c r="BE72" s="144">
        <v>0.03</v>
      </c>
    </row>
    <row r="73" spans="1:57" ht="14.25" customHeight="1" x14ac:dyDescent="0.45">
      <c r="A73" s="618"/>
      <c r="B73" s="400"/>
      <c r="C73" s="401"/>
      <c r="D73" s="404" t="s">
        <v>25</v>
      </c>
      <c r="E73" s="406">
        <f t="shared" ref="E73:BE73" si="9">SUM(E71:E72)</f>
        <v>1.9853433485091487</v>
      </c>
      <c r="F73" s="406">
        <f t="shared" si="9"/>
        <v>1.5999301071016918</v>
      </c>
      <c r="G73" s="406">
        <f t="shared" si="9"/>
        <v>0.96334425738239537</v>
      </c>
      <c r="H73" s="416">
        <f t="shared" si="9"/>
        <v>1.6783519038202388</v>
      </c>
      <c r="I73" s="144">
        <f t="shared" si="9"/>
        <v>1.7630600387346675</v>
      </c>
      <c r="J73" s="144">
        <f t="shared" si="9"/>
        <v>1.77</v>
      </c>
      <c r="K73" s="144">
        <f t="shared" si="9"/>
        <v>1.84</v>
      </c>
      <c r="L73" s="144">
        <f t="shared" si="9"/>
        <v>1.8800000000000001</v>
      </c>
      <c r="M73" s="144">
        <f t="shared" si="9"/>
        <v>1.94</v>
      </c>
      <c r="N73" s="144">
        <f t="shared" si="9"/>
        <v>1.99</v>
      </c>
      <c r="O73" s="144">
        <f t="shared" si="9"/>
        <v>2.0599999999999996</v>
      </c>
      <c r="P73" s="144">
        <f t="shared" si="9"/>
        <v>2.0799999999999996</v>
      </c>
      <c r="Q73" s="144">
        <f t="shared" si="9"/>
        <v>2.1399999999999997</v>
      </c>
      <c r="R73" s="144">
        <f t="shared" si="9"/>
        <v>2.19</v>
      </c>
      <c r="S73" s="144">
        <f t="shared" si="9"/>
        <v>2.2599999999999998</v>
      </c>
      <c r="T73" s="144">
        <f t="shared" si="9"/>
        <v>2.3099999999999996</v>
      </c>
      <c r="U73" s="144">
        <f t="shared" si="9"/>
        <v>2.3699999999999997</v>
      </c>
      <c r="V73" s="144">
        <f t="shared" si="9"/>
        <v>2.4099999999999997</v>
      </c>
      <c r="W73" s="144">
        <f t="shared" si="9"/>
        <v>2.48</v>
      </c>
      <c r="X73" s="144">
        <f t="shared" si="9"/>
        <v>2.5299999999999998</v>
      </c>
      <c r="Y73" s="144">
        <f t="shared" si="9"/>
        <v>2.59</v>
      </c>
      <c r="Z73" s="144">
        <f t="shared" si="9"/>
        <v>2.6399999999999997</v>
      </c>
      <c r="AA73" s="144">
        <f t="shared" si="9"/>
        <v>2.71</v>
      </c>
      <c r="AB73" s="144">
        <f t="shared" si="9"/>
        <v>2.76</v>
      </c>
      <c r="AC73" s="144">
        <f t="shared" si="9"/>
        <v>2.8299999999999996</v>
      </c>
      <c r="AD73" s="144">
        <f t="shared" si="9"/>
        <v>2.8699999999999997</v>
      </c>
      <c r="AE73" s="144">
        <f t="shared" si="9"/>
        <v>2.9299999999999997</v>
      </c>
      <c r="AF73" s="144">
        <f t="shared" si="9"/>
        <v>2.98</v>
      </c>
      <c r="AG73" s="144">
        <f t="shared" si="9"/>
        <v>3.05</v>
      </c>
      <c r="AH73" s="144">
        <f t="shared" si="9"/>
        <v>3.09</v>
      </c>
      <c r="AI73" s="144">
        <f t="shared" si="9"/>
        <v>3.15</v>
      </c>
      <c r="AJ73" s="144">
        <f t="shared" si="9"/>
        <v>3.1999999999999997</v>
      </c>
      <c r="AK73" s="144">
        <f t="shared" si="9"/>
        <v>3.26</v>
      </c>
      <c r="AL73" s="144">
        <f t="shared" si="9"/>
        <v>3.32</v>
      </c>
      <c r="AM73" s="144">
        <f t="shared" si="9"/>
        <v>3.38</v>
      </c>
      <c r="AN73" s="144">
        <f t="shared" si="9"/>
        <v>3.4499999999999997</v>
      </c>
      <c r="AO73" s="144">
        <f t="shared" si="9"/>
        <v>3.51</v>
      </c>
      <c r="AP73" s="144">
        <f t="shared" si="9"/>
        <v>3.57</v>
      </c>
      <c r="AQ73" s="144">
        <f t="shared" si="9"/>
        <v>3.6399999999999997</v>
      </c>
      <c r="AR73" s="144">
        <f t="shared" si="9"/>
        <v>3.71</v>
      </c>
      <c r="AS73" s="144">
        <f t="shared" si="9"/>
        <v>3.77</v>
      </c>
      <c r="AT73" s="144">
        <f t="shared" si="9"/>
        <v>3.84</v>
      </c>
      <c r="AU73" s="144">
        <f t="shared" si="9"/>
        <v>3.9099999999999997</v>
      </c>
      <c r="AV73" s="144">
        <f t="shared" si="9"/>
        <v>3.98</v>
      </c>
      <c r="AW73" s="144">
        <f t="shared" si="9"/>
        <v>4.0600000000000005</v>
      </c>
      <c r="AX73" s="144">
        <f t="shared" si="9"/>
        <v>4.13</v>
      </c>
      <c r="AY73" s="144">
        <f t="shared" si="9"/>
        <v>4.21</v>
      </c>
      <c r="AZ73" s="144">
        <f t="shared" si="9"/>
        <v>4.29</v>
      </c>
      <c r="BA73" s="144">
        <f t="shared" si="9"/>
        <v>4.3600000000000003</v>
      </c>
      <c r="BB73" s="144">
        <f t="shared" si="9"/>
        <v>4.4400000000000004</v>
      </c>
      <c r="BC73" s="144">
        <f t="shared" si="9"/>
        <v>4.53</v>
      </c>
      <c r="BD73" s="144">
        <f t="shared" si="9"/>
        <v>4.6100000000000003</v>
      </c>
      <c r="BE73" s="144">
        <f t="shared" si="9"/>
        <v>4.6900000000000004</v>
      </c>
    </row>
    <row r="74" spans="1:57" ht="14.25" customHeight="1" x14ac:dyDescent="0.45">
      <c r="A74" s="618"/>
      <c r="B74" s="400"/>
      <c r="C74" s="401"/>
      <c r="D74" s="410"/>
      <c r="E74" s="401"/>
      <c r="F74" s="417"/>
      <c r="G74" s="417"/>
      <c r="H74" s="417"/>
      <c r="I74" s="417"/>
      <c r="J74" s="417"/>
      <c r="K74" s="417"/>
      <c r="L74" s="417"/>
      <c r="M74" s="417"/>
      <c r="N74" s="417"/>
      <c r="O74" s="417"/>
      <c r="P74" s="417"/>
      <c r="Q74" s="417"/>
      <c r="R74" s="417"/>
      <c r="S74" s="417"/>
      <c r="T74" s="417"/>
      <c r="U74" s="417"/>
      <c r="V74" s="417"/>
      <c r="W74" s="417"/>
      <c r="X74" s="417"/>
      <c r="Y74" s="417"/>
      <c r="Z74" s="417"/>
      <c r="AA74" s="417"/>
      <c r="AB74" s="417"/>
      <c r="AC74" s="417"/>
      <c r="AD74" s="417"/>
      <c r="AE74" s="417"/>
      <c r="AF74" s="417"/>
      <c r="AG74" s="417"/>
      <c r="AH74" s="417"/>
      <c r="AI74" s="417"/>
      <c r="AJ74" s="417"/>
      <c r="AK74" s="417"/>
      <c r="AL74" s="417"/>
      <c r="AM74" s="417"/>
      <c r="AN74" s="417"/>
      <c r="AO74" s="417"/>
      <c r="AP74" s="417"/>
      <c r="AQ74" s="417"/>
      <c r="AR74" s="417"/>
      <c r="AS74" s="417"/>
      <c r="AT74" s="417"/>
      <c r="AU74" s="417"/>
      <c r="AV74" s="417"/>
      <c r="AW74" s="417"/>
      <c r="AX74" s="417"/>
      <c r="AY74" s="417"/>
      <c r="AZ74" s="417"/>
      <c r="BA74" s="417"/>
      <c r="BB74" s="417"/>
      <c r="BC74" s="417"/>
      <c r="BD74" s="417"/>
      <c r="BE74" s="417"/>
    </row>
    <row r="75" spans="1:57" ht="14.25" customHeight="1" x14ac:dyDescent="0.45">
      <c r="A75" s="618"/>
      <c r="B75" s="400"/>
      <c r="C75" s="401"/>
      <c r="D75" s="404" t="s">
        <v>514</v>
      </c>
      <c r="E75" s="403"/>
      <c r="F75" s="403"/>
      <c r="G75" s="403"/>
      <c r="H75" s="403"/>
      <c r="I75" s="403"/>
      <c r="J75" s="403"/>
      <c r="K75" s="403"/>
      <c r="L75" s="403"/>
      <c r="M75" s="403"/>
      <c r="N75" s="403"/>
      <c r="O75" s="403"/>
      <c r="P75" s="403"/>
      <c r="Q75" s="403"/>
      <c r="R75" s="403"/>
      <c r="S75" s="403"/>
      <c r="T75" s="403"/>
      <c r="U75" s="403"/>
      <c r="V75" s="403"/>
      <c r="W75" s="403"/>
      <c r="X75" s="403"/>
      <c r="Y75" s="403"/>
      <c r="Z75" s="403"/>
      <c r="AA75" s="403"/>
      <c r="AB75" s="403"/>
      <c r="AC75" s="403"/>
      <c r="AD75" s="403"/>
      <c r="AE75" s="403"/>
      <c r="AF75" s="403"/>
      <c r="AG75" s="403"/>
      <c r="AH75" s="403"/>
      <c r="AI75" s="403"/>
      <c r="AJ75" s="403"/>
      <c r="AK75" s="403"/>
      <c r="AL75" s="403"/>
      <c r="AM75" s="403"/>
      <c r="AN75" s="403"/>
      <c r="AO75" s="403"/>
      <c r="AP75" s="403"/>
      <c r="AQ75" s="403"/>
      <c r="AR75" s="403"/>
      <c r="AS75" s="403"/>
      <c r="AT75" s="403"/>
      <c r="AU75" s="403"/>
      <c r="AV75" s="403"/>
      <c r="AW75" s="403"/>
      <c r="AX75" s="403"/>
      <c r="AY75" s="403"/>
      <c r="AZ75" s="403"/>
      <c r="BA75" s="403"/>
      <c r="BB75" s="403"/>
      <c r="BC75" s="403"/>
      <c r="BD75" s="403"/>
      <c r="BE75" s="403"/>
    </row>
    <row r="76" spans="1:57" ht="14.25" customHeight="1" x14ac:dyDescent="0.45">
      <c r="A76" s="618"/>
      <c r="B76" s="400"/>
      <c r="C76" s="64" t="s">
        <v>515</v>
      </c>
      <c r="D76" s="405" t="s">
        <v>516</v>
      </c>
      <c r="E76" s="406">
        <f>'Copia de Demandas de energía '!D76*$E$89</f>
        <v>2.0379768422691695</v>
      </c>
      <c r="F76" s="406">
        <f>'Copia de Demandas de energía '!E76*$E$89</f>
        <v>2.0787363758628818</v>
      </c>
      <c r="G76" s="406">
        <f>'Copia de Demandas de energía '!F76*$E$89</f>
        <v>2.1203111033801396</v>
      </c>
      <c r="H76" s="406">
        <f>'Copia de Demandas de energía '!G76*$E$89</f>
        <v>2.1627173296284621</v>
      </c>
      <c r="I76" s="647">
        <v>2.2072950290510005</v>
      </c>
      <c r="J76" s="144">
        <v>2.29</v>
      </c>
      <c r="K76" s="144">
        <v>2.38</v>
      </c>
      <c r="L76" s="144">
        <v>2.42</v>
      </c>
      <c r="M76" s="144">
        <v>2.5</v>
      </c>
      <c r="N76" s="144">
        <v>2.56</v>
      </c>
      <c r="O76" s="144">
        <v>2.65</v>
      </c>
      <c r="P76" s="144">
        <v>2.68</v>
      </c>
      <c r="Q76" s="144">
        <v>2.76</v>
      </c>
      <c r="R76" s="144">
        <v>2.83</v>
      </c>
      <c r="S76" s="144">
        <v>2.91</v>
      </c>
      <c r="T76" s="144">
        <v>2.98</v>
      </c>
      <c r="U76" s="144">
        <v>3.06</v>
      </c>
      <c r="V76" s="144">
        <v>3.11</v>
      </c>
      <c r="W76" s="144">
        <v>3.21</v>
      </c>
      <c r="X76" s="144">
        <v>3.26</v>
      </c>
      <c r="Y76" s="144">
        <v>3.35</v>
      </c>
      <c r="Z76" s="144">
        <v>3.42</v>
      </c>
      <c r="AA76" s="144">
        <v>3.5</v>
      </c>
      <c r="AB76" s="144">
        <v>3.57</v>
      </c>
      <c r="AC76" s="144">
        <v>3.66</v>
      </c>
      <c r="AD76" s="144">
        <v>3.71</v>
      </c>
      <c r="AE76" s="144">
        <v>3.79</v>
      </c>
      <c r="AF76" s="144">
        <v>3.85</v>
      </c>
      <c r="AG76" s="144">
        <v>3.94</v>
      </c>
      <c r="AH76" s="144">
        <v>4</v>
      </c>
      <c r="AI76" s="144">
        <v>4.08</v>
      </c>
      <c r="AJ76" s="144">
        <v>4.1399999999999997</v>
      </c>
      <c r="AK76" s="144">
        <v>4.22</v>
      </c>
      <c r="AL76" s="144">
        <v>4.3</v>
      </c>
      <c r="AM76" s="144">
        <v>4.38</v>
      </c>
      <c r="AN76" s="144">
        <v>4.47</v>
      </c>
      <c r="AO76" s="144">
        <v>4.55</v>
      </c>
      <c r="AP76" s="144">
        <v>4.63</v>
      </c>
      <c r="AQ76" s="144">
        <v>4.72</v>
      </c>
      <c r="AR76" s="144">
        <v>4.8099999999999996</v>
      </c>
      <c r="AS76" s="144">
        <v>4.8899999999999997</v>
      </c>
      <c r="AT76" s="144">
        <v>4.9800000000000004</v>
      </c>
      <c r="AU76" s="144">
        <v>5.07</v>
      </c>
      <c r="AV76" s="144">
        <v>5.17</v>
      </c>
      <c r="AW76" s="144">
        <v>5.26</v>
      </c>
      <c r="AX76" s="144">
        <v>5.36</v>
      </c>
      <c r="AY76" s="144">
        <v>5.46</v>
      </c>
      <c r="AZ76" s="144">
        <v>5.56</v>
      </c>
      <c r="BA76" s="144">
        <v>5.66</v>
      </c>
      <c r="BB76" s="144">
        <v>5.77</v>
      </c>
      <c r="BC76" s="144">
        <v>5.88</v>
      </c>
      <c r="BD76" s="144">
        <v>5.99</v>
      </c>
      <c r="BE76" s="144">
        <v>6.1</v>
      </c>
    </row>
    <row r="77" spans="1:57" ht="14.25" customHeight="1" x14ac:dyDescent="0.45">
      <c r="A77" s="618"/>
      <c r="B77" s="400"/>
      <c r="C77" s="64" t="s">
        <v>517</v>
      </c>
      <c r="D77" s="405" t="s">
        <v>480</v>
      </c>
      <c r="E77" s="406">
        <v>8.0826849999999997</v>
      </c>
      <c r="F77" s="406">
        <v>7.7284870000000003</v>
      </c>
      <c r="G77" s="406">
        <v>7.3394500000000003</v>
      </c>
      <c r="H77" s="406">
        <v>7.1160819999999996</v>
      </c>
      <c r="I77" s="647">
        <v>6.5004519044544864</v>
      </c>
      <c r="J77" s="144">
        <v>6.6692999999999998</v>
      </c>
      <c r="K77" s="144">
        <v>6.4459809999999997</v>
      </c>
      <c r="L77" s="144">
        <v>6.2226140000000001</v>
      </c>
      <c r="M77" s="144">
        <v>6.0629080000000002</v>
      </c>
      <c r="N77" s="144">
        <v>5.9032020000000003</v>
      </c>
      <c r="O77" s="144">
        <v>5.7434960000000004</v>
      </c>
      <c r="P77" s="144">
        <v>5.5837890000000003</v>
      </c>
      <c r="Q77" s="144">
        <v>5.4240830000000004</v>
      </c>
      <c r="R77" s="144">
        <v>5.3107350000000002</v>
      </c>
      <c r="S77" s="144">
        <v>5.1973880000000001</v>
      </c>
      <c r="T77" s="144">
        <v>5.0840399999999999</v>
      </c>
      <c r="U77" s="144">
        <v>4.9706919999999997</v>
      </c>
      <c r="V77" s="144">
        <v>4.8573440000000003</v>
      </c>
      <c r="W77" s="144">
        <v>4.7790010000000001</v>
      </c>
      <c r="X77" s="144">
        <v>4.7006579999999998</v>
      </c>
      <c r="Y77" s="144">
        <v>4.6223150000000004</v>
      </c>
      <c r="Z77" s="144">
        <v>4.5439720000000001</v>
      </c>
      <c r="AA77" s="144">
        <v>4.4656279999999997</v>
      </c>
      <c r="AB77" s="144">
        <v>4.4148969999999998</v>
      </c>
      <c r="AC77" s="144">
        <v>4.3641649999999998</v>
      </c>
      <c r="AD77" s="144">
        <v>4.3134329999999999</v>
      </c>
      <c r="AE77" s="144">
        <v>4.2627009999999999</v>
      </c>
      <c r="AF77" s="144">
        <v>4.21197</v>
      </c>
      <c r="AG77" s="144">
        <v>4.1842040000000003</v>
      </c>
      <c r="AH77" s="144">
        <v>4.1564379999999996</v>
      </c>
      <c r="AI77" s="144">
        <v>4.1286719999999999</v>
      </c>
      <c r="AJ77" s="144">
        <v>4.1009060000000002</v>
      </c>
      <c r="AK77" s="144">
        <v>4.0731400000000004</v>
      </c>
      <c r="AL77" s="144">
        <v>4.0462889999999998</v>
      </c>
      <c r="AM77" s="144">
        <v>4.0194380000000001</v>
      </c>
      <c r="AN77" s="144">
        <v>3.9925869999999999</v>
      </c>
      <c r="AO77" s="144">
        <v>3.9657360000000001</v>
      </c>
      <c r="AP77" s="144">
        <v>3.938885</v>
      </c>
      <c r="AQ77" s="144">
        <v>3.9129200000000002</v>
      </c>
      <c r="AR77" s="144">
        <v>3.8869539999999998</v>
      </c>
      <c r="AS77" s="144">
        <v>3.8609879999999999</v>
      </c>
      <c r="AT77" s="144">
        <v>3.8350219999999999</v>
      </c>
      <c r="AU77" s="144">
        <v>3.809056</v>
      </c>
      <c r="AV77" s="144">
        <v>3.7839459999999998</v>
      </c>
      <c r="AW77" s="144">
        <v>3.7588360000000001</v>
      </c>
      <c r="AX77" s="144">
        <v>3.7337259999999999</v>
      </c>
      <c r="AY77" s="144">
        <v>3.7086160000000001</v>
      </c>
      <c r="AZ77" s="144">
        <v>3.6835070000000001</v>
      </c>
      <c r="BA77" s="144">
        <v>3.659224</v>
      </c>
      <c r="BB77" s="144">
        <v>3.6349420000000001</v>
      </c>
      <c r="BC77" s="144">
        <v>3.6106600000000002</v>
      </c>
      <c r="BD77" s="144">
        <v>3.5863770000000001</v>
      </c>
      <c r="BE77" s="144">
        <v>3.5620949999999998</v>
      </c>
    </row>
    <row r="78" spans="1:57" ht="14.25" customHeight="1" x14ac:dyDescent="0.45">
      <c r="A78" s="618"/>
      <c r="B78" s="400"/>
      <c r="C78" s="401"/>
      <c r="D78" s="404" t="s">
        <v>25</v>
      </c>
      <c r="E78" s="406">
        <f t="shared" ref="E78:BE78" si="10">SUM(E76:E77)</f>
        <v>10.120661842269168</v>
      </c>
      <c r="F78" s="406">
        <f t="shared" si="10"/>
        <v>9.8072233758628826</v>
      </c>
      <c r="G78" s="406">
        <f t="shared" si="10"/>
        <v>9.4597611033801403</v>
      </c>
      <c r="H78" s="416">
        <f t="shared" si="10"/>
        <v>9.2787993296284625</v>
      </c>
      <c r="I78" s="144">
        <f t="shared" si="10"/>
        <v>8.7077469335054865</v>
      </c>
      <c r="J78" s="144">
        <f t="shared" si="10"/>
        <v>8.9592999999999989</v>
      </c>
      <c r="K78" s="144">
        <f t="shared" si="10"/>
        <v>8.8259809999999987</v>
      </c>
      <c r="L78" s="144">
        <f t="shared" si="10"/>
        <v>8.642614</v>
      </c>
      <c r="M78" s="144">
        <f t="shared" si="10"/>
        <v>8.5629080000000002</v>
      </c>
      <c r="N78" s="144">
        <f t="shared" si="10"/>
        <v>8.4632020000000008</v>
      </c>
      <c r="O78" s="144">
        <f t="shared" si="10"/>
        <v>8.3934960000000007</v>
      </c>
      <c r="P78" s="144">
        <f t="shared" si="10"/>
        <v>8.2637890000000009</v>
      </c>
      <c r="Q78" s="144">
        <f t="shared" si="10"/>
        <v>8.1840830000000011</v>
      </c>
      <c r="R78" s="144">
        <f t="shared" si="10"/>
        <v>8.1407349999999994</v>
      </c>
      <c r="S78" s="144">
        <f t="shared" si="10"/>
        <v>8.1073880000000003</v>
      </c>
      <c r="T78" s="144">
        <f t="shared" si="10"/>
        <v>8.0640400000000003</v>
      </c>
      <c r="U78" s="144">
        <f t="shared" si="10"/>
        <v>8.0306920000000002</v>
      </c>
      <c r="V78" s="144">
        <f t="shared" si="10"/>
        <v>7.9673440000000006</v>
      </c>
      <c r="W78" s="144">
        <f t="shared" si="10"/>
        <v>7.989001</v>
      </c>
      <c r="X78" s="144">
        <f t="shared" si="10"/>
        <v>7.9606579999999996</v>
      </c>
      <c r="Y78" s="144">
        <f t="shared" si="10"/>
        <v>7.972315</v>
      </c>
      <c r="Z78" s="144">
        <f t="shared" si="10"/>
        <v>7.9639720000000001</v>
      </c>
      <c r="AA78" s="144">
        <f t="shared" si="10"/>
        <v>7.9656279999999997</v>
      </c>
      <c r="AB78" s="144">
        <f t="shared" si="10"/>
        <v>7.9848970000000001</v>
      </c>
      <c r="AC78" s="144">
        <f t="shared" si="10"/>
        <v>8.024165</v>
      </c>
      <c r="AD78" s="144">
        <f t="shared" si="10"/>
        <v>8.0234330000000007</v>
      </c>
      <c r="AE78" s="144">
        <f t="shared" si="10"/>
        <v>8.052700999999999</v>
      </c>
      <c r="AF78" s="144">
        <f t="shared" si="10"/>
        <v>8.0619700000000005</v>
      </c>
      <c r="AG78" s="144">
        <f t="shared" si="10"/>
        <v>8.1242040000000006</v>
      </c>
      <c r="AH78" s="144">
        <f t="shared" si="10"/>
        <v>8.1564379999999996</v>
      </c>
      <c r="AI78" s="144">
        <f t="shared" si="10"/>
        <v>8.208672</v>
      </c>
      <c r="AJ78" s="144">
        <f t="shared" si="10"/>
        <v>8.240905999999999</v>
      </c>
      <c r="AK78" s="144">
        <f t="shared" si="10"/>
        <v>8.2931400000000011</v>
      </c>
      <c r="AL78" s="144">
        <f t="shared" si="10"/>
        <v>8.3462889999999987</v>
      </c>
      <c r="AM78" s="144">
        <f t="shared" si="10"/>
        <v>8.399438</v>
      </c>
      <c r="AN78" s="144">
        <f t="shared" si="10"/>
        <v>8.4625869999999992</v>
      </c>
      <c r="AO78" s="144">
        <f t="shared" si="10"/>
        <v>8.5157360000000004</v>
      </c>
      <c r="AP78" s="144">
        <f t="shared" si="10"/>
        <v>8.5688849999999999</v>
      </c>
      <c r="AQ78" s="144">
        <f t="shared" si="10"/>
        <v>8.6329200000000004</v>
      </c>
      <c r="AR78" s="144">
        <f t="shared" si="10"/>
        <v>8.6969539999999999</v>
      </c>
      <c r="AS78" s="144">
        <f t="shared" si="10"/>
        <v>8.7509879999999995</v>
      </c>
      <c r="AT78" s="144">
        <f t="shared" si="10"/>
        <v>8.8150220000000008</v>
      </c>
      <c r="AU78" s="144">
        <f t="shared" si="10"/>
        <v>8.8790560000000003</v>
      </c>
      <c r="AV78" s="144">
        <f t="shared" si="10"/>
        <v>8.9539460000000002</v>
      </c>
      <c r="AW78" s="144">
        <f t="shared" si="10"/>
        <v>9.0188360000000003</v>
      </c>
      <c r="AX78" s="144">
        <f t="shared" si="10"/>
        <v>9.0937260000000002</v>
      </c>
      <c r="AY78" s="144">
        <f t="shared" si="10"/>
        <v>9.1686160000000001</v>
      </c>
      <c r="AZ78" s="144">
        <f t="shared" si="10"/>
        <v>9.2435069999999993</v>
      </c>
      <c r="BA78" s="144">
        <f t="shared" si="10"/>
        <v>9.3192240000000002</v>
      </c>
      <c r="BB78" s="144">
        <f t="shared" si="10"/>
        <v>9.4049420000000001</v>
      </c>
      <c r="BC78" s="144">
        <f t="shared" si="10"/>
        <v>9.4906600000000001</v>
      </c>
      <c r="BD78" s="144">
        <f t="shared" si="10"/>
        <v>9.5763770000000008</v>
      </c>
      <c r="BE78" s="144">
        <f t="shared" si="10"/>
        <v>9.662094999999999</v>
      </c>
    </row>
    <row r="79" spans="1:57" ht="14.25" customHeight="1" x14ac:dyDescent="0.45">
      <c r="A79" s="618"/>
      <c r="B79" s="400"/>
      <c r="C79" s="401"/>
      <c r="D79" s="410"/>
      <c r="E79" s="401"/>
      <c r="F79" s="417"/>
      <c r="G79" s="417"/>
      <c r="H79" s="417"/>
      <c r="I79" s="417"/>
      <c r="J79" s="417"/>
      <c r="K79" s="417"/>
      <c r="L79" s="417"/>
      <c r="M79" s="417"/>
      <c r="N79" s="417"/>
      <c r="O79" s="417"/>
      <c r="P79" s="417"/>
      <c r="Q79" s="417"/>
      <c r="R79" s="417"/>
      <c r="S79" s="417"/>
      <c r="T79" s="417"/>
      <c r="U79" s="417"/>
      <c r="V79" s="417"/>
      <c r="W79" s="417"/>
      <c r="X79" s="417"/>
      <c r="Y79" s="417"/>
      <c r="Z79" s="417"/>
      <c r="AA79" s="417"/>
      <c r="AB79" s="417"/>
      <c r="AC79" s="417"/>
      <c r="AD79" s="417"/>
      <c r="AE79" s="417"/>
      <c r="AF79" s="417"/>
      <c r="AG79" s="417"/>
      <c r="AH79" s="417"/>
      <c r="AI79" s="417"/>
      <c r="AJ79" s="417"/>
      <c r="AK79" s="417"/>
      <c r="AL79" s="417"/>
      <c r="AM79" s="417"/>
      <c r="AN79" s="417"/>
      <c r="AO79" s="417"/>
      <c r="AP79" s="417"/>
      <c r="AQ79" s="417"/>
      <c r="AR79" s="417"/>
      <c r="AS79" s="417"/>
      <c r="AT79" s="417"/>
      <c r="AU79" s="417"/>
      <c r="AV79" s="417"/>
      <c r="AW79" s="417"/>
      <c r="AX79" s="417"/>
      <c r="AY79" s="417"/>
      <c r="AZ79" s="417"/>
      <c r="BA79" s="417"/>
      <c r="BB79" s="417"/>
      <c r="BC79" s="417"/>
      <c r="BD79" s="417"/>
      <c r="BE79" s="417"/>
    </row>
    <row r="80" spans="1:57" ht="14.25" customHeight="1" x14ac:dyDescent="0.45">
      <c r="A80" s="618"/>
      <c r="B80" s="400"/>
      <c r="C80" s="401"/>
      <c r="D80" s="404" t="s">
        <v>518</v>
      </c>
      <c r="E80" s="403"/>
      <c r="F80" s="403"/>
      <c r="G80" s="403"/>
      <c r="H80" s="403"/>
      <c r="I80" s="403"/>
      <c r="J80" s="403"/>
      <c r="K80" s="403"/>
      <c r="L80" s="403"/>
      <c r="M80" s="403"/>
      <c r="N80" s="403"/>
      <c r="O80" s="403"/>
      <c r="P80" s="403"/>
      <c r="Q80" s="403"/>
      <c r="R80" s="403"/>
      <c r="S80" s="403"/>
      <c r="T80" s="403"/>
      <c r="U80" s="403"/>
      <c r="V80" s="403"/>
      <c r="W80" s="403"/>
      <c r="X80" s="403"/>
      <c r="Y80" s="403"/>
      <c r="Z80" s="403"/>
      <c r="AA80" s="403"/>
      <c r="AB80" s="403"/>
      <c r="AC80" s="403"/>
      <c r="AD80" s="403"/>
      <c r="AE80" s="403"/>
      <c r="AF80" s="403"/>
      <c r="AG80" s="403"/>
      <c r="AH80" s="403"/>
      <c r="AI80" s="403"/>
      <c r="AJ80" s="403"/>
      <c r="AK80" s="403"/>
      <c r="AL80" s="403"/>
      <c r="AM80" s="403"/>
      <c r="AN80" s="403"/>
      <c r="AO80" s="403"/>
      <c r="AP80" s="403"/>
      <c r="AQ80" s="403"/>
      <c r="AR80" s="403"/>
      <c r="AS80" s="403"/>
      <c r="AT80" s="403"/>
      <c r="AU80" s="403"/>
      <c r="AV80" s="403"/>
      <c r="AW80" s="403"/>
      <c r="AX80" s="403"/>
      <c r="AY80" s="403"/>
      <c r="AZ80" s="403"/>
      <c r="BA80" s="403"/>
      <c r="BB80" s="403"/>
      <c r="BC80" s="403"/>
      <c r="BD80" s="403"/>
      <c r="BE80" s="403"/>
    </row>
    <row r="81" spans="1:57" ht="14.25" customHeight="1" x14ac:dyDescent="0.45">
      <c r="A81" s="618"/>
      <c r="B81" s="400"/>
      <c r="C81" s="64" t="s">
        <v>519</v>
      </c>
      <c r="D81" s="405" t="s">
        <v>516</v>
      </c>
      <c r="E81" s="406">
        <f>'Copia de Demandas de energía '!D81*$E$89</f>
        <v>8.214677905071424</v>
      </c>
      <c r="F81" s="406">
        <f>'Copia de Demandas de energía '!E81*$E$89</f>
        <v>8.9578359928439468</v>
      </c>
      <c r="G81" s="406">
        <f>'Copia de Demandas de energía '!F81*$E$89</f>
        <v>9.0914695681679749</v>
      </c>
      <c r="H81" s="406">
        <f>'Copia de Demandas de energía '!G81*$E$89</f>
        <v>7.6698878333929388</v>
      </c>
      <c r="I81" s="144">
        <v>5.5353776630083926</v>
      </c>
      <c r="J81" s="144">
        <v>7.67</v>
      </c>
      <c r="K81" s="144">
        <v>7.67</v>
      </c>
      <c r="L81" s="144">
        <v>7.67</v>
      </c>
      <c r="M81" s="144">
        <v>7.67</v>
      </c>
      <c r="N81" s="144">
        <v>7.67</v>
      </c>
      <c r="O81" s="144">
        <v>7.67</v>
      </c>
      <c r="P81" s="144">
        <v>7.67</v>
      </c>
      <c r="Q81" s="144">
        <v>7.67</v>
      </c>
      <c r="R81" s="144">
        <v>7.67</v>
      </c>
      <c r="S81" s="144">
        <v>7.67</v>
      </c>
      <c r="T81" s="144">
        <v>7.67</v>
      </c>
      <c r="U81" s="144">
        <v>7.67</v>
      </c>
      <c r="V81" s="144">
        <v>7.67</v>
      </c>
      <c r="W81" s="144">
        <v>7.67</v>
      </c>
      <c r="X81" s="144">
        <v>7.67</v>
      </c>
      <c r="Y81" s="144">
        <v>7.67</v>
      </c>
      <c r="Z81" s="144">
        <v>7.67</v>
      </c>
      <c r="AA81" s="144">
        <v>7.67</v>
      </c>
      <c r="AB81" s="144">
        <v>7.67</v>
      </c>
      <c r="AC81" s="144">
        <v>7.67</v>
      </c>
      <c r="AD81" s="144">
        <v>7.67</v>
      </c>
      <c r="AE81" s="144">
        <v>7.67</v>
      </c>
      <c r="AF81" s="144">
        <v>7.67</v>
      </c>
      <c r="AG81" s="144">
        <v>7.67</v>
      </c>
      <c r="AH81" s="144">
        <v>7.67</v>
      </c>
      <c r="AI81" s="144">
        <v>7.67</v>
      </c>
      <c r="AJ81" s="144">
        <v>7.67</v>
      </c>
      <c r="AK81" s="144">
        <v>7.67</v>
      </c>
      <c r="AL81" s="144">
        <v>7.67</v>
      </c>
      <c r="AM81" s="144">
        <v>7.67</v>
      </c>
      <c r="AN81" s="144">
        <v>7.67</v>
      </c>
      <c r="AO81" s="144">
        <v>7.67</v>
      </c>
      <c r="AP81" s="144">
        <v>7.67</v>
      </c>
      <c r="AQ81" s="144">
        <v>7.67</v>
      </c>
      <c r="AR81" s="144">
        <v>7.67</v>
      </c>
      <c r="AS81" s="144">
        <v>7.67</v>
      </c>
      <c r="AT81" s="144">
        <v>7.67</v>
      </c>
      <c r="AU81" s="144">
        <v>7.67</v>
      </c>
      <c r="AV81" s="144">
        <v>7.67</v>
      </c>
      <c r="AW81" s="144">
        <v>7.67</v>
      </c>
      <c r="AX81" s="144">
        <v>7.67</v>
      </c>
      <c r="AY81" s="144">
        <v>7.67</v>
      </c>
      <c r="AZ81" s="144">
        <v>7.67</v>
      </c>
      <c r="BA81" s="144">
        <v>7.67</v>
      </c>
      <c r="BB81" s="144">
        <v>7.67</v>
      </c>
      <c r="BC81" s="144">
        <v>7.67</v>
      </c>
      <c r="BD81" s="144">
        <v>7.67</v>
      </c>
      <c r="BE81" s="144">
        <v>7.67</v>
      </c>
    </row>
    <row r="82" spans="1:57" ht="14.25" customHeight="1" x14ac:dyDescent="0.45">
      <c r="A82" s="618"/>
      <c r="B82" s="400"/>
      <c r="C82" s="401"/>
      <c r="D82" s="410"/>
      <c r="E82" s="401"/>
      <c r="F82" s="401"/>
      <c r="G82" s="401"/>
      <c r="H82" s="401"/>
      <c r="I82" s="401"/>
      <c r="J82" s="401"/>
      <c r="K82" s="401"/>
      <c r="L82" s="401"/>
      <c r="M82" s="401"/>
      <c r="N82" s="401"/>
      <c r="O82" s="401"/>
      <c r="P82" s="401"/>
      <c r="Q82" s="401"/>
      <c r="R82" s="401"/>
      <c r="S82" s="401"/>
      <c r="T82" s="401"/>
      <c r="U82" s="401"/>
      <c r="V82" s="401"/>
      <c r="W82" s="401"/>
      <c r="X82" s="401"/>
      <c r="Y82" s="401"/>
      <c r="Z82" s="401"/>
      <c r="AA82" s="401"/>
      <c r="AB82" s="401"/>
      <c r="AC82" s="401"/>
      <c r="AD82" s="401"/>
      <c r="AE82" s="401"/>
      <c r="AF82" s="401"/>
      <c r="AG82" s="401"/>
      <c r="AH82" s="401"/>
      <c r="AI82" s="401"/>
      <c r="AJ82" s="401"/>
      <c r="AK82" s="401"/>
      <c r="AL82" s="401"/>
      <c r="AM82" s="401"/>
      <c r="AN82" s="401"/>
      <c r="AO82" s="401"/>
      <c r="AP82" s="401"/>
      <c r="AQ82" s="401"/>
      <c r="AR82" s="401"/>
      <c r="AS82" s="401"/>
      <c r="AT82" s="401"/>
      <c r="AU82" s="401"/>
      <c r="AV82" s="401"/>
      <c r="AW82" s="401"/>
      <c r="AX82" s="401"/>
      <c r="AY82" s="401"/>
      <c r="AZ82" s="401"/>
      <c r="BA82" s="401"/>
      <c r="BB82" s="401"/>
      <c r="BC82" s="401"/>
      <c r="BD82" s="401"/>
      <c r="BE82" s="401"/>
    </row>
    <row r="83" spans="1:57" ht="14.25" customHeight="1" x14ac:dyDescent="0.45">
      <c r="A83" s="618"/>
      <c r="B83" s="400"/>
      <c r="C83" s="401"/>
      <c r="D83" s="404" t="s">
        <v>520</v>
      </c>
      <c r="E83" s="403"/>
      <c r="F83" s="403"/>
      <c r="G83" s="403"/>
      <c r="H83" s="403"/>
      <c r="I83" s="403"/>
      <c r="J83" s="403"/>
      <c r="K83" s="403"/>
      <c r="L83" s="403"/>
      <c r="M83" s="403"/>
      <c r="N83" s="403"/>
      <c r="O83" s="403"/>
      <c r="P83" s="403"/>
      <c r="Q83" s="403"/>
      <c r="R83" s="403"/>
      <c r="S83" s="403"/>
      <c r="T83" s="403"/>
      <c r="U83" s="403"/>
      <c r="V83" s="403"/>
      <c r="W83" s="403"/>
      <c r="X83" s="403"/>
      <c r="Y83" s="403"/>
      <c r="Z83" s="403"/>
      <c r="AA83" s="403"/>
      <c r="AB83" s="403"/>
      <c r="AC83" s="403"/>
      <c r="AD83" s="403"/>
      <c r="AE83" s="403"/>
      <c r="AF83" s="403"/>
      <c r="AG83" s="403"/>
      <c r="AH83" s="403"/>
      <c r="AI83" s="403"/>
      <c r="AJ83" s="403"/>
      <c r="AK83" s="403"/>
      <c r="AL83" s="403"/>
      <c r="AM83" s="403"/>
      <c r="AN83" s="403"/>
      <c r="AO83" s="403"/>
      <c r="AP83" s="403"/>
      <c r="AQ83" s="403"/>
      <c r="AR83" s="403"/>
      <c r="AS83" s="403"/>
      <c r="AT83" s="403"/>
      <c r="AU83" s="403"/>
      <c r="AV83" s="403"/>
      <c r="AW83" s="403"/>
      <c r="AX83" s="403"/>
      <c r="AY83" s="403"/>
      <c r="AZ83" s="403"/>
      <c r="BA83" s="403"/>
      <c r="BB83" s="403"/>
      <c r="BC83" s="403"/>
      <c r="BD83" s="403"/>
      <c r="BE83" s="403"/>
    </row>
    <row r="84" spans="1:57" ht="14.25" customHeight="1" x14ac:dyDescent="0.45">
      <c r="A84" s="618"/>
      <c r="B84" s="400"/>
      <c r="C84" s="401"/>
      <c r="D84" s="408" t="s">
        <v>516</v>
      </c>
      <c r="E84" s="403"/>
      <c r="F84" s="403"/>
      <c r="G84" s="403"/>
      <c r="H84" s="403"/>
      <c r="I84" s="403"/>
      <c r="J84" s="403"/>
      <c r="K84" s="403"/>
      <c r="L84" s="403"/>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03"/>
      <c r="AL84" s="403"/>
      <c r="AM84" s="403"/>
      <c r="AN84" s="403"/>
      <c r="AO84" s="403"/>
      <c r="AP84" s="403"/>
      <c r="AQ84" s="403"/>
      <c r="AR84" s="403"/>
      <c r="AS84" s="403"/>
      <c r="AT84" s="403"/>
      <c r="AU84" s="403"/>
      <c r="AV84" s="403"/>
      <c r="AW84" s="403"/>
      <c r="AX84" s="403"/>
      <c r="AY84" s="403"/>
      <c r="AZ84" s="403"/>
      <c r="BA84" s="403"/>
      <c r="BB84" s="403"/>
      <c r="BC84" s="403"/>
      <c r="BD84" s="403"/>
      <c r="BE84" s="403"/>
    </row>
    <row r="85" spans="1:57" ht="14.25" customHeight="1" x14ac:dyDescent="0.45">
      <c r="A85" s="618"/>
      <c r="B85" s="400"/>
      <c r="C85" s="401"/>
      <c r="D85" s="410"/>
      <c r="E85" s="401"/>
      <c r="F85" s="401"/>
      <c r="G85" s="401"/>
      <c r="H85" s="401"/>
      <c r="I85" s="401"/>
      <c r="J85" s="401"/>
      <c r="K85" s="401"/>
      <c r="L85" s="401"/>
      <c r="M85" s="401"/>
      <c r="N85" s="401"/>
      <c r="O85" s="401"/>
      <c r="P85" s="401"/>
      <c r="Q85" s="401"/>
      <c r="R85" s="401"/>
      <c r="S85" s="401"/>
      <c r="T85" s="401"/>
      <c r="U85" s="401"/>
      <c r="V85" s="401"/>
      <c r="W85" s="401"/>
      <c r="X85" s="401"/>
      <c r="Y85" s="401"/>
      <c r="Z85" s="401"/>
      <c r="AA85" s="401"/>
      <c r="AB85" s="401"/>
      <c r="AC85" s="401"/>
      <c r="AD85" s="401"/>
      <c r="AE85" s="401"/>
      <c r="AF85" s="401"/>
      <c r="AG85" s="401"/>
      <c r="AH85" s="401"/>
      <c r="AI85" s="401"/>
      <c r="AJ85" s="401"/>
      <c r="AK85" s="401"/>
      <c r="AL85" s="401"/>
      <c r="AM85" s="401"/>
      <c r="AN85" s="401"/>
      <c r="AO85" s="401"/>
      <c r="AP85" s="401"/>
      <c r="AQ85" s="401"/>
      <c r="AR85" s="401"/>
      <c r="AS85" s="401"/>
      <c r="AT85" s="401"/>
      <c r="AU85" s="401"/>
      <c r="AV85" s="401"/>
      <c r="AW85" s="401"/>
      <c r="AX85" s="401"/>
      <c r="AY85" s="401"/>
      <c r="AZ85" s="401"/>
      <c r="BA85" s="401"/>
      <c r="BB85" s="401"/>
      <c r="BC85" s="401"/>
      <c r="BD85" s="401"/>
      <c r="BE85" s="401"/>
    </row>
    <row r="86" spans="1:57" ht="14.25" customHeight="1" x14ac:dyDescent="0.45">
      <c r="A86" s="1"/>
      <c r="B86" s="1"/>
      <c r="C86" s="1">
        <v>1</v>
      </c>
      <c r="D86" s="1">
        <v>2</v>
      </c>
      <c r="E86" s="1">
        <v>3</v>
      </c>
      <c r="F86" s="1">
        <v>4</v>
      </c>
      <c r="G86" s="1">
        <v>5</v>
      </c>
      <c r="H86" s="1">
        <v>6</v>
      </c>
      <c r="I86" s="1">
        <v>7</v>
      </c>
      <c r="J86" s="1">
        <v>8</v>
      </c>
      <c r="K86" s="1">
        <v>9</v>
      </c>
      <c r="L86" s="1">
        <v>10</v>
      </c>
      <c r="M86" s="1">
        <v>11</v>
      </c>
      <c r="N86" s="1">
        <v>12</v>
      </c>
      <c r="O86" s="1">
        <v>13</v>
      </c>
      <c r="P86" s="1">
        <v>14</v>
      </c>
      <c r="Q86" s="1">
        <v>15</v>
      </c>
      <c r="R86" s="1">
        <v>16</v>
      </c>
      <c r="S86" s="1">
        <v>17</v>
      </c>
      <c r="T86" s="1">
        <v>18</v>
      </c>
      <c r="U86" s="1">
        <v>19</v>
      </c>
      <c r="V86" s="1">
        <v>20</v>
      </c>
      <c r="W86" s="1">
        <v>21</v>
      </c>
      <c r="X86" s="1">
        <v>22</v>
      </c>
      <c r="Y86" s="1">
        <v>23</v>
      </c>
      <c r="Z86" s="1">
        <v>24</v>
      </c>
      <c r="AA86" s="1">
        <v>25</v>
      </c>
      <c r="AB86" s="1">
        <v>26</v>
      </c>
      <c r="AC86" s="1">
        <v>27</v>
      </c>
      <c r="AD86" s="1">
        <v>28</v>
      </c>
      <c r="AE86" s="1">
        <v>29</v>
      </c>
      <c r="AF86" s="1">
        <v>30</v>
      </c>
      <c r="AG86" s="1">
        <v>31</v>
      </c>
      <c r="AH86" s="1">
        <v>32</v>
      </c>
      <c r="AI86" s="1">
        <v>33</v>
      </c>
      <c r="AJ86" s="1">
        <v>34</v>
      </c>
      <c r="AK86" s="1">
        <v>35</v>
      </c>
      <c r="AL86" s="1">
        <v>36</v>
      </c>
      <c r="AM86" s="1">
        <v>37</v>
      </c>
      <c r="AN86" s="1">
        <v>38</v>
      </c>
      <c r="AO86" s="1">
        <v>39</v>
      </c>
      <c r="AP86" s="1">
        <v>40</v>
      </c>
      <c r="AQ86" s="1">
        <v>41</v>
      </c>
      <c r="AR86" s="1">
        <v>42</v>
      </c>
      <c r="AS86" s="1">
        <v>43</v>
      </c>
      <c r="AT86" s="1">
        <v>44</v>
      </c>
      <c r="AU86" s="1">
        <v>45</v>
      </c>
      <c r="AV86" s="1">
        <v>46</v>
      </c>
      <c r="AW86" s="1">
        <v>47</v>
      </c>
      <c r="AX86" s="1">
        <v>48</v>
      </c>
      <c r="AY86" s="1">
        <v>49</v>
      </c>
      <c r="AZ86" s="1">
        <v>50</v>
      </c>
      <c r="BA86" s="1">
        <v>51</v>
      </c>
      <c r="BB86" s="1">
        <v>52</v>
      </c>
      <c r="BC86" s="1">
        <v>53</v>
      </c>
      <c r="BD86" s="1">
        <v>54</v>
      </c>
      <c r="BE86" s="1">
        <v>55</v>
      </c>
    </row>
    <row r="87" spans="1:57" ht="14.25" customHeight="1" x14ac:dyDescent="0.45">
      <c r="A87" s="1"/>
      <c r="B87" s="1"/>
      <c r="C87" s="1"/>
      <c r="D87" s="14" t="s">
        <v>138</v>
      </c>
      <c r="E87" s="6"/>
      <c r="F87" s="6"/>
      <c r="G87" s="6"/>
      <c r="H87" s="6"/>
      <c r="I87" s="618"/>
      <c r="J87" s="618"/>
      <c r="K87" s="618"/>
      <c r="L87" s="618"/>
      <c r="M87" s="618"/>
      <c r="N87" s="618"/>
      <c r="O87" s="618"/>
      <c r="P87" s="618"/>
      <c r="Q87" s="618"/>
      <c r="R87" s="618"/>
      <c r="S87" s="618"/>
      <c r="T87" s="618"/>
      <c r="U87" s="618"/>
      <c r="V87" s="618"/>
      <c r="W87" s="618"/>
      <c r="X87" s="618"/>
      <c r="Y87" s="618"/>
      <c r="Z87" s="618"/>
      <c r="AA87" s="618"/>
      <c r="AB87" s="618"/>
      <c r="AC87" s="618"/>
      <c r="AD87" s="618"/>
      <c r="AE87" s="618"/>
      <c r="AF87" s="618"/>
      <c r="AG87" s="618"/>
      <c r="AH87" s="618"/>
      <c r="AI87" s="618"/>
      <c r="AJ87" s="618"/>
      <c r="AK87" s="618"/>
      <c r="AL87" s="618"/>
      <c r="AM87" s="3"/>
      <c r="AN87" s="3"/>
      <c r="AO87" s="3"/>
      <c r="AP87" s="3"/>
      <c r="AQ87" s="3"/>
      <c r="AR87" s="3"/>
      <c r="AS87" s="3"/>
      <c r="AT87" s="3"/>
      <c r="AU87" s="3"/>
      <c r="AV87" s="3"/>
      <c r="AW87" s="3"/>
      <c r="AX87" s="3"/>
      <c r="AY87" s="3"/>
      <c r="AZ87" s="3"/>
      <c r="BA87" s="3"/>
      <c r="BB87" s="3"/>
      <c r="BC87" s="3"/>
      <c r="BD87" s="3"/>
      <c r="BE87" s="3"/>
    </row>
    <row r="88" spans="1:57" ht="14.25" customHeight="1" x14ac:dyDescent="0.45">
      <c r="A88" s="1"/>
      <c r="B88" s="1"/>
      <c r="C88" s="1"/>
      <c r="D88" s="5"/>
      <c r="E88" s="24"/>
      <c r="F88" s="24"/>
      <c r="G88" s="24"/>
      <c r="H88" s="25"/>
      <c r="I88" s="618"/>
      <c r="J88" s="618"/>
      <c r="K88" s="618"/>
      <c r="L88" s="618"/>
      <c r="M88" s="618"/>
      <c r="N88" s="618"/>
      <c r="O88" s="618"/>
      <c r="P88" s="618"/>
      <c r="Q88" s="618"/>
      <c r="R88" s="618"/>
      <c r="S88" s="618"/>
      <c r="T88" s="618"/>
      <c r="U88" s="618"/>
      <c r="V88" s="618"/>
      <c r="W88" s="618"/>
      <c r="X88" s="618"/>
      <c r="Y88" s="618"/>
      <c r="Z88" s="618"/>
      <c r="AA88" s="618"/>
      <c r="AB88" s="618"/>
      <c r="AC88" s="618"/>
      <c r="AD88" s="618"/>
      <c r="AE88" s="618"/>
      <c r="AF88" s="618"/>
      <c r="AG88" s="618"/>
      <c r="AH88" s="618"/>
      <c r="AI88" s="618"/>
      <c r="AJ88" s="618"/>
      <c r="AK88" s="618"/>
      <c r="AL88" s="618"/>
      <c r="AM88" s="3"/>
      <c r="AN88" s="3"/>
      <c r="AO88" s="3"/>
      <c r="AP88" s="3"/>
      <c r="AQ88" s="3"/>
      <c r="AR88" s="3"/>
      <c r="AS88" s="3"/>
      <c r="AT88" s="3"/>
      <c r="AU88" s="3"/>
      <c r="AV88" s="3"/>
      <c r="AW88" s="3"/>
      <c r="AX88" s="3"/>
      <c r="AY88" s="3"/>
      <c r="AZ88" s="3"/>
      <c r="BA88" s="3"/>
      <c r="BB88" s="3"/>
      <c r="BC88" s="3"/>
      <c r="BD88" s="3"/>
      <c r="BE88" s="3"/>
    </row>
    <row r="89" spans="1:57" ht="14.25" customHeight="1" x14ac:dyDescent="0.45">
      <c r="A89" s="1"/>
      <c r="B89" s="1"/>
      <c r="C89" s="1"/>
      <c r="D89" s="198" t="s">
        <v>151</v>
      </c>
      <c r="E89" s="202">
        <f>(G89*I89*K89*M89*O89)/(I90*K90*M90*O90)</f>
        <v>5.8065553845323302E-3</v>
      </c>
      <c r="F89" s="200" t="s">
        <v>152</v>
      </c>
      <c r="G89" s="16">
        <v>1</v>
      </c>
      <c r="H89" s="201" t="s">
        <v>140</v>
      </c>
      <c r="I89" s="16">
        <v>1000</v>
      </c>
      <c r="J89" s="16" t="s">
        <v>150</v>
      </c>
      <c r="K89" s="16">
        <v>1</v>
      </c>
      <c r="L89" s="16" t="s">
        <v>153</v>
      </c>
      <c r="M89" s="65">
        <v>41.84</v>
      </c>
      <c r="N89" s="16" t="s">
        <v>154</v>
      </c>
      <c r="O89" s="16">
        <v>1</v>
      </c>
      <c r="P89" s="16" t="s">
        <v>152</v>
      </c>
      <c r="Q89" s="16"/>
      <c r="R89" s="16"/>
      <c r="S89" s="16"/>
      <c r="T89" s="16"/>
      <c r="U89" s="16"/>
      <c r="V89" s="16"/>
      <c r="W89" s="16"/>
      <c r="X89" s="16"/>
      <c r="Y89" s="16"/>
      <c r="Z89" s="16"/>
      <c r="AA89" s="16"/>
      <c r="AB89" s="16"/>
      <c r="AC89" s="16"/>
      <c r="AD89" s="16"/>
      <c r="AE89" s="16"/>
      <c r="AF89" s="16"/>
      <c r="AG89" s="16"/>
      <c r="AH89" s="16"/>
      <c r="AI89" s="16"/>
      <c r="AJ89" s="16"/>
      <c r="AK89" s="16"/>
      <c r="AL89" s="16"/>
      <c r="AM89" s="3"/>
      <c r="AN89" s="3"/>
      <c r="AO89" s="3"/>
      <c r="AP89" s="3"/>
      <c r="AQ89" s="3"/>
      <c r="AR89" s="3"/>
      <c r="AS89" s="3"/>
      <c r="AT89" s="3"/>
      <c r="AU89" s="3"/>
      <c r="AV89" s="3"/>
      <c r="AW89" s="3"/>
      <c r="AX89" s="3"/>
      <c r="AY89" s="3"/>
      <c r="AZ89" s="3"/>
      <c r="BA89" s="3"/>
      <c r="BB89" s="3"/>
      <c r="BC89" s="3"/>
      <c r="BD89" s="3"/>
      <c r="BE89" s="3"/>
    </row>
    <row r="90" spans="1:57" ht="14.25" customHeight="1" x14ac:dyDescent="0.45">
      <c r="A90" s="1"/>
      <c r="B90" s="1"/>
      <c r="C90" s="1"/>
      <c r="D90" s="5"/>
      <c r="E90" s="3"/>
      <c r="F90" s="3"/>
      <c r="G90" s="3"/>
      <c r="H90" s="3"/>
      <c r="I90" s="16">
        <v>1</v>
      </c>
      <c r="J90" s="16" t="s">
        <v>140</v>
      </c>
      <c r="K90" s="65">
        <v>7.2056490000000002</v>
      </c>
      <c r="L90" s="16" t="s">
        <v>150</v>
      </c>
      <c r="M90" s="16">
        <v>1000</v>
      </c>
      <c r="N90" s="16" t="s">
        <v>153</v>
      </c>
      <c r="O90" s="16">
        <v>1000</v>
      </c>
      <c r="P90" s="16" t="s">
        <v>154</v>
      </c>
      <c r="Q90" s="16"/>
      <c r="R90" s="16"/>
      <c r="S90" s="16"/>
      <c r="T90" s="16"/>
      <c r="U90" s="16"/>
      <c r="V90" s="16"/>
      <c r="W90" s="16"/>
      <c r="X90" s="16"/>
      <c r="Y90" s="16"/>
      <c r="Z90" s="16"/>
      <c r="AA90" s="16"/>
      <c r="AB90" s="16"/>
      <c r="AC90" s="16"/>
      <c r="AD90" s="16"/>
      <c r="AE90" s="16"/>
      <c r="AF90" s="16"/>
      <c r="AG90" s="16"/>
      <c r="AH90" s="16"/>
      <c r="AI90" s="16"/>
      <c r="AJ90" s="16"/>
      <c r="AK90" s="16"/>
      <c r="AL90" s="16"/>
      <c r="AM90" s="3"/>
      <c r="AN90" s="3"/>
      <c r="AO90" s="3"/>
      <c r="AP90" s="3"/>
      <c r="AQ90" s="3"/>
      <c r="AR90" s="3"/>
      <c r="AS90" s="3"/>
      <c r="AT90" s="3"/>
      <c r="AU90" s="3"/>
      <c r="AV90" s="3"/>
      <c r="AW90" s="3"/>
      <c r="AX90" s="3"/>
      <c r="AY90" s="3"/>
      <c r="AZ90" s="3"/>
      <c r="BA90" s="3"/>
      <c r="BB90" s="3"/>
      <c r="BC90" s="3"/>
      <c r="BD90" s="3"/>
      <c r="BE90" s="3"/>
    </row>
    <row r="91" spans="1:57" ht="14.25" customHeight="1" x14ac:dyDescent="0.4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3"/>
      <c r="AN91" s="3"/>
      <c r="AO91" s="3"/>
      <c r="AP91" s="3"/>
      <c r="AQ91" s="3"/>
      <c r="AR91" s="3"/>
      <c r="AS91" s="3"/>
      <c r="AT91" s="3"/>
      <c r="AU91" s="3"/>
      <c r="AV91" s="3"/>
      <c r="AW91" s="3"/>
      <c r="AX91" s="3"/>
      <c r="AY91" s="3"/>
      <c r="AZ91" s="3"/>
      <c r="BA91" s="3"/>
      <c r="BB91" s="3"/>
      <c r="BC91" s="3"/>
      <c r="BD91" s="3"/>
      <c r="BE91" s="3"/>
    </row>
    <row r="92" spans="1:57" ht="14.25" customHeight="1" x14ac:dyDescent="0.45">
      <c r="A92" s="1"/>
      <c r="B92" s="1"/>
      <c r="C92" s="1"/>
      <c r="D92" s="3" t="s">
        <v>521</v>
      </c>
      <c r="E92" s="66">
        <v>0.1978992</v>
      </c>
      <c r="F92" s="66">
        <v>0.2033721</v>
      </c>
      <c r="G92" s="66">
        <v>0.208845</v>
      </c>
      <c r="H92" s="66">
        <v>0.21431790000000001</v>
      </c>
      <c r="I92" s="66">
        <v>0.21979080000000001</v>
      </c>
      <c r="J92" s="66">
        <v>0.22526370000000001</v>
      </c>
      <c r="K92" s="66">
        <v>0.23073660000000001</v>
      </c>
      <c r="L92" s="66">
        <v>0.23620950000000002</v>
      </c>
      <c r="M92" s="66">
        <v>0.24168240000000002</v>
      </c>
      <c r="N92" s="66">
        <v>0.24715530000000002</v>
      </c>
      <c r="O92" s="66">
        <v>0.25262820000000002</v>
      </c>
      <c r="P92" s="66">
        <v>0.25810110000000003</v>
      </c>
      <c r="Q92" s="66">
        <v>0.26357399999999997</v>
      </c>
      <c r="R92" s="66">
        <v>0.26565623999999999</v>
      </c>
      <c r="S92" s="66">
        <v>0.26773848</v>
      </c>
      <c r="T92" s="66">
        <v>0.26982072000000001</v>
      </c>
      <c r="U92" s="66">
        <v>0.27190296000000003</v>
      </c>
      <c r="V92" s="66">
        <v>0.27398520000000004</v>
      </c>
      <c r="W92" s="66">
        <v>0.27606744000000005</v>
      </c>
      <c r="X92" s="66">
        <v>0.27814968000000007</v>
      </c>
      <c r="Y92" s="66">
        <v>0.28023192000000008</v>
      </c>
      <c r="Z92" s="66">
        <v>0.28231416000000009</v>
      </c>
      <c r="AA92" s="66">
        <v>0.28439639999999999</v>
      </c>
      <c r="AB92" s="66">
        <v>0.28468080000000001</v>
      </c>
      <c r="AC92" s="66">
        <v>0.28496520000000003</v>
      </c>
      <c r="AD92" s="66">
        <v>0.28524960000000005</v>
      </c>
      <c r="AE92" s="66">
        <v>0.28553400000000007</v>
      </c>
      <c r="AF92" s="66">
        <v>0.28581840000000008</v>
      </c>
      <c r="AG92" s="66">
        <v>0.2861028000000001</v>
      </c>
      <c r="AH92" s="66">
        <v>0.28638720000000012</v>
      </c>
      <c r="AI92" s="66">
        <v>0.28667160000000014</v>
      </c>
      <c r="AJ92" s="66">
        <v>0.28695600000000016</v>
      </c>
      <c r="AK92" s="66">
        <v>0.28724040000000001</v>
      </c>
      <c r="AL92" s="418">
        <v>0.28699999999999998</v>
      </c>
      <c r="AM92" s="418">
        <v>0.28699999999999998</v>
      </c>
      <c r="AN92" s="418">
        <v>0.28699999999999998</v>
      </c>
      <c r="AO92" s="418">
        <v>0.28699999999999998</v>
      </c>
      <c r="AP92" s="418">
        <v>0.28699999999999998</v>
      </c>
      <c r="AQ92" s="418">
        <v>0.28699999999999998</v>
      </c>
      <c r="AR92" s="418">
        <v>0.28699999999999998</v>
      </c>
      <c r="AS92" s="418">
        <v>0.28699999999999998</v>
      </c>
      <c r="AT92" s="418">
        <v>0.28699999999999998</v>
      </c>
      <c r="AU92" s="418">
        <v>0.28699999999999998</v>
      </c>
      <c r="AV92" s="418">
        <v>0.28699999999999998</v>
      </c>
      <c r="AW92" s="418">
        <v>0.28699999999999998</v>
      </c>
      <c r="AX92" s="418">
        <v>0.28699999999999998</v>
      </c>
      <c r="AY92" s="418">
        <v>0.28699999999999998</v>
      </c>
      <c r="AZ92" s="418">
        <v>0.28699999999999998</v>
      </c>
      <c r="BA92" s="418">
        <v>0.28699999999999998</v>
      </c>
      <c r="BB92" s="418">
        <v>0.28699999999999998</v>
      </c>
      <c r="BC92" s="418">
        <v>0.28699999999999998</v>
      </c>
      <c r="BD92" s="418">
        <v>0.28699999999999998</v>
      </c>
      <c r="BE92" s="418">
        <v>0.28699999999999998</v>
      </c>
    </row>
    <row r="93" spans="1:57" ht="14.25" customHeight="1" x14ac:dyDescent="0.45">
      <c r="A93" s="1"/>
      <c r="B93" s="1"/>
      <c r="C93" s="1"/>
      <c r="D93" s="3" t="s">
        <v>522</v>
      </c>
      <c r="E93" s="66">
        <v>2.4110419783356579E-2</v>
      </c>
      <c r="F93" s="66">
        <v>2.4777193152992899E-2</v>
      </c>
      <c r="G93" s="66">
        <v>2.544396652262922E-2</v>
      </c>
      <c r="H93" s="66">
        <v>2.611073989226554E-2</v>
      </c>
      <c r="I93" s="66">
        <v>2.6777513261901864E-2</v>
      </c>
      <c r="J93" s="66">
        <v>2.7444286631538185E-2</v>
      </c>
      <c r="K93" s="66">
        <v>2.8111060001174505E-2</v>
      </c>
      <c r="L93" s="66">
        <v>2.8777833370810826E-2</v>
      </c>
      <c r="M93" s="66">
        <v>2.944460674044715E-2</v>
      </c>
      <c r="N93" s="66">
        <v>3.011138011008347E-2</v>
      </c>
      <c r="O93" s="66">
        <v>3.0778153479719791E-2</v>
      </c>
      <c r="P93" s="66">
        <v>3.1444926849356111E-2</v>
      </c>
      <c r="Q93" s="66">
        <v>3.2111700218992428E-2</v>
      </c>
      <c r="R93" s="66">
        <v>3.2365383308614298E-2</v>
      </c>
      <c r="S93" s="66">
        <v>3.2619066398236168E-2</v>
      </c>
      <c r="T93" s="66">
        <v>3.2872749487858045E-2</v>
      </c>
      <c r="U93" s="66">
        <v>3.3126432577479915E-2</v>
      </c>
      <c r="V93" s="66">
        <v>3.3380115667101785E-2</v>
      </c>
      <c r="W93" s="66">
        <v>3.3633798756723655E-2</v>
      </c>
      <c r="X93" s="66">
        <v>3.3887481846345525E-2</v>
      </c>
      <c r="Y93" s="66">
        <v>3.4141164935967402E-2</v>
      </c>
      <c r="Z93" s="66">
        <v>3.4394848025589272E-2</v>
      </c>
      <c r="AA93" s="66">
        <v>3.4648531115211129E-2</v>
      </c>
      <c r="AB93" s="66">
        <v>3.4683180084920898E-2</v>
      </c>
      <c r="AC93" s="66">
        <v>3.4717829054630667E-2</v>
      </c>
      <c r="AD93" s="66">
        <v>3.4752478024340429E-2</v>
      </c>
      <c r="AE93" s="66">
        <v>3.4787126994050198E-2</v>
      </c>
      <c r="AF93" s="66">
        <v>3.4821775963759967E-2</v>
      </c>
      <c r="AG93" s="66">
        <v>3.4856424933469729E-2</v>
      </c>
      <c r="AH93" s="66">
        <v>3.4891073903179498E-2</v>
      </c>
      <c r="AI93" s="66">
        <v>3.492572287288926E-2</v>
      </c>
      <c r="AJ93" s="66">
        <v>3.4960371842599029E-2</v>
      </c>
      <c r="AK93" s="66">
        <v>3.4995020812308777E-2</v>
      </c>
      <c r="AL93" s="418">
        <v>3.5000000000000003E-2</v>
      </c>
      <c r="AM93" s="418">
        <v>3.5000000000000003E-2</v>
      </c>
      <c r="AN93" s="418">
        <v>3.5000000000000003E-2</v>
      </c>
      <c r="AO93" s="418">
        <v>3.5000000000000003E-2</v>
      </c>
      <c r="AP93" s="418">
        <v>3.5000000000000003E-2</v>
      </c>
      <c r="AQ93" s="418">
        <v>3.5000000000000003E-2</v>
      </c>
      <c r="AR93" s="418">
        <v>3.5000000000000003E-2</v>
      </c>
      <c r="AS93" s="418">
        <v>3.5000000000000003E-2</v>
      </c>
      <c r="AT93" s="418">
        <v>3.5000000000000003E-2</v>
      </c>
      <c r="AU93" s="418">
        <v>3.5000000000000003E-2</v>
      </c>
      <c r="AV93" s="418">
        <v>3.5000000000000003E-2</v>
      </c>
      <c r="AW93" s="418">
        <v>3.5000000000000003E-2</v>
      </c>
      <c r="AX93" s="418">
        <v>3.5000000000000003E-2</v>
      </c>
      <c r="AY93" s="418">
        <v>3.5000000000000003E-2</v>
      </c>
      <c r="AZ93" s="418">
        <v>3.5000000000000003E-2</v>
      </c>
      <c r="BA93" s="418">
        <v>3.5000000000000003E-2</v>
      </c>
      <c r="BB93" s="418">
        <v>3.5000000000000003E-2</v>
      </c>
      <c r="BC93" s="418">
        <v>3.5000000000000003E-2</v>
      </c>
      <c r="BD93" s="418">
        <v>3.5000000000000003E-2</v>
      </c>
      <c r="BE93" s="418">
        <v>3.5000000000000003E-2</v>
      </c>
    </row>
    <row r="94" spans="1:57" ht="14.25" customHeight="1" x14ac:dyDescent="0.45">
      <c r="A94" s="1"/>
      <c r="B94" s="1"/>
      <c r="C94" s="1"/>
      <c r="D94" s="3" t="s">
        <v>523</v>
      </c>
      <c r="E94" s="66">
        <v>2.7741153062771882E-3</v>
      </c>
      <c r="F94" s="66">
        <v>2.8508334317659443E-3</v>
      </c>
      <c r="G94" s="66">
        <v>2.9275515572547003E-3</v>
      </c>
      <c r="H94" s="66">
        <v>3.0042696827434563E-3</v>
      </c>
      <c r="I94" s="66">
        <v>3.0809878082322124E-3</v>
      </c>
      <c r="J94" s="66">
        <v>3.1577059337209684E-3</v>
      </c>
      <c r="K94" s="66">
        <v>3.2344240592097244E-3</v>
      </c>
      <c r="L94" s="66">
        <v>3.3111421846984805E-3</v>
      </c>
      <c r="M94" s="66">
        <v>3.3878603101872369E-3</v>
      </c>
      <c r="N94" s="66">
        <v>3.464578435675993E-3</v>
      </c>
      <c r="O94" s="66">
        <v>3.541296561164749E-3</v>
      </c>
      <c r="P94" s="66">
        <v>3.618014686653505E-3</v>
      </c>
      <c r="Q94" s="66">
        <v>3.6947328121422602E-3</v>
      </c>
      <c r="R94" s="66">
        <v>3.7239212770544105E-3</v>
      </c>
      <c r="S94" s="66">
        <v>3.7531097419665612E-3</v>
      </c>
      <c r="T94" s="66">
        <v>3.7822982068787116E-3</v>
      </c>
      <c r="U94" s="66">
        <v>3.8114866717908619E-3</v>
      </c>
      <c r="V94" s="66">
        <v>3.8406751367030126E-3</v>
      </c>
      <c r="W94" s="66">
        <v>3.8698636016151629E-3</v>
      </c>
      <c r="X94" s="66">
        <v>3.8990520665273132E-3</v>
      </c>
      <c r="Y94" s="66">
        <v>3.928240531439464E-3</v>
      </c>
      <c r="Z94" s="66">
        <v>3.9574289963516147E-3</v>
      </c>
      <c r="AA94" s="66">
        <v>3.9866174612637629E-3</v>
      </c>
      <c r="AB94" s="66">
        <v>3.9906041291891785E-3</v>
      </c>
      <c r="AC94" s="66">
        <v>3.9945907971145932E-3</v>
      </c>
      <c r="AD94" s="66">
        <v>3.9985774650400079E-3</v>
      </c>
      <c r="AE94" s="66">
        <v>4.0025641329654235E-3</v>
      </c>
      <c r="AF94" s="66">
        <v>4.0065508008908382E-3</v>
      </c>
      <c r="AG94" s="66">
        <v>4.010537468816253E-3</v>
      </c>
      <c r="AH94" s="66">
        <v>4.0145241367416677E-3</v>
      </c>
      <c r="AI94" s="66">
        <v>4.0185108046670833E-3</v>
      </c>
      <c r="AJ94" s="66">
        <v>4.022497472592498E-3</v>
      </c>
      <c r="AK94" s="66">
        <v>4.026484140517911E-3</v>
      </c>
      <c r="AL94" s="418">
        <v>4.0000000000000001E-3</v>
      </c>
      <c r="AM94" s="418">
        <v>4.0000000000000001E-3</v>
      </c>
      <c r="AN94" s="418">
        <v>4.0000000000000001E-3</v>
      </c>
      <c r="AO94" s="418">
        <v>4.0000000000000001E-3</v>
      </c>
      <c r="AP94" s="418">
        <v>4.0000000000000001E-3</v>
      </c>
      <c r="AQ94" s="418">
        <v>4.0000000000000001E-3</v>
      </c>
      <c r="AR94" s="418">
        <v>4.0000000000000001E-3</v>
      </c>
      <c r="AS94" s="418">
        <v>4.0000000000000001E-3</v>
      </c>
      <c r="AT94" s="418">
        <v>4.0000000000000001E-3</v>
      </c>
      <c r="AU94" s="418">
        <v>4.0000000000000001E-3</v>
      </c>
      <c r="AV94" s="418">
        <v>4.0000000000000001E-3</v>
      </c>
      <c r="AW94" s="418">
        <v>4.0000000000000001E-3</v>
      </c>
      <c r="AX94" s="418">
        <v>4.0000000000000001E-3</v>
      </c>
      <c r="AY94" s="418">
        <v>4.0000000000000001E-3</v>
      </c>
      <c r="AZ94" s="418">
        <v>4.0000000000000001E-3</v>
      </c>
      <c r="BA94" s="418">
        <v>4.0000000000000001E-3</v>
      </c>
      <c r="BB94" s="418">
        <v>4.0000000000000001E-3</v>
      </c>
      <c r="BC94" s="418">
        <v>4.0000000000000001E-3</v>
      </c>
      <c r="BD94" s="418">
        <v>4.0000000000000001E-3</v>
      </c>
      <c r="BE94" s="418">
        <v>4.0000000000000001E-3</v>
      </c>
    </row>
    <row r="95" spans="1:57" ht="14.25" customHeight="1" x14ac:dyDescent="0.45">
      <c r="A95" s="1"/>
      <c r="B95" s="1"/>
      <c r="C95" s="1"/>
      <c r="D95" s="3" t="s">
        <v>524</v>
      </c>
      <c r="E95" s="66">
        <v>0.17101466491036621</v>
      </c>
      <c r="F95" s="66">
        <v>0.17574407341524115</v>
      </c>
      <c r="G95" s="66">
        <v>0.18047348192011606</v>
      </c>
      <c r="H95" s="66">
        <v>0.185202890424991</v>
      </c>
      <c r="I95" s="66">
        <v>0.18993229892986591</v>
      </c>
      <c r="J95" s="66">
        <v>0.19466170743474084</v>
      </c>
      <c r="K95" s="66">
        <v>0.19939111593961575</v>
      </c>
      <c r="L95" s="66">
        <v>0.20412052444449069</v>
      </c>
      <c r="M95" s="66">
        <v>0.2088499329493656</v>
      </c>
      <c r="N95" s="66">
        <v>0.21357934145424054</v>
      </c>
      <c r="O95" s="66">
        <v>0.21830874995911548</v>
      </c>
      <c r="P95" s="66">
        <v>0.22303815846399039</v>
      </c>
      <c r="Q95" s="66">
        <v>0.22776756696886527</v>
      </c>
      <c r="R95" s="66">
        <v>0.22956693541433126</v>
      </c>
      <c r="S95" s="66">
        <v>0.23136630385979726</v>
      </c>
      <c r="T95" s="66">
        <v>0.23316567230526325</v>
      </c>
      <c r="U95" s="66">
        <v>0.23496504075072924</v>
      </c>
      <c r="V95" s="66">
        <v>0.23676440919619521</v>
      </c>
      <c r="W95" s="66">
        <v>0.2385637776416612</v>
      </c>
      <c r="X95" s="66">
        <v>0.24036314608712719</v>
      </c>
      <c r="Y95" s="66">
        <v>0.24216251453259319</v>
      </c>
      <c r="Z95" s="66">
        <v>0.24396188297805918</v>
      </c>
      <c r="AA95" s="66">
        <v>0.24576125142352509</v>
      </c>
      <c r="AB95" s="66">
        <v>0.2460070157858899</v>
      </c>
      <c r="AC95" s="66">
        <v>0.24625278014825475</v>
      </c>
      <c r="AD95" s="66">
        <v>0.24649854451061959</v>
      </c>
      <c r="AE95" s="66">
        <v>0.24674430887298443</v>
      </c>
      <c r="AF95" s="66">
        <v>0.24699007323534927</v>
      </c>
      <c r="AG95" s="66">
        <v>0.24723583759771409</v>
      </c>
      <c r="AH95" s="66">
        <v>0.24748160196007893</v>
      </c>
      <c r="AI95" s="66">
        <v>0.24772736632244377</v>
      </c>
      <c r="AJ95" s="66">
        <v>0.24797313068480861</v>
      </c>
      <c r="AK95" s="66">
        <v>0.24821889504717329</v>
      </c>
      <c r="AL95" s="418">
        <v>0.248</v>
      </c>
      <c r="AM95" s="418">
        <v>0.248</v>
      </c>
      <c r="AN95" s="418">
        <v>0.248</v>
      </c>
      <c r="AO95" s="418">
        <v>0.248</v>
      </c>
      <c r="AP95" s="418">
        <v>0.248</v>
      </c>
      <c r="AQ95" s="418">
        <v>0.248</v>
      </c>
      <c r="AR95" s="418">
        <v>0.248</v>
      </c>
      <c r="AS95" s="418">
        <v>0.248</v>
      </c>
      <c r="AT95" s="418">
        <v>0.248</v>
      </c>
      <c r="AU95" s="418">
        <v>0.248</v>
      </c>
      <c r="AV95" s="418">
        <v>0.248</v>
      </c>
      <c r="AW95" s="418">
        <v>0.248</v>
      </c>
      <c r="AX95" s="418">
        <v>0.248</v>
      </c>
      <c r="AY95" s="418">
        <v>0.248</v>
      </c>
      <c r="AZ95" s="418">
        <v>0.248</v>
      </c>
      <c r="BA95" s="418">
        <v>0.248</v>
      </c>
      <c r="BB95" s="418">
        <v>0.248</v>
      </c>
      <c r="BC95" s="418">
        <v>0.248</v>
      </c>
      <c r="BD95" s="418">
        <v>0.248</v>
      </c>
      <c r="BE95" s="418">
        <v>0.248</v>
      </c>
    </row>
    <row r="96" spans="1:57" ht="14.25" customHeight="1" x14ac:dyDescent="0.45">
      <c r="A96" s="1"/>
      <c r="B96" s="1"/>
      <c r="C96" s="1"/>
      <c r="D96" s="3" t="s">
        <v>525</v>
      </c>
      <c r="E96" s="66">
        <v>0.496</v>
      </c>
      <c r="F96" s="66">
        <v>0.4662</v>
      </c>
      <c r="G96" s="66">
        <v>0.51490000000000002</v>
      </c>
      <c r="H96" s="66">
        <v>0.52356215388221961</v>
      </c>
      <c r="I96" s="66">
        <v>0.53229785915280858</v>
      </c>
      <c r="J96" s="66">
        <v>0.54115665416119196</v>
      </c>
      <c r="K96" s="66">
        <v>0.55016603475348924</v>
      </c>
      <c r="L96" s="66">
        <v>0.55920854784036034</v>
      </c>
      <c r="M96" s="66">
        <v>0.56838207863399026</v>
      </c>
      <c r="N96" s="66">
        <v>0.57762049962446194</v>
      </c>
      <c r="O96" s="66">
        <v>0.5869775651909388</v>
      </c>
      <c r="P96" s="66">
        <v>0.59640479099143029</v>
      </c>
      <c r="Q96" s="66">
        <v>0.60597064168277359</v>
      </c>
      <c r="R96" s="66">
        <v>0.61556499640126072</v>
      </c>
      <c r="S96" s="66">
        <v>0.62522941970094204</v>
      </c>
      <c r="T96" s="66">
        <v>0.63498856619050459</v>
      </c>
      <c r="U96" s="66">
        <v>0.6448098532922969</v>
      </c>
      <c r="V96" s="66">
        <v>0.65467197172557656</v>
      </c>
      <c r="W96" s="66">
        <v>0.664588623586993</v>
      </c>
      <c r="X96" s="66">
        <v>0.67452287278992584</v>
      </c>
      <c r="Y96" s="66">
        <v>0.68450404823690247</v>
      </c>
      <c r="Z96" s="66">
        <v>0.69454195677970543</v>
      </c>
      <c r="AA96" s="66">
        <v>0.70456011413971253</v>
      </c>
      <c r="AB96" s="66">
        <v>0.71463097187144853</v>
      </c>
      <c r="AC96" s="66">
        <v>0.72463359407839822</v>
      </c>
      <c r="AD96" s="66">
        <v>0.73463676620227036</v>
      </c>
      <c r="AE96" s="66">
        <v>0.74452152288218842</v>
      </c>
      <c r="AF96" s="66">
        <v>0.75429721270583294</v>
      </c>
      <c r="AG96" s="66">
        <v>0.76395022522937461</v>
      </c>
      <c r="AH96" s="66">
        <v>0.77344788622234195</v>
      </c>
      <c r="AI96" s="66">
        <v>0.78278552139089452</v>
      </c>
      <c r="AJ96" s="66">
        <v>0.79199823376524447</v>
      </c>
      <c r="AK96" s="66">
        <v>0.80104193833878079</v>
      </c>
      <c r="AL96" s="418">
        <v>0.26700000000000002</v>
      </c>
      <c r="AM96" s="418">
        <v>0.26400000000000001</v>
      </c>
      <c r="AN96" s="418">
        <v>0.26100000000000001</v>
      </c>
      <c r="AO96" s="418">
        <v>0.25800000000000001</v>
      </c>
      <c r="AP96" s="418">
        <v>0.255</v>
      </c>
      <c r="AQ96" s="418">
        <v>0.251</v>
      </c>
      <c r="AR96" s="418">
        <v>0.248</v>
      </c>
      <c r="AS96" s="418">
        <v>0.24399999999999999</v>
      </c>
      <c r="AT96" s="418">
        <v>0.24</v>
      </c>
      <c r="AU96" s="418">
        <v>0.23699999999999999</v>
      </c>
      <c r="AV96" s="418">
        <v>0.23300000000000001</v>
      </c>
      <c r="AW96" s="418">
        <v>0.22900000000000001</v>
      </c>
      <c r="AX96" s="418">
        <v>0.22500000000000001</v>
      </c>
      <c r="AY96" s="418">
        <v>0.221</v>
      </c>
      <c r="AZ96" s="418">
        <v>0.216</v>
      </c>
      <c r="BA96" s="418">
        <v>0.21199999999999999</v>
      </c>
      <c r="BB96" s="418">
        <v>0.20799999999999999</v>
      </c>
      <c r="BC96" s="418">
        <v>0.20300000000000001</v>
      </c>
      <c r="BD96" s="418">
        <v>0.19900000000000001</v>
      </c>
      <c r="BE96" s="418">
        <v>0.19400000000000001</v>
      </c>
    </row>
    <row r="97" spans="1:57" ht="14.25" customHeight="1" x14ac:dyDescent="0.45">
      <c r="A97" s="1"/>
      <c r="B97" s="1"/>
      <c r="C97" s="1"/>
      <c r="D97" s="3" t="s">
        <v>526</v>
      </c>
      <c r="E97" s="66">
        <v>7.0316709300246319E-2</v>
      </c>
      <c r="F97" s="66">
        <v>6.6092036039868615E-2</v>
      </c>
      <c r="G97" s="66">
        <v>7.2996116166727479E-2</v>
      </c>
      <c r="H97" s="66">
        <v>7.422412857892513E-2</v>
      </c>
      <c r="I97" s="66">
        <v>7.546256819191835E-2</v>
      </c>
      <c r="J97" s="66">
        <v>7.6718457936585618E-2</v>
      </c>
      <c r="K97" s="66">
        <v>7.7995695831915957E-2</v>
      </c>
      <c r="L97" s="66">
        <v>7.9277630840128038E-2</v>
      </c>
      <c r="M97" s="66">
        <v>8.0578139908822649E-2</v>
      </c>
      <c r="N97" s="66">
        <v>8.1887848302331312E-2</v>
      </c>
      <c r="O97" s="66">
        <v>8.3214376647777477E-2</v>
      </c>
      <c r="P97" s="66">
        <v>8.4550851438343885E-2</v>
      </c>
      <c r="Q97" s="66">
        <v>8.5906978741313131E-2</v>
      </c>
      <c r="R97" s="66">
        <v>8.7267146990634314E-2</v>
      </c>
      <c r="S97" s="66">
        <v>8.8637248691679105E-2</v>
      </c>
      <c r="T97" s="66">
        <v>9.0020779068140988E-2</v>
      </c>
      <c r="U97" s="66">
        <v>9.1413118967517984E-2</v>
      </c>
      <c r="V97" s="66">
        <v>9.281124742509364E-2</v>
      </c>
      <c r="W97" s="66">
        <v>9.4217106953664129E-2</v>
      </c>
      <c r="X97" s="66">
        <v>9.5625461214387586E-2</v>
      </c>
      <c r="Y97" s="66">
        <v>9.7040468094185595E-2</v>
      </c>
      <c r="Z97" s="66">
        <v>9.8463517886497556E-2</v>
      </c>
      <c r="AA97" s="66">
        <v>9.9883767601835746E-2</v>
      </c>
      <c r="AB97" s="66">
        <v>0.10131148852023619</v>
      </c>
      <c r="AC97" s="66">
        <v>0.10272953585484561</v>
      </c>
      <c r="AD97" s="66">
        <v>0.10414766114983481</v>
      </c>
      <c r="AE97" s="66">
        <v>0.10554899897637808</v>
      </c>
      <c r="AF97" s="66">
        <v>0.10693487466093168</v>
      </c>
      <c r="AG97" s="66">
        <v>0.10830335868409603</v>
      </c>
      <c r="AH97" s="66">
        <v>0.10964981889997259</v>
      </c>
      <c r="AI97" s="66">
        <v>0.11097359264533321</v>
      </c>
      <c r="AJ97" s="66">
        <v>0.11227965639108714</v>
      </c>
      <c r="AK97" s="66">
        <v>0.11356176031345541</v>
      </c>
      <c r="AL97" s="418">
        <v>3.7999999999999999E-2</v>
      </c>
      <c r="AM97" s="418">
        <v>3.6999999999999998E-2</v>
      </c>
      <c r="AN97" s="418">
        <v>3.6999999999999998E-2</v>
      </c>
      <c r="AO97" s="418">
        <v>3.6999999999999998E-2</v>
      </c>
      <c r="AP97" s="418">
        <v>3.5999999999999997E-2</v>
      </c>
      <c r="AQ97" s="418">
        <v>3.5999999999999997E-2</v>
      </c>
      <c r="AR97" s="418">
        <v>3.5000000000000003E-2</v>
      </c>
      <c r="AS97" s="418">
        <v>3.5000000000000003E-2</v>
      </c>
      <c r="AT97" s="418">
        <v>3.4000000000000002E-2</v>
      </c>
      <c r="AU97" s="418">
        <v>3.4000000000000002E-2</v>
      </c>
      <c r="AV97" s="418">
        <v>3.3000000000000002E-2</v>
      </c>
      <c r="AW97" s="418">
        <v>3.2000000000000001E-2</v>
      </c>
      <c r="AX97" s="418">
        <v>3.2000000000000001E-2</v>
      </c>
      <c r="AY97" s="418">
        <v>3.1E-2</v>
      </c>
      <c r="AZ97" s="418">
        <v>3.1E-2</v>
      </c>
      <c r="BA97" s="418">
        <v>0.03</v>
      </c>
      <c r="BB97" s="418">
        <v>2.9000000000000001E-2</v>
      </c>
      <c r="BC97" s="418">
        <v>2.9000000000000001E-2</v>
      </c>
      <c r="BD97" s="418">
        <v>2.8000000000000001E-2</v>
      </c>
      <c r="BE97" s="418">
        <v>2.8000000000000001E-2</v>
      </c>
    </row>
    <row r="98" spans="1:57" ht="14.25" customHeight="1" x14ac:dyDescent="0.45">
      <c r="A98" s="1"/>
      <c r="B98" s="1"/>
      <c r="C98" s="1"/>
      <c r="D98" s="3" t="s">
        <v>527</v>
      </c>
      <c r="E98" s="66">
        <v>1.1122640411825913E-2</v>
      </c>
      <c r="F98" s="66">
        <v>1.0454384999986374E-2</v>
      </c>
      <c r="G98" s="66">
        <v>1.1546466830744281E-2</v>
      </c>
      <c r="H98" s="66">
        <v>1.1740712844502003E-2</v>
      </c>
      <c r="I98" s="66">
        <v>1.1936608224478723E-2</v>
      </c>
      <c r="J98" s="66">
        <v>1.2135263852221318E-2</v>
      </c>
      <c r="K98" s="66">
        <v>1.2337296313232217E-2</v>
      </c>
      <c r="L98" s="66">
        <v>1.2540071759773543E-2</v>
      </c>
      <c r="M98" s="66">
        <v>1.2745785236233941E-2</v>
      </c>
      <c r="N98" s="66">
        <v>1.2952953854480071E-2</v>
      </c>
      <c r="O98" s="66">
        <v>1.3162783039169184E-2</v>
      </c>
      <c r="P98" s="66">
        <v>1.3374185544531996E-2</v>
      </c>
      <c r="Q98" s="66">
        <v>1.3588696668469553E-2</v>
      </c>
      <c r="R98" s="66">
        <v>1.3803846986044629E-2</v>
      </c>
      <c r="S98" s="66">
        <v>1.4020568569008393E-2</v>
      </c>
      <c r="T98" s="66">
        <v>1.4239414289028026E-2</v>
      </c>
      <c r="U98" s="66">
        <v>1.4459653492283146E-2</v>
      </c>
      <c r="V98" s="66">
        <v>1.4680808325009375E-2</v>
      </c>
      <c r="W98" s="66">
        <v>1.4903186052315422E-2</v>
      </c>
      <c r="X98" s="66">
        <v>1.5125958394343024E-2</v>
      </c>
      <c r="Y98" s="66">
        <v>1.5349783042294771E-2</v>
      </c>
      <c r="Z98" s="66">
        <v>1.557487991166653E-2</v>
      </c>
      <c r="AA98" s="66">
        <v>1.5799533867119044E-2</v>
      </c>
      <c r="AB98" s="66">
        <v>1.6025369611451214E-2</v>
      </c>
      <c r="AC98" s="66">
        <v>1.6249675196094854E-2</v>
      </c>
      <c r="AD98" s="66">
        <v>1.6473993112448546E-2</v>
      </c>
      <c r="AE98" s="66">
        <v>1.6695655600571777E-2</v>
      </c>
      <c r="AF98" s="66">
        <v>1.6914872299535373E-2</v>
      </c>
      <c r="AG98" s="66">
        <v>1.7131337999515626E-2</v>
      </c>
      <c r="AH98" s="66">
        <v>1.7344319991407162E-2</v>
      </c>
      <c r="AI98" s="66">
        <v>1.7553713455674559E-2</v>
      </c>
      <c r="AJ98" s="66">
        <v>1.7760305566475919E-2</v>
      </c>
      <c r="AK98" s="66">
        <v>1.7963107731722348E-2</v>
      </c>
      <c r="AL98" s="418">
        <v>6.0000000000000001E-3</v>
      </c>
      <c r="AM98" s="418">
        <v>6.0000000000000001E-3</v>
      </c>
      <c r="AN98" s="418">
        <v>6.0000000000000001E-3</v>
      </c>
      <c r="AO98" s="418">
        <v>6.0000000000000001E-3</v>
      </c>
      <c r="AP98" s="418">
        <v>6.0000000000000001E-3</v>
      </c>
      <c r="AQ98" s="418">
        <v>6.0000000000000001E-3</v>
      </c>
      <c r="AR98" s="418">
        <v>6.0000000000000001E-3</v>
      </c>
      <c r="AS98" s="418">
        <v>5.0000000000000001E-3</v>
      </c>
      <c r="AT98" s="418">
        <v>5.0000000000000001E-3</v>
      </c>
      <c r="AU98" s="418">
        <v>5.0000000000000001E-3</v>
      </c>
      <c r="AV98" s="418">
        <v>5.0000000000000001E-3</v>
      </c>
      <c r="AW98" s="418">
        <v>5.0000000000000001E-3</v>
      </c>
      <c r="AX98" s="418">
        <v>5.0000000000000001E-3</v>
      </c>
      <c r="AY98" s="418">
        <v>5.0000000000000001E-3</v>
      </c>
      <c r="AZ98" s="418">
        <v>5.0000000000000001E-3</v>
      </c>
      <c r="BA98" s="418">
        <v>5.0000000000000001E-3</v>
      </c>
      <c r="BB98" s="418">
        <v>5.0000000000000001E-3</v>
      </c>
      <c r="BC98" s="418">
        <v>5.0000000000000001E-3</v>
      </c>
      <c r="BD98" s="418">
        <v>4.0000000000000001E-3</v>
      </c>
      <c r="BE98" s="418">
        <v>4.0000000000000001E-3</v>
      </c>
    </row>
    <row r="99" spans="1:57" ht="14.25" customHeight="1" x14ac:dyDescent="0.45">
      <c r="A99" s="1"/>
      <c r="B99" s="1"/>
      <c r="C99" s="1"/>
      <c r="D99" s="3" t="s">
        <v>528</v>
      </c>
      <c r="E99" s="66">
        <v>0.41456065028792777</v>
      </c>
      <c r="F99" s="66">
        <v>0.38965357896014502</v>
      </c>
      <c r="G99" s="66">
        <v>0.43035741700252828</v>
      </c>
      <c r="H99" s="66">
        <v>0.43759731245879246</v>
      </c>
      <c r="I99" s="66">
        <v>0.44489868273641153</v>
      </c>
      <c r="J99" s="66">
        <v>0.45230293237238506</v>
      </c>
      <c r="K99" s="66">
        <v>0.45983304260834107</v>
      </c>
      <c r="L99" s="66">
        <v>0.46739084524045876</v>
      </c>
      <c r="M99" s="66">
        <v>0.47505815348893365</v>
      </c>
      <c r="N99" s="66">
        <v>0.48277969746765059</v>
      </c>
      <c r="O99" s="66">
        <v>0.49060040550399214</v>
      </c>
      <c r="P99" s="66">
        <v>0.49847975400855443</v>
      </c>
      <c r="Q99" s="66">
        <v>0.50647496627299093</v>
      </c>
      <c r="R99" s="66">
        <v>0.51449400242458176</v>
      </c>
      <c r="S99" s="66">
        <v>0.52257160244025458</v>
      </c>
      <c r="T99" s="66">
        <v>0.53072837283333563</v>
      </c>
      <c r="U99" s="66">
        <v>0.53893708083249581</v>
      </c>
      <c r="V99" s="66">
        <v>0.54717991597547355</v>
      </c>
      <c r="W99" s="66">
        <v>0.55546833058101341</v>
      </c>
      <c r="X99" s="66">
        <v>0.56377145318119526</v>
      </c>
      <c r="Y99" s="66">
        <v>0.57211379710042209</v>
      </c>
      <c r="Z99" s="66">
        <v>0.58050355898154138</v>
      </c>
      <c r="AA99" s="66">
        <v>0.58887681267075775</v>
      </c>
      <c r="AB99" s="66">
        <v>0.59729411373976116</v>
      </c>
      <c r="AC99" s="66">
        <v>0.60565438302745778</v>
      </c>
      <c r="AD99" s="66">
        <v>0.61401511193998703</v>
      </c>
      <c r="AE99" s="66">
        <v>0.62227686830523854</v>
      </c>
      <c r="AF99" s="66">
        <v>0.63044746574536592</v>
      </c>
      <c r="AG99" s="66">
        <v>0.63851552854576299</v>
      </c>
      <c r="AH99" s="66">
        <v>0.64645374733096217</v>
      </c>
      <c r="AI99" s="66">
        <v>0.65425821528988681</v>
      </c>
      <c r="AJ99" s="66">
        <v>0.66195827180768141</v>
      </c>
      <c r="AK99" s="66">
        <v>0.66951707029360308</v>
      </c>
      <c r="AL99" s="418">
        <v>0.223</v>
      </c>
      <c r="AM99" s="418">
        <v>0.221</v>
      </c>
      <c r="AN99" s="418">
        <v>0.218</v>
      </c>
      <c r="AO99" s="418">
        <v>0.216</v>
      </c>
      <c r="AP99" s="418">
        <v>0.21299999999999999</v>
      </c>
      <c r="AQ99" s="418">
        <v>0.21</v>
      </c>
      <c r="AR99" s="418">
        <v>0.20699999999999999</v>
      </c>
      <c r="AS99" s="418">
        <v>0.20399999999999999</v>
      </c>
      <c r="AT99" s="418">
        <v>0.20100000000000001</v>
      </c>
      <c r="AU99" s="418">
        <v>0.19800000000000001</v>
      </c>
      <c r="AV99" s="418">
        <v>0.19400000000000001</v>
      </c>
      <c r="AW99" s="418">
        <v>0.191</v>
      </c>
      <c r="AX99" s="418">
        <v>0.188</v>
      </c>
      <c r="AY99" s="418">
        <v>0.184</v>
      </c>
      <c r="AZ99" s="418">
        <v>0.18099999999999999</v>
      </c>
      <c r="BA99" s="418">
        <v>0.17699999999999999</v>
      </c>
      <c r="BB99" s="418">
        <v>0.17399999999999999</v>
      </c>
      <c r="BC99" s="418">
        <v>0.17</v>
      </c>
      <c r="BD99" s="418">
        <v>0.16600000000000001</v>
      </c>
      <c r="BE99" s="418">
        <v>0.16300000000000001</v>
      </c>
    </row>
    <row r="100" spans="1:57" ht="14.25" customHeight="1" x14ac:dyDescent="0.4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3"/>
      <c r="AN100" s="3"/>
      <c r="AO100" s="3"/>
      <c r="AP100" s="3"/>
      <c r="AQ100" s="3"/>
      <c r="AR100" s="3"/>
      <c r="AS100" s="3"/>
      <c r="AT100" s="3"/>
      <c r="AU100" s="3"/>
      <c r="AV100" s="3"/>
      <c r="AW100" s="3"/>
      <c r="AX100" s="3"/>
      <c r="AY100" s="3"/>
      <c r="AZ100" s="3"/>
      <c r="BA100" s="3"/>
      <c r="BB100" s="3"/>
      <c r="BC100" s="3"/>
      <c r="BD100" s="3"/>
      <c r="BE100" s="3"/>
    </row>
    <row r="101" spans="1:57" ht="14.25" customHeight="1" x14ac:dyDescent="0.4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3"/>
      <c r="AN101" s="3"/>
      <c r="AO101" s="3"/>
      <c r="AP101" s="3"/>
      <c r="AQ101" s="3"/>
      <c r="AR101" s="3"/>
      <c r="AS101" s="3"/>
      <c r="AT101" s="3"/>
      <c r="AU101" s="3"/>
      <c r="AV101" s="3"/>
      <c r="AW101" s="3"/>
      <c r="AX101" s="3"/>
      <c r="AY101" s="3"/>
      <c r="AZ101" s="3"/>
      <c r="BA101" s="3"/>
      <c r="BB101" s="3"/>
      <c r="BC101" s="3"/>
      <c r="BD101" s="3"/>
      <c r="BE101" s="3"/>
    </row>
    <row r="102" spans="1:57" ht="14.25" customHeight="1" x14ac:dyDescent="0.4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3"/>
      <c r="AN102" s="3"/>
      <c r="AO102" s="3"/>
      <c r="AP102" s="3"/>
      <c r="AQ102" s="3"/>
      <c r="AR102" s="3"/>
      <c r="AS102" s="3"/>
      <c r="AT102" s="3"/>
      <c r="AU102" s="3"/>
      <c r="AV102" s="3"/>
      <c r="AW102" s="3"/>
      <c r="AX102" s="3"/>
      <c r="AY102" s="3"/>
      <c r="AZ102" s="3"/>
      <c r="BA102" s="3"/>
      <c r="BB102" s="3"/>
      <c r="BC102" s="3"/>
      <c r="BD102" s="3"/>
      <c r="BE102" s="3"/>
    </row>
    <row r="103" spans="1:57" ht="14.25" customHeight="1" x14ac:dyDescent="0.4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3"/>
      <c r="AN103" s="3"/>
      <c r="AO103" s="3"/>
      <c r="AP103" s="3"/>
      <c r="AQ103" s="3"/>
      <c r="AR103" s="3"/>
      <c r="AS103" s="3"/>
      <c r="AT103" s="3"/>
      <c r="AU103" s="3"/>
      <c r="AV103" s="3"/>
      <c r="AW103" s="3"/>
      <c r="AX103" s="3"/>
      <c r="AY103" s="3"/>
      <c r="AZ103" s="3"/>
      <c r="BA103" s="3"/>
      <c r="BB103" s="3"/>
      <c r="BC103" s="3"/>
      <c r="BD103" s="3"/>
      <c r="BE103" s="3"/>
    </row>
    <row r="104" spans="1:57" ht="14.25" customHeight="1" x14ac:dyDescent="0.4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3"/>
      <c r="AN104" s="3"/>
      <c r="AO104" s="3"/>
      <c r="AP104" s="3"/>
      <c r="AQ104" s="3"/>
      <c r="AR104" s="3"/>
      <c r="AS104" s="3"/>
      <c r="AT104" s="3"/>
      <c r="AU104" s="3"/>
      <c r="AV104" s="3"/>
      <c r="AW104" s="3"/>
      <c r="AX104" s="3"/>
      <c r="AY104" s="3"/>
      <c r="AZ104" s="3"/>
      <c r="BA104" s="3"/>
      <c r="BB104" s="3"/>
      <c r="BC104" s="3"/>
      <c r="BD104" s="3"/>
      <c r="BE104" s="3"/>
    </row>
    <row r="105" spans="1:57" ht="14.25" customHeight="1" x14ac:dyDescent="0.45">
      <c r="A105" s="1"/>
      <c r="B105" s="1"/>
      <c r="C105" s="1"/>
      <c r="D105" s="1"/>
      <c r="E105" s="67"/>
      <c r="F105" s="67"/>
      <c r="G105" s="67"/>
      <c r="H105" s="67"/>
      <c r="I105" s="67"/>
      <c r="J105" s="67"/>
      <c r="K105" s="67"/>
      <c r="L105" s="67"/>
      <c r="M105" s="67"/>
      <c r="N105" s="67"/>
      <c r="O105" s="67"/>
      <c r="P105" s="68"/>
      <c r="Q105" s="67"/>
      <c r="R105" s="67"/>
      <c r="S105" s="67"/>
      <c r="T105" s="67"/>
      <c r="U105" s="67"/>
      <c r="V105" s="68"/>
      <c r="W105" s="67"/>
      <c r="X105" s="67"/>
      <c r="Y105" s="67"/>
      <c r="Z105" s="67"/>
      <c r="AA105" s="67"/>
      <c r="AB105" s="67"/>
      <c r="AC105" s="68"/>
      <c r="AD105" s="67"/>
      <c r="AE105" s="67"/>
      <c r="AF105" s="68"/>
      <c r="AG105" s="69"/>
      <c r="AH105" s="69"/>
      <c r="AI105" s="69"/>
      <c r="AJ105" s="69"/>
      <c r="AK105" s="69"/>
      <c r="AL105" s="1"/>
      <c r="AM105" s="3"/>
      <c r="AN105" s="3"/>
      <c r="AO105" s="3"/>
      <c r="AP105" s="3"/>
      <c r="AQ105" s="3"/>
      <c r="AR105" s="3"/>
      <c r="AS105" s="3"/>
      <c r="AT105" s="3"/>
      <c r="AU105" s="3"/>
      <c r="AV105" s="3"/>
      <c r="AW105" s="3"/>
      <c r="AX105" s="3"/>
      <c r="AY105" s="3"/>
      <c r="AZ105" s="3"/>
      <c r="BA105" s="3"/>
      <c r="BB105" s="3"/>
      <c r="BC105" s="3"/>
      <c r="BD105" s="3"/>
      <c r="BE105" s="3"/>
    </row>
    <row r="106" spans="1:57" ht="14.25" customHeight="1" x14ac:dyDescent="0.4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3"/>
      <c r="AN106" s="3"/>
      <c r="AO106" s="3"/>
      <c r="AP106" s="3"/>
      <c r="AQ106" s="3"/>
      <c r="AR106" s="3"/>
      <c r="AS106" s="3"/>
      <c r="AT106" s="3"/>
      <c r="AU106" s="3"/>
      <c r="AV106" s="3"/>
      <c r="AW106" s="3"/>
      <c r="AX106" s="3"/>
      <c r="AY106" s="3"/>
      <c r="AZ106" s="3"/>
      <c r="BA106" s="3"/>
      <c r="BB106" s="3"/>
      <c r="BC106" s="3"/>
      <c r="BD106" s="3"/>
      <c r="BE106" s="3"/>
    </row>
    <row r="107" spans="1:57" ht="14.25" customHeight="1" x14ac:dyDescent="0.45">
      <c r="A107" s="1"/>
      <c r="B107" s="1"/>
      <c r="C107" s="1"/>
      <c r="D107" s="1"/>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70"/>
      <c r="AH107" s="70"/>
      <c r="AI107" s="70"/>
      <c r="AJ107" s="70"/>
      <c r="AK107" s="70"/>
      <c r="AL107" s="1"/>
      <c r="AM107" s="3"/>
      <c r="AN107" s="3"/>
      <c r="AO107" s="3"/>
      <c r="AP107" s="3"/>
      <c r="AQ107" s="3"/>
      <c r="AR107" s="3"/>
      <c r="AS107" s="3"/>
      <c r="AT107" s="3"/>
      <c r="AU107" s="3"/>
      <c r="AV107" s="3"/>
      <c r="AW107" s="3"/>
      <c r="AX107" s="3"/>
      <c r="AY107" s="3"/>
      <c r="AZ107" s="3"/>
      <c r="BA107" s="3"/>
      <c r="BB107" s="3"/>
      <c r="BC107" s="3"/>
      <c r="BD107" s="3"/>
      <c r="BE107" s="3"/>
    </row>
    <row r="108" spans="1:57" ht="14.25" customHeight="1" x14ac:dyDescent="0.4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3"/>
      <c r="AN108" s="3"/>
      <c r="AO108" s="3"/>
      <c r="AP108" s="3"/>
      <c r="AQ108" s="3"/>
      <c r="AR108" s="3"/>
      <c r="AS108" s="3"/>
      <c r="AT108" s="3"/>
      <c r="AU108" s="3"/>
      <c r="AV108" s="3"/>
      <c r="AW108" s="3"/>
      <c r="AX108" s="3"/>
      <c r="AY108" s="3"/>
      <c r="AZ108" s="3"/>
      <c r="BA108" s="3"/>
      <c r="BB108" s="3"/>
      <c r="BC108" s="3"/>
      <c r="BD108" s="3"/>
      <c r="BE108" s="3"/>
    </row>
    <row r="109" spans="1:57" ht="14.25" customHeight="1" x14ac:dyDescent="0.45">
      <c r="A109" s="1"/>
      <c r="B109" s="1"/>
      <c r="C109" s="1"/>
      <c r="D109" s="1"/>
      <c r="E109" s="67">
        <v>3.83</v>
      </c>
      <c r="F109" s="67">
        <v>3.85</v>
      </c>
      <c r="G109" s="67">
        <v>1.74</v>
      </c>
      <c r="H109" s="67">
        <v>2.37</v>
      </c>
      <c r="I109" s="67">
        <v>3.1</v>
      </c>
      <c r="J109" s="67">
        <v>3.46</v>
      </c>
      <c r="K109" s="67">
        <v>3.65</v>
      </c>
      <c r="L109" s="67">
        <v>3.72</v>
      </c>
      <c r="M109" s="67">
        <v>3.78</v>
      </c>
      <c r="N109" s="67">
        <v>3.87</v>
      </c>
      <c r="O109" s="67">
        <v>3.94</v>
      </c>
      <c r="P109" s="67">
        <v>4.01</v>
      </c>
      <c r="Q109" s="67">
        <v>4.08</v>
      </c>
      <c r="R109" s="67">
        <v>4.17</v>
      </c>
      <c r="S109" s="67">
        <v>4.24</v>
      </c>
      <c r="T109" s="67">
        <v>4.32</v>
      </c>
      <c r="U109" s="67">
        <v>4.4000000000000004</v>
      </c>
      <c r="V109" s="67">
        <v>4.47</v>
      </c>
      <c r="W109" s="67">
        <v>4.55</v>
      </c>
      <c r="X109" s="67">
        <v>4.62</v>
      </c>
      <c r="Y109" s="67">
        <v>4.7</v>
      </c>
      <c r="Z109" s="67">
        <v>4.7699999999999996</v>
      </c>
      <c r="AA109" s="67">
        <v>4.8499999999999996</v>
      </c>
      <c r="AB109" s="67">
        <v>4.92</v>
      </c>
      <c r="AC109" s="67">
        <v>5</v>
      </c>
      <c r="AD109" s="67">
        <v>5.0599999999999996</v>
      </c>
      <c r="AE109" s="67">
        <v>5.14</v>
      </c>
      <c r="AF109" s="67">
        <v>5.2</v>
      </c>
      <c r="AG109" s="70">
        <v>5.28</v>
      </c>
      <c r="AH109" s="70">
        <v>5.34</v>
      </c>
      <c r="AI109" s="70">
        <v>5.41</v>
      </c>
      <c r="AJ109" s="70">
        <v>5.48</v>
      </c>
      <c r="AK109" s="70">
        <v>5.54</v>
      </c>
      <c r="AL109" s="1"/>
      <c r="AM109" s="3"/>
      <c r="AN109" s="3"/>
      <c r="AO109" s="3"/>
      <c r="AP109" s="3"/>
      <c r="AQ109" s="3"/>
      <c r="AR109" s="3"/>
      <c r="AS109" s="3"/>
      <c r="AT109" s="3"/>
      <c r="AU109" s="3"/>
      <c r="AV109" s="3"/>
      <c r="AW109" s="3"/>
      <c r="AX109" s="3"/>
      <c r="AY109" s="3"/>
      <c r="AZ109" s="3"/>
      <c r="BA109" s="3"/>
      <c r="BB109" s="3"/>
      <c r="BC109" s="3"/>
      <c r="BD109" s="3"/>
      <c r="BE109" s="3"/>
    </row>
    <row r="110" spans="1:57" ht="14.25" customHeight="1" x14ac:dyDescent="0.4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3"/>
      <c r="AN110" s="3"/>
      <c r="AO110" s="3"/>
      <c r="AP110" s="3"/>
      <c r="AQ110" s="3"/>
      <c r="AR110" s="3"/>
      <c r="AS110" s="3"/>
      <c r="AT110" s="3"/>
      <c r="AU110" s="3"/>
      <c r="AV110" s="3"/>
      <c r="AW110" s="3"/>
      <c r="AX110" s="3"/>
      <c r="AY110" s="3"/>
      <c r="AZ110" s="3"/>
      <c r="BA110" s="3"/>
      <c r="BB110" s="3"/>
      <c r="BC110" s="3"/>
      <c r="BD110" s="3"/>
      <c r="BE110" s="3"/>
    </row>
    <row r="111" spans="1:57" ht="14.25" customHeight="1" x14ac:dyDescent="0.4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3"/>
      <c r="AN111" s="3"/>
      <c r="AO111" s="3"/>
      <c r="AP111" s="3"/>
      <c r="AQ111" s="3"/>
      <c r="AR111" s="3"/>
      <c r="AS111" s="3"/>
      <c r="AT111" s="3"/>
      <c r="AU111" s="3"/>
      <c r="AV111" s="3"/>
      <c r="AW111" s="3"/>
      <c r="AX111" s="3"/>
      <c r="AY111" s="3"/>
      <c r="AZ111" s="3"/>
      <c r="BA111" s="3"/>
      <c r="BB111" s="3"/>
      <c r="BC111" s="3"/>
      <c r="BD111" s="3"/>
      <c r="BE111" s="3"/>
    </row>
    <row r="112" spans="1:57" ht="14.25" customHeight="1" x14ac:dyDescent="0.4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3"/>
      <c r="AN112" s="3"/>
      <c r="AO112" s="3"/>
      <c r="AP112" s="3"/>
      <c r="AQ112" s="3"/>
      <c r="AR112" s="3"/>
      <c r="AS112" s="3"/>
      <c r="AT112" s="3"/>
      <c r="AU112" s="3"/>
      <c r="AV112" s="3"/>
      <c r="AW112" s="3"/>
      <c r="AX112" s="3"/>
      <c r="AY112" s="3"/>
      <c r="AZ112" s="3"/>
      <c r="BA112" s="3"/>
      <c r="BB112" s="3"/>
      <c r="BC112" s="3"/>
      <c r="BD112" s="3"/>
      <c r="BE112" s="3"/>
    </row>
    <row r="113" spans="1:38" ht="14.25" customHeight="1" x14ac:dyDescent="0.4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4.25" customHeight="1" x14ac:dyDescent="0.4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4.25" customHeight="1" x14ac:dyDescent="0.4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4.25"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4.25" customHeight="1" x14ac:dyDescent="0.4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4.25" customHeight="1" x14ac:dyDescent="0.4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4.25" customHeight="1" x14ac:dyDescent="0.4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4.25" customHeight="1" x14ac:dyDescent="0.4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4.25" customHeight="1" x14ac:dyDescent="0.4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4.25" customHeight="1" x14ac:dyDescent="0.4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4.25" customHeight="1" x14ac:dyDescent="0.4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4.25" customHeight="1" x14ac:dyDescent="0.4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4.25" customHeight="1" x14ac:dyDescent="0.4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4.25" customHeight="1" x14ac:dyDescent="0.4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4.25" customHeight="1" x14ac:dyDescent="0.4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4.25" customHeight="1" x14ac:dyDescent="0.4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4.25" customHeight="1" x14ac:dyDescent="0.4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4.25" customHeight="1" x14ac:dyDescent="0.4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4.25" customHeight="1" x14ac:dyDescent="0.4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4.25" customHeight="1" x14ac:dyDescent="0.4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4.25" customHeight="1" x14ac:dyDescent="0.4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4.25"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4.25" customHeight="1" x14ac:dyDescent="0.4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4.25" customHeight="1" x14ac:dyDescent="0.4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4.25" customHeight="1" x14ac:dyDescent="0.4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4.25" customHeight="1" x14ac:dyDescent="0.4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4.25" customHeight="1" x14ac:dyDescent="0.4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4.25" customHeight="1" x14ac:dyDescent="0.4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4.25" customHeight="1" x14ac:dyDescent="0.4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4.25" customHeight="1" x14ac:dyDescent="0.4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4.25"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4.25"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4.25"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4.25"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4.2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4.2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4.2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4.2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4.2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4.2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4.2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4.2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4.2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4.2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4.2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4.2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4.2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4.2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4.2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4.2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4.2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4.2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4.2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4.2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4.2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4.2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4.2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4.2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4.2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4.2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4.2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4.2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4.2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4.2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4.2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4.2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4.2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4.2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4.2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4.2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4.2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4.2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4.2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4.2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4.2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4.2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4.2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4.2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4.2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4.2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4.2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4.2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4.2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4.2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4.2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4.2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4.2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4.2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4.2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4.2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4.2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4.2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4.2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4.2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4.2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4.2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4.2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4.2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4.2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4.2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4.2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4.2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4.2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4.2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4.2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4.2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4.2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4.2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4.2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4.2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4.2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4.2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4.2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4.2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4.2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4.2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4.2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4.2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4.2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4.2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4.2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4.2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4.2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4.2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4.2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4.2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4.2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4.2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4.2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4.2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4.2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4.2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4.2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4.2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4.2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4.2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4.2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4.2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4.2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4.2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4.2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4.2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4.2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4.2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4.2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4.2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4.2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4.2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4.2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4.2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4.2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4.2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4.2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4.2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4.2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4.2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4.2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4.2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4.2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4.2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4.2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4.2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4.2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4.2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4.2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4.2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4.2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4.2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4.2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4.2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5.7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5.7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5.7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5.7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5.7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5.7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5.7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5.7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5.7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5.7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5.7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5.7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5.7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5.7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5.7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5.7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5.7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5.75" customHeight="1" x14ac:dyDescent="0.4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5.75" customHeight="1" x14ac:dyDescent="0.4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5.75" customHeight="1" x14ac:dyDescent="0.4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5.75" customHeight="1" x14ac:dyDescent="0.4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5.75" customHeight="1" x14ac:dyDescent="0.4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hyperlinks>
    <hyperlink ref="M89" r:id="rId1" display="https://biblioteca.olade.org/opac-tmpl/Documentos/old0380.pdf" xr:uid="{00000000-0004-0000-0400-000000000000}"/>
    <hyperlink ref="K90" r:id="rId2" display="https://biblioteca.olade.org/opac-tmpl/Documentos/old0380.pdf" xr:uid="{00000000-0004-0000-0400-000001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64E38-C584-4D94-9E75-758A34564452}">
  <sheetPr>
    <tabColor rgb="FFB6D7A8"/>
  </sheetPr>
  <dimension ref="A1:AK1001"/>
  <sheetViews>
    <sheetView topLeftCell="A57" zoomScale="85" zoomScaleNormal="85" workbookViewId="0">
      <selection activeCell="D66" sqref="D66"/>
    </sheetView>
  </sheetViews>
  <sheetFormatPr defaultColWidth="12.69140625" defaultRowHeight="15" customHeight="1" x14ac:dyDescent="0.45"/>
  <cols>
    <col min="1" max="1" width="8.3828125" customWidth="1"/>
    <col min="2" max="2" width="1.3828125" customWidth="1"/>
    <col min="3" max="3" width="86.921875" customWidth="1"/>
    <col min="4" max="4" width="13.3828125" bestFit="1" customWidth="1"/>
    <col min="5" max="5" width="17.921875" customWidth="1"/>
    <col min="6" max="6" width="14.921875" customWidth="1"/>
    <col min="7" max="7" width="20.3828125" customWidth="1"/>
    <col min="8" max="8" width="20.765625" bestFit="1" customWidth="1"/>
    <col min="9" max="9" width="25.23046875" customWidth="1"/>
    <col min="10" max="10" width="28.3828125" bestFit="1" customWidth="1"/>
    <col min="11" max="11" width="16.23046875" bestFit="1" customWidth="1"/>
    <col min="12" max="12" width="10.765625" customWidth="1"/>
    <col min="13" max="13" width="29" customWidth="1"/>
    <col min="14" max="14" width="20.765625" customWidth="1"/>
    <col min="15" max="15" width="18.07421875" bestFit="1" customWidth="1"/>
    <col min="16" max="17" width="18.3828125" bestFit="1" customWidth="1"/>
    <col min="18" max="18" width="8.3828125" customWidth="1"/>
    <col min="19" max="19" width="19.23046875" customWidth="1"/>
    <col min="20" max="37" width="8.3828125" customWidth="1"/>
  </cols>
  <sheetData>
    <row r="1" spans="1:37" ht="13.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3.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13.5" customHeight="1" x14ac:dyDescent="0.45">
      <c r="A3" s="618"/>
      <c r="B3" s="7"/>
      <c r="C3" s="103"/>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9"/>
    </row>
    <row r="4" spans="1:37" ht="13.5" customHeight="1" x14ac:dyDescent="0.45">
      <c r="A4" s="618"/>
      <c r="B4" s="106"/>
      <c r="C4" s="107" t="s">
        <v>529</v>
      </c>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4"/>
    </row>
    <row r="5" spans="1:37" ht="13.5" customHeight="1" x14ac:dyDescent="0.45">
      <c r="A5" s="4"/>
      <c r="B5" s="160"/>
      <c r="C5" s="111" t="s">
        <v>530</v>
      </c>
      <c r="D5" s="576"/>
      <c r="E5" s="576"/>
      <c r="F5" s="577"/>
      <c r="G5" s="574"/>
      <c r="H5" s="574"/>
      <c r="I5" s="577"/>
      <c r="J5" s="577"/>
      <c r="K5" s="577"/>
      <c r="L5" s="577"/>
      <c r="M5" s="577"/>
      <c r="N5" s="577"/>
      <c r="O5" s="577"/>
      <c r="P5" s="577"/>
      <c r="Q5" s="577"/>
      <c r="R5" s="174"/>
      <c r="S5" s="174"/>
      <c r="T5" s="174"/>
      <c r="U5" s="174"/>
      <c r="V5" s="174"/>
      <c r="W5" s="174"/>
      <c r="X5" s="174"/>
      <c r="Y5" s="174"/>
      <c r="Z5" s="174"/>
      <c r="AA5" s="174"/>
      <c r="AB5" s="174"/>
      <c r="AC5" s="174"/>
      <c r="AD5" s="174"/>
      <c r="AE5" s="174"/>
      <c r="AF5" s="174"/>
      <c r="AG5" s="174"/>
      <c r="AH5" s="174"/>
      <c r="AI5" s="174"/>
      <c r="AJ5" s="174"/>
      <c r="AK5" s="431"/>
    </row>
    <row r="6" spans="1:37" ht="13.5" customHeight="1" x14ac:dyDescent="0.45">
      <c r="A6" s="4">
        <v>1</v>
      </c>
      <c r="B6" s="160"/>
      <c r="C6" s="111" t="s">
        <v>531</v>
      </c>
      <c r="D6" s="577" t="s">
        <v>532</v>
      </c>
      <c r="E6" s="577" t="s">
        <v>533</v>
      </c>
      <c r="F6" s="577" t="s">
        <v>534</v>
      </c>
      <c r="G6" s="582" t="s">
        <v>535</v>
      </c>
      <c r="H6" s="574"/>
      <c r="I6" s="577"/>
      <c r="J6" s="577"/>
      <c r="K6" s="577"/>
      <c r="L6" s="577"/>
      <c r="M6" s="577"/>
      <c r="N6" s="577"/>
      <c r="O6" s="577"/>
      <c r="P6" s="577"/>
      <c r="Q6" s="577"/>
      <c r="R6" s="174"/>
      <c r="S6" s="174"/>
      <c r="T6" s="174"/>
      <c r="U6" s="174"/>
      <c r="V6" s="174"/>
      <c r="W6" s="174"/>
      <c r="X6" s="174"/>
      <c r="Y6" s="174"/>
      <c r="Z6" s="174"/>
      <c r="AA6" s="174"/>
      <c r="AB6" s="174"/>
      <c r="AC6" s="174"/>
      <c r="AD6" s="174"/>
      <c r="AE6" s="174"/>
      <c r="AF6" s="174"/>
      <c r="AG6" s="174"/>
      <c r="AH6" s="174"/>
      <c r="AI6" s="174"/>
      <c r="AJ6" s="174"/>
      <c r="AK6" s="431"/>
    </row>
    <row r="7" spans="1:37" ht="13.5" customHeight="1" x14ac:dyDescent="0.45">
      <c r="A7" s="618"/>
      <c r="B7" s="160"/>
      <c r="C7" s="115" t="s">
        <v>536</v>
      </c>
      <c r="D7" s="578">
        <f>'Copia de Emisiones Energía'!D7*'Emisiones Energía V2'!$D$131</f>
        <v>2.6011667643087447E-6</v>
      </c>
      <c r="E7" s="578">
        <f>'Copia de Emisiones Energía'!E7*'Emisiones Energía V2'!$D$131</f>
        <v>1.9714106003182064E-5</v>
      </c>
      <c r="F7" s="578" t="s">
        <v>221</v>
      </c>
      <c r="G7" s="583">
        <f>(D7*$D$144)+(E7*$D$145)</f>
        <v>4.9545381684386032E-4</v>
      </c>
      <c r="H7" s="574" t="s">
        <v>537</v>
      </c>
      <c r="I7" s="584">
        <f>G7+G8+G10+G11</f>
        <v>1.6451372174390423E-3</v>
      </c>
      <c r="J7" s="577"/>
      <c r="K7" s="577"/>
      <c r="L7" s="577"/>
      <c r="M7" s="577"/>
      <c r="N7" s="577"/>
      <c r="O7" s="577"/>
      <c r="P7" s="577"/>
      <c r="Q7" s="577"/>
      <c r="R7" s="174"/>
      <c r="S7" s="174"/>
      <c r="T7" s="174"/>
      <c r="U7" s="174"/>
      <c r="V7" s="174"/>
      <c r="W7" s="174"/>
      <c r="X7" s="174"/>
      <c r="Y7" s="174"/>
      <c r="Z7" s="174"/>
      <c r="AA7" s="174"/>
      <c r="AB7" s="174"/>
      <c r="AC7" s="174"/>
      <c r="AD7" s="174"/>
      <c r="AE7" s="174"/>
      <c r="AF7" s="174"/>
      <c r="AG7" s="174"/>
      <c r="AH7" s="174"/>
      <c r="AI7" s="174"/>
      <c r="AJ7" s="174"/>
      <c r="AK7" s="431"/>
    </row>
    <row r="8" spans="1:37" ht="13.5" customHeight="1" x14ac:dyDescent="0.45">
      <c r="A8" s="618"/>
      <c r="B8" s="160"/>
      <c r="C8" s="115" t="s">
        <v>538</v>
      </c>
      <c r="D8" s="578">
        <f>'Copia de Emisiones Energía'!D8*'Emisiones Energía V2'!$D$131</f>
        <v>1.1226088140700897E-3</v>
      </c>
      <c r="E8" s="578">
        <f>'Copia de Emisiones Energía'!E8*'Emisiones Energía V2'!$D$131</f>
        <v>6.8451756955493275E-7</v>
      </c>
      <c r="F8" s="578">
        <f>'Copia de Emisiones Energía'!F8*'Emisiones Energía V2'!$D$131</f>
        <v>1.752364978060628E-8</v>
      </c>
      <c r="G8" s="583">
        <f t="shared" ref="G8:G13" si="0">(D8*$D$144)+(E8*$D$145)+(F8*$D$146)</f>
        <v>1.1449438009435839E-3</v>
      </c>
      <c r="H8" s="574"/>
      <c r="I8" s="577"/>
      <c r="J8" s="577"/>
      <c r="K8" s="577"/>
      <c r="L8" s="577"/>
      <c r="M8" s="577"/>
      <c r="N8" s="577"/>
      <c r="O8" s="577"/>
      <c r="P8" s="577"/>
      <c r="Q8" s="577"/>
      <c r="R8" s="174"/>
      <c r="S8" s="174"/>
      <c r="T8" s="174"/>
      <c r="U8" s="174"/>
      <c r="V8" s="174"/>
      <c r="W8" s="174"/>
      <c r="X8" s="174"/>
      <c r="Y8" s="174"/>
      <c r="Z8" s="174"/>
      <c r="AA8" s="174"/>
      <c r="AB8" s="174"/>
      <c r="AC8" s="174"/>
      <c r="AD8" s="174"/>
      <c r="AE8" s="174"/>
      <c r="AF8" s="174"/>
      <c r="AG8" s="174"/>
      <c r="AH8" s="174"/>
      <c r="AI8" s="174"/>
      <c r="AJ8" s="174"/>
      <c r="AK8" s="431"/>
    </row>
    <row r="9" spans="1:37" ht="13.5" customHeight="1" x14ac:dyDescent="0.45">
      <c r="A9" s="618"/>
      <c r="B9" s="160"/>
      <c r="C9" s="575" t="s">
        <v>539</v>
      </c>
      <c r="D9" s="578">
        <f>'Copia de Emisiones Energía'!D9*'Emisiones Energía V2'!$D$131</f>
        <v>2.738070278219731E-6</v>
      </c>
      <c r="E9" s="578">
        <f>'Copia de Emisiones Energía'!E9*'Emisiones Energía V2'!$D$131</f>
        <v>9.0356319181251128E-7</v>
      </c>
      <c r="F9" s="578" t="s">
        <v>221</v>
      </c>
      <c r="G9" s="583">
        <f>(D9*$D$144)+(E9*$D$145)</f>
        <v>2.5327150073532513E-5</v>
      </c>
      <c r="H9" s="577"/>
      <c r="I9" s="577"/>
      <c r="J9" s="577"/>
      <c r="K9" s="577"/>
      <c r="L9" s="577"/>
      <c r="M9" s="577"/>
      <c r="N9" s="577"/>
      <c r="O9" s="579"/>
      <c r="P9" s="579"/>
      <c r="Q9" s="579"/>
      <c r="R9" s="174"/>
      <c r="S9" s="174"/>
      <c r="T9" s="174"/>
      <c r="U9" s="174"/>
      <c r="V9" s="174"/>
      <c r="W9" s="174"/>
      <c r="X9" s="174"/>
      <c r="Y9" s="174"/>
      <c r="Z9" s="174"/>
      <c r="AA9" s="174"/>
      <c r="AB9" s="174"/>
      <c r="AC9" s="174"/>
      <c r="AD9" s="174"/>
      <c r="AE9" s="174"/>
      <c r="AF9" s="174"/>
      <c r="AG9" s="174"/>
      <c r="AH9" s="174"/>
      <c r="AI9" s="174"/>
      <c r="AJ9" s="174"/>
      <c r="AK9" s="431"/>
    </row>
    <row r="10" spans="1:37" ht="13.5" customHeight="1" x14ac:dyDescent="0.45">
      <c r="A10" s="618"/>
      <c r="B10" s="160"/>
      <c r="C10" s="115" t="s">
        <v>540</v>
      </c>
      <c r="D10" s="578">
        <f>'Copia de Emisiones Energía'!D10*'Emisiones Energía V2'!$D$131</f>
        <v>3.0118773060417041E-9</v>
      </c>
      <c r="E10" s="578">
        <f>'Copia de Emisiones Energía'!E10*'Emisiones Energía V2'!$D$131</f>
        <v>4.1071054173295968E-8</v>
      </c>
      <c r="F10" s="578" t="s">
        <v>221</v>
      </c>
      <c r="G10" s="583">
        <f>(D10*$D$144)+(E10*$D$145)</f>
        <v>1.029788231638441E-6</v>
      </c>
      <c r="H10" s="577"/>
      <c r="I10" s="577"/>
      <c r="J10" s="577"/>
      <c r="K10" s="577"/>
      <c r="L10" s="577"/>
      <c r="M10" s="577"/>
      <c r="N10" s="577"/>
      <c r="O10" s="577"/>
      <c r="P10" s="577"/>
      <c r="Q10" s="577"/>
      <c r="R10" s="174"/>
      <c r="S10" s="174"/>
      <c r="T10" s="174"/>
      <c r="U10" s="174"/>
      <c r="V10" s="174"/>
      <c r="W10" s="174"/>
      <c r="X10" s="174"/>
      <c r="Y10" s="174"/>
      <c r="Z10" s="174"/>
      <c r="AA10" s="174"/>
      <c r="AB10" s="174"/>
      <c r="AC10" s="174"/>
      <c r="AD10" s="174"/>
      <c r="AE10" s="174"/>
      <c r="AF10" s="174"/>
      <c r="AG10" s="174"/>
      <c r="AH10" s="174"/>
      <c r="AI10" s="174"/>
      <c r="AJ10" s="174"/>
      <c r="AK10" s="431"/>
    </row>
    <row r="11" spans="1:37" ht="13.5" customHeight="1" x14ac:dyDescent="0.45">
      <c r="A11" s="618"/>
      <c r="B11" s="160"/>
      <c r="C11" s="115" t="s">
        <v>541</v>
      </c>
      <c r="D11" s="578">
        <f>'Copia de Emisiones Energía'!D11*'Emisiones Energía V2'!$D$131</f>
        <v>1.341654436327668E-8</v>
      </c>
      <c r="E11" s="578">
        <f>'Copia de Emisiones Energía'!E11*'Emisiones Energía V2'!$D$131</f>
        <v>1.4785579502386547E-7</v>
      </c>
      <c r="F11" s="578" t="s">
        <v>221</v>
      </c>
      <c r="G11" s="583">
        <f>(D11*$D$144)+(E11*$D$145)</f>
        <v>3.7098114199599133E-6</v>
      </c>
      <c r="H11" s="577"/>
      <c r="I11" s="577"/>
      <c r="J11" s="577"/>
      <c r="K11" s="577"/>
      <c r="L11" s="577"/>
      <c r="M11" s="577"/>
      <c r="N11" s="577"/>
      <c r="O11" s="577"/>
      <c r="P11" s="577"/>
      <c r="Q11" s="577"/>
      <c r="R11" s="174"/>
      <c r="S11" s="174"/>
      <c r="T11" s="174"/>
      <c r="U11" s="174"/>
      <c r="V11" s="174"/>
      <c r="W11" s="174"/>
      <c r="X11" s="174"/>
      <c r="Y11" s="174"/>
      <c r="Z11" s="174"/>
      <c r="AA11" s="174"/>
      <c r="AB11" s="174"/>
      <c r="AC11" s="174"/>
      <c r="AD11" s="174"/>
      <c r="AE11" s="174"/>
      <c r="AF11" s="174"/>
      <c r="AG11" s="174"/>
      <c r="AH11" s="174"/>
      <c r="AI11" s="174"/>
      <c r="AJ11" s="174"/>
      <c r="AK11" s="431"/>
    </row>
    <row r="12" spans="1:37" ht="13.5" customHeight="1" x14ac:dyDescent="0.45">
      <c r="A12" s="4">
        <v>2</v>
      </c>
      <c r="B12" s="160"/>
      <c r="C12" s="586" t="s">
        <v>542</v>
      </c>
      <c r="D12" s="577" t="s">
        <v>532</v>
      </c>
      <c r="E12" s="577" t="s">
        <v>533</v>
      </c>
      <c r="F12" s="577" t="s">
        <v>534</v>
      </c>
      <c r="G12" s="582" t="s">
        <v>535</v>
      </c>
      <c r="H12" s="577"/>
      <c r="I12" s="577"/>
      <c r="J12" s="577"/>
      <c r="K12" s="577"/>
      <c r="L12" s="577"/>
      <c r="M12" s="577"/>
      <c r="N12" s="580"/>
      <c r="O12" s="577"/>
      <c r="P12" s="577"/>
      <c r="Q12" s="577"/>
      <c r="R12" s="174"/>
      <c r="S12" s="174"/>
      <c r="T12" s="174"/>
      <c r="U12" s="174"/>
      <c r="V12" s="174"/>
      <c r="W12" s="174"/>
      <c r="X12" s="174"/>
      <c r="Y12" s="174"/>
      <c r="Z12" s="174"/>
      <c r="AA12" s="174"/>
      <c r="AB12" s="174"/>
      <c r="AC12" s="174"/>
      <c r="AD12" s="174"/>
      <c r="AE12" s="174"/>
      <c r="AF12" s="174"/>
      <c r="AG12" s="174"/>
      <c r="AH12" s="174"/>
      <c r="AI12" s="174"/>
      <c r="AJ12" s="174"/>
      <c r="AK12" s="431"/>
    </row>
    <row r="13" spans="1:37" ht="13.5" customHeight="1" x14ac:dyDescent="0.45">
      <c r="A13" s="618"/>
      <c r="B13" s="160"/>
      <c r="C13" s="516" t="s">
        <v>538</v>
      </c>
      <c r="D13" s="592">
        <f>'Copia de Emisiones Energía'!D13*'Emisiones Energía V2'!$D$137</f>
        <v>3.4555558511078745E-17</v>
      </c>
      <c r="E13" s="592">
        <f>'Copia de Emisiones Energía'!E13*'Emisiones Energía V2'!$D$137</f>
        <v>2.1885187057016542E-20</v>
      </c>
      <c r="F13" s="592">
        <f>'Copia de Emisiones Energía'!F13*'Emisiones Energía V2'!$D$137</f>
        <v>6.0472227394387814E-22</v>
      </c>
      <c r="G13" s="593">
        <f t="shared" si="0"/>
        <v>3.5282895425139433E-17</v>
      </c>
      <c r="H13" s="584">
        <f>G13+G15+G16+G17</f>
        <v>4.6512179144834875E-16</v>
      </c>
      <c r="I13" s="577"/>
      <c r="J13" s="577"/>
      <c r="K13" s="577"/>
      <c r="L13" s="577"/>
      <c r="M13" s="577"/>
      <c r="N13" s="580"/>
      <c r="O13" s="577"/>
      <c r="P13" s="577"/>
      <c r="Q13" s="577"/>
      <c r="R13" s="174"/>
      <c r="S13" s="174"/>
      <c r="T13" s="174"/>
      <c r="U13" s="174"/>
      <c r="V13" s="174"/>
      <c r="W13" s="174"/>
      <c r="X13" s="174"/>
      <c r="Y13" s="174"/>
      <c r="Z13" s="174"/>
      <c r="AA13" s="174"/>
      <c r="AB13" s="174"/>
      <c r="AC13" s="174"/>
      <c r="AD13" s="174"/>
      <c r="AE13" s="174"/>
      <c r="AF13" s="174"/>
      <c r="AG13" s="174"/>
      <c r="AH13" s="174"/>
      <c r="AI13" s="174"/>
      <c r="AJ13" s="174"/>
      <c r="AK13" s="431"/>
    </row>
    <row r="14" spans="1:37" ht="13.5" customHeight="1" x14ac:dyDescent="0.45">
      <c r="A14" s="618"/>
      <c r="B14" s="160"/>
      <c r="C14" s="587" t="s">
        <v>539</v>
      </c>
      <c r="D14" s="592">
        <f>'Copia de Emisiones Energía'!D14*'Emisiones Energía V2'!$D$137</f>
        <v>2.8796298759232291E-18</v>
      </c>
      <c r="E14" s="592">
        <f>'Copia de Emisiones Energía'!E14*'Emisiones Energía V2'!$D$137</f>
        <v>9.5027785905466562E-19</v>
      </c>
      <c r="F14" s="592" t="s">
        <v>221</v>
      </c>
      <c r="G14" s="593">
        <f>(D14*$D$144)+(E14*$D$145)</f>
        <v>2.6636576352289868E-17</v>
      </c>
      <c r="H14" s="581"/>
      <c r="I14" s="577"/>
      <c r="J14" s="577"/>
      <c r="K14" s="577"/>
      <c r="L14" s="577"/>
      <c r="M14" s="577"/>
      <c r="N14" s="580"/>
      <c r="O14" s="577"/>
      <c r="P14" s="577"/>
      <c r="Q14" s="577"/>
      <c r="R14" s="174"/>
      <c r="S14" s="174"/>
      <c r="T14" s="174"/>
      <c r="U14" s="174"/>
      <c r="V14" s="174"/>
      <c r="W14" s="174"/>
      <c r="X14" s="174"/>
      <c r="Y14" s="174"/>
      <c r="Z14" s="174"/>
      <c r="AA14" s="174"/>
      <c r="AB14" s="174"/>
      <c r="AC14" s="174"/>
      <c r="AD14" s="174"/>
      <c r="AE14" s="174"/>
      <c r="AF14" s="174"/>
      <c r="AG14" s="174"/>
      <c r="AH14" s="174"/>
      <c r="AI14" s="174"/>
      <c r="AJ14" s="174"/>
      <c r="AK14" s="431"/>
    </row>
    <row r="15" spans="1:37" ht="13.5" customHeight="1" x14ac:dyDescent="0.45">
      <c r="A15" s="618"/>
      <c r="B15" s="160"/>
      <c r="C15" s="516" t="s">
        <v>543</v>
      </c>
      <c r="D15" s="592">
        <f>'Copia de Emisiones Energía'!D15*'Emisiones Energía V2'!$D$137</f>
        <v>4.0314818262925207E-19</v>
      </c>
      <c r="E15" s="592">
        <f>'Copia de Emisiones Energía'!E15*'Emisiones Energía V2'!$D$137</f>
        <v>1.0942593528508271E-17</v>
      </c>
      <c r="F15" s="592" t="s">
        <v>221</v>
      </c>
      <c r="G15" s="593">
        <f t="shared" ref="G15:G18" si="1">(D15*$D$144)+(E15*$D$145)</f>
        <v>2.7396798639533605E-16</v>
      </c>
      <c r="H15" s="581"/>
      <c r="I15" s="577"/>
      <c r="J15" s="577"/>
      <c r="K15" s="577"/>
      <c r="L15" s="577"/>
      <c r="M15" s="577"/>
      <c r="N15" s="577"/>
      <c r="O15" s="577"/>
      <c r="P15" s="577"/>
      <c r="Q15" s="577"/>
      <c r="R15" s="174"/>
      <c r="S15" s="174"/>
      <c r="T15" s="174"/>
      <c r="U15" s="174"/>
      <c r="V15" s="174"/>
      <c r="W15" s="174"/>
      <c r="X15" s="174"/>
      <c r="Y15" s="174"/>
      <c r="Z15" s="174"/>
      <c r="AA15" s="174"/>
      <c r="AB15" s="174"/>
      <c r="AC15" s="174"/>
      <c r="AD15" s="174"/>
      <c r="AE15" s="174"/>
      <c r="AF15" s="174"/>
      <c r="AG15" s="174"/>
      <c r="AH15" s="174"/>
      <c r="AI15" s="174"/>
      <c r="AJ15" s="174"/>
      <c r="AK15" s="431"/>
    </row>
    <row r="16" spans="1:37" ht="13.5" customHeight="1" x14ac:dyDescent="0.45">
      <c r="A16" s="618"/>
      <c r="B16" s="160"/>
      <c r="C16" s="516" t="s">
        <v>544</v>
      </c>
      <c r="D16" s="592">
        <f>'Copia de Emisiones Energía'!D16*'Emisiones Energía V2'!$D$137</f>
        <v>3.4555558511078751E-19</v>
      </c>
      <c r="E16" s="592">
        <f>'Copia de Emisiones Energía'!E16*'Emisiones Energía V2'!$D$137</f>
        <v>4.3194448138848431E-18</v>
      </c>
      <c r="F16" s="592" t="s">
        <v>221</v>
      </c>
      <c r="G16" s="593">
        <f t="shared" si="1"/>
        <v>1.0833167593223186E-16</v>
      </c>
      <c r="H16" s="577"/>
      <c r="I16" s="577"/>
      <c r="J16" s="577"/>
      <c r="K16" s="577"/>
      <c r="L16" s="577"/>
      <c r="M16" s="577"/>
      <c r="N16" s="577"/>
      <c r="O16" s="577"/>
      <c r="P16" s="577"/>
      <c r="Q16" s="577"/>
      <c r="R16" s="174"/>
      <c r="S16" s="174"/>
      <c r="T16" s="174"/>
      <c r="U16" s="174"/>
      <c r="V16" s="174"/>
      <c r="W16" s="174"/>
      <c r="X16" s="174"/>
      <c r="Y16" s="174"/>
      <c r="Z16" s="174"/>
      <c r="AA16" s="174"/>
      <c r="AB16" s="174"/>
      <c r="AC16" s="174"/>
      <c r="AD16" s="174"/>
      <c r="AE16" s="174"/>
      <c r="AF16" s="174"/>
      <c r="AG16" s="174"/>
      <c r="AH16" s="174"/>
      <c r="AI16" s="174"/>
      <c r="AJ16" s="174"/>
      <c r="AK16" s="431"/>
    </row>
    <row r="17" spans="1:37" ht="13.5" customHeight="1" x14ac:dyDescent="0.45">
      <c r="A17" s="618"/>
      <c r="B17" s="160"/>
      <c r="C17" s="516" t="s">
        <v>545</v>
      </c>
      <c r="D17" s="592">
        <f>'Copia de Emisiones Energía'!D17*'Emisiones Energía V2'!$D$137</f>
        <v>2.5340742908124417E-20</v>
      </c>
      <c r="E17" s="592">
        <f>'Copia de Emisiones Energía'!E17*'Emisiones Energía V2'!$D$137</f>
        <v>1.9005557181093312E-18</v>
      </c>
      <c r="F17" s="592" t="s">
        <v>221</v>
      </c>
      <c r="G17" s="593">
        <f t="shared" si="1"/>
        <v>4.7539233695641401E-17</v>
      </c>
      <c r="H17" s="585">
        <f>SUM(G17:G18)</f>
        <v>8.4090606081125037E-16</v>
      </c>
      <c r="I17" s="577"/>
      <c r="J17" s="577"/>
      <c r="K17" s="577"/>
      <c r="L17" s="577"/>
      <c r="M17" s="577"/>
      <c r="N17" s="577"/>
      <c r="O17" s="577"/>
      <c r="P17" s="577"/>
      <c r="Q17" s="577"/>
      <c r="R17" s="174"/>
      <c r="S17" s="174"/>
      <c r="T17" s="174"/>
      <c r="U17" s="174"/>
      <c r="V17" s="174"/>
      <c r="W17" s="174"/>
      <c r="X17" s="174"/>
      <c r="Y17" s="174"/>
      <c r="Z17" s="174"/>
      <c r="AA17" s="174"/>
      <c r="AB17" s="174"/>
      <c r="AC17" s="174"/>
      <c r="AD17" s="174"/>
      <c r="AE17" s="174"/>
      <c r="AF17" s="174"/>
      <c r="AG17" s="174"/>
      <c r="AH17" s="174"/>
      <c r="AI17" s="174"/>
      <c r="AJ17" s="174"/>
      <c r="AK17" s="431"/>
    </row>
    <row r="18" spans="1:37" ht="13.5" customHeight="1" x14ac:dyDescent="0.45">
      <c r="A18" s="618"/>
      <c r="B18" s="160"/>
      <c r="C18" s="516" t="s">
        <v>320</v>
      </c>
      <c r="D18" s="592">
        <f>'Copia de Emisiones Energía'!D18*'Emisiones Energía V2'!$D$137</f>
        <v>1.4686112367208468E-18</v>
      </c>
      <c r="E18" s="592">
        <f>'Copia de Emisiones Energía'!E18*'Emisiones Energía V2'!$D$137</f>
        <v>3.1675928635155525E-17</v>
      </c>
      <c r="F18" s="592" t="s">
        <v>221</v>
      </c>
      <c r="G18" s="593">
        <f t="shared" si="1"/>
        <v>7.9336682711560898E-16</v>
      </c>
      <c r="H18" s="576"/>
      <c r="I18" s="577"/>
      <c r="J18" s="577"/>
      <c r="K18" s="577"/>
      <c r="L18" s="577"/>
      <c r="M18" s="577"/>
      <c r="N18" s="577"/>
      <c r="O18" s="577"/>
      <c r="P18" s="577"/>
      <c r="Q18" s="577"/>
      <c r="R18" s="174"/>
      <c r="S18" s="174"/>
      <c r="T18" s="174"/>
      <c r="U18" s="174"/>
      <c r="V18" s="174"/>
      <c r="W18" s="174"/>
      <c r="X18" s="174"/>
      <c r="Y18" s="174"/>
      <c r="Z18" s="174"/>
      <c r="AA18" s="174"/>
      <c r="AB18" s="174"/>
      <c r="AC18" s="174"/>
      <c r="AD18" s="174"/>
      <c r="AE18" s="174"/>
      <c r="AF18" s="174"/>
      <c r="AG18" s="174"/>
      <c r="AH18" s="174"/>
      <c r="AI18" s="174"/>
      <c r="AJ18" s="174"/>
      <c r="AK18" s="431"/>
    </row>
    <row r="19" spans="1:37" ht="13.5" customHeight="1" x14ac:dyDescent="0.45">
      <c r="A19" s="4"/>
      <c r="B19" s="160"/>
      <c r="C19" s="115"/>
      <c r="D19" s="576"/>
      <c r="E19" s="576"/>
      <c r="F19" s="576"/>
      <c r="G19" s="576"/>
      <c r="H19" s="576"/>
      <c r="I19" s="577"/>
      <c r="J19" s="577"/>
      <c r="K19" s="577"/>
      <c r="L19" s="577"/>
      <c r="M19" s="577"/>
      <c r="N19" s="577"/>
      <c r="O19" s="577"/>
      <c r="P19" s="577"/>
      <c r="Q19" s="577"/>
      <c r="R19" s="174"/>
      <c r="S19" s="174"/>
      <c r="T19" s="174"/>
      <c r="U19" s="174"/>
      <c r="V19" s="174"/>
      <c r="W19" s="174"/>
      <c r="X19" s="174"/>
      <c r="Y19" s="174"/>
      <c r="Z19" s="174"/>
      <c r="AA19" s="174"/>
      <c r="AB19" s="174"/>
      <c r="AC19" s="174"/>
      <c r="AD19" s="174"/>
      <c r="AE19" s="174"/>
      <c r="AF19" s="174"/>
      <c r="AG19" s="174"/>
      <c r="AH19" s="174"/>
      <c r="AI19" s="174"/>
      <c r="AJ19" s="174"/>
      <c r="AK19" s="431"/>
    </row>
    <row r="20" spans="1:37" ht="13.5" customHeight="1" x14ac:dyDescent="0.45">
      <c r="A20" s="618"/>
      <c r="B20" s="106"/>
      <c r="C20" s="323"/>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4"/>
    </row>
    <row r="21" spans="1:37" ht="13.5" customHeight="1" x14ac:dyDescent="0.45">
      <c r="A21" s="4">
        <v>3</v>
      </c>
      <c r="B21" s="160"/>
      <c r="C21" s="111" t="s">
        <v>546</v>
      </c>
      <c r="D21" s="174"/>
      <c r="E21" s="162"/>
      <c r="F21" s="162"/>
      <c r="G21" s="162"/>
      <c r="H21" s="162"/>
      <c r="I21" s="162"/>
      <c r="J21" s="162"/>
      <c r="K21" s="162"/>
      <c r="L21" s="162"/>
      <c r="M21" s="162"/>
      <c r="N21" s="162"/>
      <c r="O21" s="162"/>
      <c r="P21" s="162"/>
      <c r="Q21" s="162"/>
      <c r="R21" s="162"/>
      <c r="S21" s="162"/>
      <c r="T21" s="174"/>
      <c r="U21" s="174"/>
      <c r="V21" s="174"/>
      <c r="W21" s="174"/>
      <c r="X21" s="174"/>
      <c r="Y21" s="174"/>
      <c r="Z21" s="174"/>
      <c r="AA21" s="174"/>
      <c r="AB21" s="174"/>
      <c r="AC21" s="174"/>
      <c r="AD21" s="174"/>
      <c r="AE21" s="174"/>
      <c r="AF21" s="174"/>
      <c r="AG21" s="174"/>
      <c r="AH21" s="174"/>
      <c r="AI21" s="174"/>
      <c r="AJ21" s="174"/>
      <c r="AK21" s="431"/>
    </row>
    <row r="22" spans="1:37" ht="13.5" customHeight="1" x14ac:dyDescent="0.45">
      <c r="A22" s="4"/>
      <c r="B22" s="160"/>
      <c r="C22" s="111"/>
      <c r="D22" s="174"/>
      <c r="E22" s="162"/>
      <c r="F22" s="162"/>
      <c r="G22" s="162"/>
      <c r="H22" s="162"/>
      <c r="I22" s="162"/>
      <c r="J22" s="162"/>
      <c r="K22" s="162"/>
      <c r="L22" s="162"/>
      <c r="M22" s="162"/>
      <c r="N22" s="162"/>
      <c r="O22" s="162"/>
      <c r="P22" s="162"/>
      <c r="Q22" s="162"/>
      <c r="R22" s="162"/>
      <c r="S22" s="162"/>
      <c r="T22" s="174"/>
      <c r="U22" s="174"/>
      <c r="V22" s="174"/>
      <c r="W22" s="174"/>
      <c r="X22" s="174"/>
      <c r="Y22" s="174"/>
      <c r="Z22" s="174"/>
      <c r="AA22" s="174"/>
      <c r="AB22" s="174"/>
      <c r="AC22" s="174"/>
      <c r="AD22" s="174"/>
      <c r="AE22" s="174"/>
      <c r="AF22" s="174"/>
      <c r="AG22" s="174"/>
      <c r="AH22" s="174"/>
      <c r="AI22" s="174"/>
      <c r="AJ22" s="174"/>
      <c r="AK22" s="431"/>
    </row>
    <row r="23" spans="1:37" ht="13.5" customHeight="1" x14ac:dyDescent="0.45">
      <c r="A23" s="4"/>
      <c r="B23" s="160"/>
      <c r="C23" s="111" t="s">
        <v>547</v>
      </c>
      <c r="D23" s="174"/>
      <c r="E23" s="162"/>
      <c r="F23" s="162"/>
      <c r="G23" s="162"/>
      <c r="H23" s="162"/>
      <c r="I23" s="162"/>
      <c r="J23" s="162"/>
      <c r="K23" s="162"/>
      <c r="L23" s="162"/>
      <c r="M23" s="162"/>
      <c r="N23" s="162"/>
      <c r="O23" s="162"/>
      <c r="P23" s="162"/>
      <c r="Q23" s="162"/>
      <c r="R23" s="162"/>
      <c r="S23" s="162"/>
      <c r="T23" s="174"/>
      <c r="U23" s="174"/>
      <c r="V23" s="174"/>
      <c r="W23" s="174"/>
      <c r="X23" s="174"/>
      <c r="Y23" s="174"/>
      <c r="Z23" s="174"/>
      <c r="AA23" s="174"/>
      <c r="AB23" s="174"/>
      <c r="AC23" s="174"/>
      <c r="AD23" s="174"/>
      <c r="AE23" s="174"/>
      <c r="AF23" s="174"/>
      <c r="AG23" s="174"/>
      <c r="AH23" s="174"/>
      <c r="AI23" s="174"/>
      <c r="AJ23" s="174"/>
      <c r="AK23" s="431"/>
    </row>
    <row r="24" spans="1:37" ht="13.5" customHeight="1" x14ac:dyDescent="0.45">
      <c r="A24" s="618"/>
      <c r="B24" s="160"/>
      <c r="C24" s="115" t="s">
        <v>548</v>
      </c>
      <c r="D24" s="577" t="s">
        <v>532</v>
      </c>
      <c r="E24" s="577" t="s">
        <v>533</v>
      </c>
      <c r="F24" s="577" t="s">
        <v>534</v>
      </c>
      <c r="G24" s="582" t="s">
        <v>535</v>
      </c>
      <c r="H24" s="162"/>
      <c r="I24" s="162"/>
      <c r="J24" s="162"/>
      <c r="K24" s="162"/>
      <c r="L24" s="162"/>
      <c r="M24" s="162"/>
      <c r="N24" s="162"/>
      <c r="O24" s="162"/>
      <c r="P24" s="162"/>
      <c r="Q24" s="162"/>
      <c r="R24" s="162"/>
      <c r="S24" s="162"/>
      <c r="T24" s="174"/>
      <c r="U24" s="174"/>
      <c r="V24" s="174"/>
      <c r="W24" s="174"/>
      <c r="X24" s="174"/>
      <c r="Y24" s="174"/>
      <c r="Z24" s="174"/>
      <c r="AA24" s="174"/>
      <c r="AB24" s="174"/>
      <c r="AC24" s="174"/>
      <c r="AD24" s="174"/>
      <c r="AE24" s="174"/>
      <c r="AF24" s="174"/>
      <c r="AG24" s="174"/>
      <c r="AH24" s="174"/>
      <c r="AI24" s="174"/>
      <c r="AJ24" s="174"/>
      <c r="AK24" s="431"/>
    </row>
    <row r="25" spans="1:37" ht="13.5" customHeight="1" x14ac:dyDescent="0.45">
      <c r="A25" s="4"/>
      <c r="B25" s="160"/>
      <c r="C25" s="115" t="s">
        <v>549</v>
      </c>
      <c r="D25" s="162">
        <f>'Copia de Emisiones Energía'!D25*'Emisiones Energía V2'!$D$140</f>
        <v>7.4099999999999999E-2</v>
      </c>
      <c r="E25" s="162">
        <f>'Copia de Emisiones Energía'!E25*'Emisiones Energía V2'!$D$140</f>
        <v>3.0000000000000001E-6</v>
      </c>
      <c r="F25" s="162">
        <f>'Copia de Emisiones Energía'!F25*'Emisiones Energía V2'!$D$140</f>
        <v>5.9999999999999997E-7</v>
      </c>
      <c r="G25" s="583">
        <f t="shared" ref="G25" si="2">(D25*$D$144)+(E25*$D$145)+(F25*$D$146)</f>
        <v>7.4353800000000012E-2</v>
      </c>
      <c r="H25" s="162"/>
      <c r="I25" s="162"/>
      <c r="J25" s="162"/>
      <c r="K25" s="162"/>
      <c r="L25" s="162"/>
      <c r="M25" s="162"/>
      <c r="N25" s="162"/>
      <c r="O25" s="162"/>
      <c r="P25" s="162"/>
      <c r="Q25" s="162"/>
      <c r="R25" s="162"/>
      <c r="S25" s="162"/>
      <c r="T25" s="174"/>
      <c r="U25" s="174"/>
      <c r="V25" s="174"/>
      <c r="W25" s="174"/>
      <c r="X25" s="174"/>
      <c r="Y25" s="174"/>
      <c r="Z25" s="174"/>
      <c r="AA25" s="174"/>
      <c r="AB25" s="174"/>
      <c r="AC25" s="174"/>
      <c r="AD25" s="174"/>
      <c r="AE25" s="174"/>
      <c r="AF25" s="174"/>
      <c r="AG25" s="174"/>
      <c r="AH25" s="174"/>
      <c r="AI25" s="174"/>
      <c r="AJ25" s="174"/>
      <c r="AK25" s="431"/>
    </row>
    <row r="26" spans="1:37" ht="13.5" customHeight="1" x14ac:dyDescent="0.45">
      <c r="A26" s="4"/>
      <c r="B26" s="160"/>
      <c r="C26" s="115" t="s">
        <v>550</v>
      </c>
      <c r="D26" s="162">
        <f>'Copia de Emisiones Energía'!D26*'Emisiones Energía V2'!$D$140</f>
        <v>7.7399999999999997E-2</v>
      </c>
      <c r="E26" s="162">
        <f>'Copia de Emisiones Energía'!E26*'Emisiones Energía V2'!$D$140</f>
        <v>3.0000000000000001E-6</v>
      </c>
      <c r="F26" s="162">
        <f>'Copia de Emisiones Energía'!F26*'Emisiones Energía V2'!$D$140</f>
        <v>5.9999999999999997E-7</v>
      </c>
      <c r="G26" s="583">
        <f>(D26*$D$144)+(E26*$D$145)</f>
        <v>7.7475000000000002E-2</v>
      </c>
      <c r="H26" s="162"/>
      <c r="I26" s="162"/>
      <c r="J26" s="162"/>
      <c r="K26" s="162"/>
      <c r="L26" s="162"/>
      <c r="M26" s="162"/>
      <c r="N26" s="162"/>
      <c r="O26" s="162"/>
      <c r="P26" s="162"/>
      <c r="Q26" s="162"/>
      <c r="R26" s="162"/>
      <c r="S26" s="162"/>
      <c r="T26" s="174"/>
      <c r="U26" s="174"/>
      <c r="V26" s="174"/>
      <c r="W26" s="174"/>
      <c r="X26" s="174"/>
      <c r="Y26" s="174"/>
      <c r="Z26" s="174"/>
      <c r="AA26" s="174"/>
      <c r="AB26" s="174"/>
      <c r="AC26" s="174"/>
      <c r="AD26" s="174"/>
      <c r="AE26" s="174"/>
      <c r="AF26" s="174"/>
      <c r="AG26" s="174"/>
      <c r="AH26" s="174"/>
      <c r="AI26" s="174"/>
      <c r="AJ26" s="174"/>
      <c r="AK26" s="431"/>
    </row>
    <row r="27" spans="1:37" ht="13.5" customHeight="1" x14ac:dyDescent="0.45">
      <c r="A27" s="4"/>
      <c r="B27" s="160"/>
      <c r="C27" s="115" t="s">
        <v>551</v>
      </c>
      <c r="D27" s="162">
        <f>'Copia de Emisiones Energía'!D27*'Emisiones Energía V2'!$D$140</f>
        <v>5.6099999999999997E-2</v>
      </c>
      <c r="E27" s="162">
        <f>'Copia de Emisiones Energía'!E27*'Emisiones Energía V2'!$D$140</f>
        <v>9.9999999999999995E-7</v>
      </c>
      <c r="F27" s="162">
        <f>'Copia de Emisiones Energía'!F27*'Emisiones Energía V2'!$D$140</f>
        <v>9.9999999999999995E-8</v>
      </c>
      <c r="G27" s="583">
        <f t="shared" ref="G27:G28" si="3">(D27*$D$144)+(E27*$D$145)</f>
        <v>5.6124999999999994E-2</v>
      </c>
      <c r="H27" s="162"/>
      <c r="I27" s="162"/>
      <c r="J27" s="162"/>
      <c r="K27" s="162"/>
      <c r="L27" s="162"/>
      <c r="M27" s="162"/>
      <c r="N27" s="162"/>
      <c r="O27" s="162"/>
      <c r="P27" s="162"/>
      <c r="Q27" s="162"/>
      <c r="R27" s="162"/>
      <c r="S27" s="162"/>
      <c r="T27" s="174"/>
      <c r="U27" s="174"/>
      <c r="V27" s="174"/>
      <c r="W27" s="174"/>
      <c r="X27" s="174"/>
      <c r="Y27" s="174"/>
      <c r="Z27" s="174"/>
      <c r="AA27" s="174"/>
      <c r="AB27" s="174"/>
      <c r="AC27" s="174"/>
      <c r="AD27" s="174"/>
      <c r="AE27" s="174"/>
      <c r="AF27" s="174"/>
      <c r="AG27" s="174"/>
      <c r="AH27" s="174"/>
      <c r="AI27" s="174"/>
      <c r="AJ27" s="174"/>
      <c r="AK27" s="431"/>
    </row>
    <row r="28" spans="1:37" ht="13.5" customHeight="1" x14ac:dyDescent="0.45">
      <c r="A28" s="4"/>
      <c r="B28" s="160"/>
      <c r="C28" s="115" t="s">
        <v>552</v>
      </c>
      <c r="D28" s="162">
        <f>'Copia de Emisiones Energía'!D28*'Emisiones Energía V2'!$D$140</f>
        <v>9.9999999999999992E-2</v>
      </c>
      <c r="E28" s="162">
        <f>'Copia de Emisiones Energía'!E28*'Emisiones Energía V2'!$D$140</f>
        <v>2.9999999999999997E-5</v>
      </c>
      <c r="F28" s="162">
        <f>'Copia de Emisiones Energía'!F28*'Emisiones Energía V2'!$D$140</f>
        <v>3.9999999999999998E-6</v>
      </c>
      <c r="G28" s="583">
        <f t="shared" si="3"/>
        <v>0.10074999999999999</v>
      </c>
      <c r="H28" s="162"/>
      <c r="I28" s="162"/>
      <c r="J28" s="162"/>
      <c r="K28" s="162"/>
      <c r="L28" s="162"/>
      <c r="M28" s="162"/>
      <c r="N28" s="162"/>
      <c r="O28" s="162"/>
      <c r="P28" s="162"/>
      <c r="Q28" s="162"/>
      <c r="R28" s="162"/>
      <c r="S28" s="162"/>
      <c r="T28" s="174"/>
      <c r="U28" s="174"/>
      <c r="V28" s="174"/>
      <c r="W28" s="174"/>
      <c r="X28" s="174"/>
      <c r="Y28" s="174"/>
      <c r="Z28" s="174"/>
      <c r="AA28" s="174"/>
      <c r="AB28" s="174"/>
      <c r="AC28" s="174"/>
      <c r="AD28" s="174"/>
      <c r="AE28" s="174"/>
      <c r="AF28" s="174"/>
      <c r="AG28" s="174"/>
      <c r="AH28" s="174"/>
      <c r="AI28" s="174"/>
      <c r="AJ28" s="174"/>
      <c r="AK28" s="431"/>
    </row>
    <row r="29" spans="1:37" ht="13.5" customHeight="1" x14ac:dyDescent="0.45">
      <c r="A29" s="4"/>
      <c r="B29" s="160"/>
      <c r="C29" s="115"/>
      <c r="D29" s="162"/>
      <c r="E29" s="162"/>
      <c r="F29" s="162"/>
      <c r="G29" s="162"/>
      <c r="H29" s="162"/>
      <c r="I29" s="162"/>
      <c r="J29" s="162"/>
      <c r="K29" s="162"/>
      <c r="L29" s="162"/>
      <c r="M29" s="162"/>
      <c r="N29" s="162"/>
      <c r="O29" s="162"/>
      <c r="P29" s="162"/>
      <c r="Q29" s="162"/>
      <c r="R29" s="162"/>
      <c r="S29" s="162"/>
      <c r="T29" s="174"/>
      <c r="U29" s="174"/>
      <c r="V29" s="174"/>
      <c r="W29" s="174"/>
      <c r="X29" s="174"/>
      <c r="Y29" s="174"/>
      <c r="Z29" s="174"/>
      <c r="AA29" s="174"/>
      <c r="AB29" s="174"/>
      <c r="AC29" s="174"/>
      <c r="AD29" s="174"/>
      <c r="AE29" s="174"/>
      <c r="AF29" s="174"/>
      <c r="AG29" s="174"/>
      <c r="AH29" s="174"/>
      <c r="AI29" s="174"/>
      <c r="AJ29" s="174"/>
      <c r="AK29" s="431"/>
    </row>
    <row r="30" spans="1:37" ht="13.5" customHeight="1" x14ac:dyDescent="0.45">
      <c r="A30" s="4"/>
      <c r="B30" s="160"/>
      <c r="C30" s="574" t="s">
        <v>553</v>
      </c>
      <c r="D30" s="162"/>
      <c r="E30" s="162"/>
      <c r="F30" s="162"/>
      <c r="G30" s="162"/>
      <c r="H30" s="162"/>
      <c r="I30" s="162"/>
      <c r="J30" s="162"/>
      <c r="K30" s="162"/>
      <c r="L30" s="162"/>
      <c r="M30" s="162"/>
      <c r="N30" s="162"/>
      <c r="O30" s="162"/>
      <c r="P30" s="162"/>
      <c r="Q30" s="162"/>
      <c r="R30" s="162"/>
      <c r="S30" s="162"/>
      <c r="T30" s="174"/>
      <c r="U30" s="174"/>
      <c r="V30" s="174"/>
      <c r="W30" s="174"/>
      <c r="X30" s="174"/>
      <c r="Y30" s="174"/>
      <c r="Z30" s="174"/>
      <c r="AA30" s="174"/>
      <c r="AB30" s="174"/>
      <c r="AC30" s="174"/>
      <c r="AD30" s="174"/>
      <c r="AE30" s="174"/>
      <c r="AF30" s="174"/>
      <c r="AG30" s="174"/>
      <c r="AH30" s="174"/>
      <c r="AI30" s="174"/>
      <c r="AJ30" s="174"/>
      <c r="AK30" s="431"/>
    </row>
    <row r="31" spans="1:37" ht="13.5" customHeight="1" x14ac:dyDescent="0.45">
      <c r="A31" s="4"/>
      <c r="B31" s="160"/>
      <c r="C31" s="575" t="s">
        <v>548</v>
      </c>
      <c r="D31" s="577" t="s">
        <v>532</v>
      </c>
      <c r="E31" s="577" t="s">
        <v>533</v>
      </c>
      <c r="F31" s="577" t="s">
        <v>534</v>
      </c>
      <c r="G31" s="582" t="s">
        <v>535</v>
      </c>
      <c r="H31" s="162"/>
      <c r="I31" s="162"/>
      <c r="J31" s="162"/>
      <c r="K31" s="162"/>
      <c r="L31" s="162"/>
      <c r="M31" s="162"/>
      <c r="N31" s="162"/>
      <c r="O31" s="162"/>
      <c r="P31" s="162"/>
      <c r="Q31" s="162"/>
      <c r="R31" s="162"/>
      <c r="S31" s="162"/>
      <c r="T31" s="174"/>
      <c r="U31" s="174"/>
      <c r="V31" s="174"/>
      <c r="W31" s="174"/>
      <c r="X31" s="174"/>
      <c r="Y31" s="174"/>
      <c r="Z31" s="174"/>
      <c r="AA31" s="174"/>
      <c r="AB31" s="174"/>
      <c r="AC31" s="174"/>
      <c r="AD31" s="174"/>
      <c r="AE31" s="174"/>
      <c r="AF31" s="174"/>
      <c r="AG31" s="174"/>
      <c r="AH31" s="174"/>
      <c r="AI31" s="174"/>
      <c r="AJ31" s="174"/>
      <c r="AK31" s="431"/>
    </row>
    <row r="32" spans="1:37" ht="13.5" customHeight="1" x14ac:dyDescent="0.45">
      <c r="A32" s="4">
        <v>65.400000000000006</v>
      </c>
      <c r="B32" s="160"/>
      <c r="C32" s="575" t="s">
        <v>554</v>
      </c>
      <c r="D32" s="576">
        <f>'Copia de Emisiones Energía'!D32*'Emisiones Energía V2'!$D$140</f>
        <v>6.93E-2</v>
      </c>
      <c r="E32" s="576">
        <f>'Copia de Emisiones Energía'!E32*'Emisiones Energía V2'!$D$140</f>
        <v>3.0000000000000001E-6</v>
      </c>
      <c r="F32" s="576">
        <f>'Copia de Emisiones Energía'!F32*'Emisiones Energía V2'!$D$140</f>
        <v>5.9999999999999997E-7</v>
      </c>
      <c r="G32" s="583">
        <f t="shared" ref="G32" si="4">(D32*$D$144)+(E32*$D$145)+(F32*$D$146)</f>
        <v>6.9553800000000013E-2</v>
      </c>
      <c r="H32" s="162"/>
      <c r="I32" s="162"/>
      <c r="J32" s="162"/>
      <c r="K32" s="162"/>
      <c r="L32" s="162"/>
      <c r="M32" s="162"/>
      <c r="N32" s="162"/>
      <c r="O32" s="162"/>
      <c r="P32" s="162"/>
      <c r="Q32" s="162"/>
      <c r="R32" s="162"/>
      <c r="S32" s="162"/>
      <c r="T32" s="174"/>
      <c r="U32" s="174"/>
      <c r="V32" s="174"/>
      <c r="W32" s="174"/>
      <c r="X32" s="174"/>
      <c r="Y32" s="174"/>
      <c r="Z32" s="174"/>
      <c r="AA32" s="174"/>
      <c r="AB32" s="174"/>
      <c r="AC32" s="174"/>
      <c r="AD32" s="174"/>
      <c r="AE32" s="174"/>
      <c r="AF32" s="174"/>
      <c r="AG32" s="174"/>
      <c r="AH32" s="174"/>
      <c r="AI32" s="174"/>
      <c r="AJ32" s="174"/>
      <c r="AK32" s="431"/>
    </row>
    <row r="33" spans="1:37" ht="13.5" customHeight="1" x14ac:dyDescent="0.45">
      <c r="A33" s="4">
        <v>5.3</v>
      </c>
      <c r="B33" s="160"/>
      <c r="C33" s="575" t="s">
        <v>555</v>
      </c>
      <c r="D33" s="576">
        <f>'Copia de Emisiones Energía'!D33*'Emisiones Energía V2'!$D$140</f>
        <v>7.1499999999999994E-2</v>
      </c>
      <c r="E33" s="576">
        <f>'Copia de Emisiones Energía'!E33*'Emisiones Energía V2'!$D$140</f>
        <v>3.0000000000000001E-6</v>
      </c>
      <c r="F33" s="576">
        <f>'Copia de Emisiones Energía'!F33*'Emisiones Energía V2'!$D$140</f>
        <v>5.9999999999999997E-7</v>
      </c>
      <c r="G33" s="583">
        <f>(D33*$D$144)+(E33*$D$145)</f>
        <v>7.1575E-2</v>
      </c>
      <c r="H33" s="162"/>
      <c r="I33" s="162"/>
      <c r="J33" s="162"/>
      <c r="K33" s="162"/>
      <c r="L33" s="162"/>
      <c r="M33" s="162"/>
      <c r="N33" s="162"/>
      <c r="O33" s="162"/>
      <c r="P33" s="162"/>
      <c r="Q33" s="162"/>
      <c r="R33" s="162"/>
      <c r="S33" s="162"/>
      <c r="T33" s="174"/>
      <c r="U33" s="174"/>
      <c r="V33" s="174"/>
      <c r="W33" s="174"/>
      <c r="X33" s="174"/>
      <c r="Y33" s="174"/>
      <c r="Z33" s="174"/>
      <c r="AA33" s="174"/>
      <c r="AB33" s="174"/>
      <c r="AC33" s="174"/>
      <c r="AD33" s="174"/>
      <c r="AE33" s="174"/>
      <c r="AF33" s="174"/>
      <c r="AG33" s="174"/>
      <c r="AH33" s="174"/>
      <c r="AI33" s="174"/>
      <c r="AJ33" s="174"/>
      <c r="AK33" s="431"/>
    </row>
    <row r="34" spans="1:37" ht="13.5" customHeight="1" x14ac:dyDescent="0.45">
      <c r="A34" s="4">
        <v>79.7</v>
      </c>
      <c r="B34" s="160"/>
      <c r="C34" s="575" t="s">
        <v>549</v>
      </c>
      <c r="D34" s="576">
        <f>'Copia de Emisiones Energía'!D34*'Emisiones Energía V2'!$D$140</f>
        <v>7.4099999999999999E-2</v>
      </c>
      <c r="E34" s="576">
        <f>'Copia de Emisiones Energía'!E34*'Emisiones Energía V2'!$D$140</f>
        <v>3.0000000000000001E-6</v>
      </c>
      <c r="F34" s="576">
        <f>'Copia de Emisiones Energía'!F34*'Emisiones Energía V2'!$D$140</f>
        <v>5.9999999999999997E-7</v>
      </c>
      <c r="G34" s="583">
        <f t="shared" ref="G34:G37" si="5">(D34*$D$144)+(E34*$D$145)</f>
        <v>7.4175000000000005E-2</v>
      </c>
      <c r="H34" s="162"/>
      <c r="I34" s="162"/>
      <c r="J34" s="162"/>
      <c r="K34" s="162"/>
      <c r="L34" s="162"/>
      <c r="M34" s="162"/>
      <c r="N34" s="162"/>
      <c r="O34" s="162"/>
      <c r="P34" s="162"/>
      <c r="Q34" s="162"/>
      <c r="R34" s="162"/>
      <c r="S34" s="162"/>
      <c r="T34" s="174"/>
      <c r="U34" s="174"/>
      <c r="V34" s="174"/>
      <c r="W34" s="174"/>
      <c r="X34" s="174"/>
      <c r="Y34" s="174"/>
      <c r="Z34" s="174"/>
      <c r="AA34" s="174"/>
      <c r="AB34" s="174"/>
      <c r="AC34" s="174"/>
      <c r="AD34" s="174"/>
      <c r="AE34" s="174"/>
      <c r="AF34" s="174"/>
      <c r="AG34" s="174"/>
      <c r="AH34" s="174"/>
      <c r="AI34" s="174"/>
      <c r="AJ34" s="174"/>
      <c r="AK34" s="431"/>
    </row>
    <row r="35" spans="1:37" ht="13.5" customHeight="1" x14ac:dyDescent="0.45">
      <c r="A35" s="4">
        <v>134</v>
      </c>
      <c r="B35" s="160"/>
      <c r="C35" s="575" t="s">
        <v>550</v>
      </c>
      <c r="D35" s="576">
        <f>'Copia de Emisiones Energía'!D35*'Emisiones Energía V2'!$D$140</f>
        <v>7.7399999999999997E-2</v>
      </c>
      <c r="E35" s="576">
        <f>'Copia de Emisiones Energía'!E35*'Emisiones Energía V2'!$D$140</f>
        <v>3.0000000000000001E-6</v>
      </c>
      <c r="F35" s="576">
        <f>'Copia de Emisiones Energía'!F35*'Emisiones Energía V2'!$D$140</f>
        <v>5.9999999999999997E-7</v>
      </c>
      <c r="G35" s="583">
        <f t="shared" si="5"/>
        <v>7.7475000000000002E-2</v>
      </c>
      <c r="H35" s="162"/>
      <c r="I35" s="162"/>
      <c r="J35" s="162"/>
      <c r="K35" s="162"/>
      <c r="L35" s="162"/>
      <c r="M35" s="162"/>
      <c r="N35" s="162"/>
      <c r="O35" s="162"/>
      <c r="P35" s="162"/>
      <c r="Q35" s="162"/>
      <c r="R35" s="162"/>
      <c r="S35" s="162"/>
      <c r="T35" s="174"/>
      <c r="U35" s="174"/>
      <c r="V35" s="174"/>
      <c r="W35" s="174"/>
      <c r="X35" s="174"/>
      <c r="Y35" s="174"/>
      <c r="Z35" s="174"/>
      <c r="AA35" s="174"/>
      <c r="AB35" s="174"/>
      <c r="AC35" s="174"/>
      <c r="AD35" s="174"/>
      <c r="AE35" s="174"/>
      <c r="AF35" s="174"/>
      <c r="AG35" s="174"/>
      <c r="AH35" s="174"/>
      <c r="AI35" s="174"/>
      <c r="AJ35" s="174"/>
      <c r="AK35" s="431"/>
    </row>
    <row r="36" spans="1:37" ht="13.5" customHeight="1" x14ac:dyDescent="0.45">
      <c r="A36" s="4">
        <v>2.85</v>
      </c>
      <c r="B36" s="160"/>
      <c r="C36" s="575" t="s">
        <v>556</v>
      </c>
      <c r="D36" s="576">
        <f>'Copia de Emisiones Energía'!D36*'Emisiones Energía V2'!$D$140</f>
        <v>6.3100000000000003E-2</v>
      </c>
      <c r="E36" s="576">
        <f>'Copia de Emisiones Energía'!E36*'Emisiones Energía V2'!$D$140</f>
        <v>9.9999999999999995E-7</v>
      </c>
      <c r="F36" s="576">
        <f>'Copia de Emisiones Energía'!F36*'Emisiones Energía V2'!$D$140</f>
        <v>9.9999999999999995E-8</v>
      </c>
      <c r="G36" s="583">
        <f t="shared" si="5"/>
        <v>6.3125000000000001E-2</v>
      </c>
      <c r="H36" s="162"/>
      <c r="I36" s="162"/>
      <c r="J36" s="162"/>
      <c r="K36" s="162"/>
      <c r="L36" s="162"/>
      <c r="M36" s="162"/>
      <c r="N36" s="162"/>
      <c r="O36" s="162"/>
      <c r="P36" s="162"/>
      <c r="Q36" s="162"/>
      <c r="R36" s="162"/>
      <c r="S36" s="162"/>
      <c r="T36" s="174"/>
      <c r="U36" s="174"/>
      <c r="V36" s="174"/>
      <c r="W36" s="174"/>
      <c r="X36" s="174"/>
      <c r="Y36" s="174"/>
      <c r="Z36" s="174"/>
      <c r="AA36" s="174"/>
      <c r="AB36" s="174"/>
      <c r="AC36" s="174"/>
      <c r="AD36" s="174"/>
      <c r="AE36" s="174"/>
      <c r="AF36" s="174"/>
      <c r="AG36" s="174"/>
      <c r="AH36" s="174"/>
      <c r="AI36" s="174"/>
      <c r="AJ36" s="174"/>
      <c r="AK36" s="431"/>
    </row>
    <row r="37" spans="1:37" ht="13.5" customHeight="1" x14ac:dyDescent="0.45">
      <c r="A37" s="4"/>
      <c r="B37" s="160"/>
      <c r="C37" s="575" t="s">
        <v>557</v>
      </c>
      <c r="D37" s="576">
        <f>'Copia de Emisiones Energía'!D37*'Emisiones Energía V2'!$D$140</f>
        <v>5.7599999999999998E-2</v>
      </c>
      <c r="E37" s="576">
        <f>'Copia de Emisiones Energía'!E37*'Emisiones Energía V2'!$D$140</f>
        <v>9.9999999999999995E-7</v>
      </c>
      <c r="F37" s="576">
        <f>'Copia de Emisiones Energía'!F37*'Emisiones Energía V2'!$D$140</f>
        <v>9.9999999999999995E-8</v>
      </c>
      <c r="G37" s="583">
        <f t="shared" si="5"/>
        <v>5.7624999999999996E-2</v>
      </c>
      <c r="H37" s="162"/>
      <c r="I37" s="162"/>
      <c r="J37" s="162"/>
      <c r="K37" s="162"/>
      <c r="L37" s="162"/>
      <c r="M37" s="162"/>
      <c r="N37" s="162"/>
      <c r="O37" s="162"/>
      <c r="P37" s="162"/>
      <c r="Q37" s="162"/>
      <c r="R37" s="162"/>
      <c r="S37" s="162"/>
      <c r="T37" s="174"/>
      <c r="U37" s="174"/>
      <c r="V37" s="174"/>
      <c r="W37" s="174"/>
      <c r="X37" s="174"/>
      <c r="Y37" s="174"/>
      <c r="Z37" s="174"/>
      <c r="AA37" s="174"/>
      <c r="AB37" s="174"/>
      <c r="AC37" s="174"/>
      <c r="AD37" s="174"/>
      <c r="AE37" s="174"/>
      <c r="AF37" s="174"/>
      <c r="AG37" s="174"/>
      <c r="AH37" s="174"/>
      <c r="AI37" s="174"/>
      <c r="AJ37" s="174"/>
      <c r="AK37" s="431"/>
    </row>
    <row r="38" spans="1:37" ht="13.5" customHeight="1" x14ac:dyDescent="0.45">
      <c r="A38" s="4"/>
      <c r="B38" s="160"/>
      <c r="C38" s="575"/>
      <c r="D38" s="576"/>
      <c r="E38" s="162"/>
      <c r="F38" s="162"/>
      <c r="G38" s="162"/>
      <c r="H38" s="162"/>
      <c r="I38" s="162"/>
      <c r="J38" s="162"/>
      <c r="K38" s="162"/>
      <c r="L38" s="162"/>
      <c r="M38" s="162"/>
      <c r="N38" s="162"/>
      <c r="O38" s="162"/>
      <c r="P38" s="162"/>
      <c r="Q38" s="162"/>
      <c r="R38" s="162"/>
      <c r="S38" s="162"/>
      <c r="T38" s="174"/>
      <c r="U38" s="174"/>
      <c r="V38" s="174"/>
      <c r="W38" s="174"/>
      <c r="X38" s="174"/>
      <c r="Y38" s="174"/>
      <c r="Z38" s="174"/>
      <c r="AA38" s="174"/>
      <c r="AB38" s="174"/>
      <c r="AC38" s="174"/>
      <c r="AD38" s="174"/>
      <c r="AE38" s="174"/>
      <c r="AF38" s="174"/>
      <c r="AG38" s="174"/>
      <c r="AH38" s="174"/>
      <c r="AI38" s="174"/>
      <c r="AJ38" s="174"/>
      <c r="AK38" s="431"/>
    </row>
    <row r="39" spans="1:37" ht="13.5" customHeight="1" x14ac:dyDescent="0.45">
      <c r="A39" s="4"/>
      <c r="B39" s="160"/>
      <c r="C39" s="111" t="s">
        <v>558</v>
      </c>
      <c r="D39" s="577"/>
      <c r="E39" s="162"/>
      <c r="F39" s="162"/>
      <c r="G39" s="162"/>
      <c r="H39" s="162"/>
      <c r="I39" s="162"/>
      <c r="J39" s="162"/>
      <c r="K39" s="162"/>
      <c r="L39" s="162"/>
      <c r="M39" s="162"/>
      <c r="N39" s="162"/>
      <c r="O39" s="162"/>
      <c r="P39" s="162"/>
      <c r="Q39" s="162"/>
      <c r="R39" s="162"/>
      <c r="S39" s="162"/>
      <c r="T39" s="174"/>
      <c r="U39" s="174"/>
      <c r="V39" s="174"/>
      <c r="W39" s="174"/>
      <c r="X39" s="174"/>
      <c r="Y39" s="174"/>
      <c r="Z39" s="174"/>
      <c r="AA39" s="174"/>
      <c r="AB39" s="174"/>
      <c r="AC39" s="174"/>
      <c r="AD39" s="174"/>
      <c r="AE39" s="174"/>
      <c r="AF39" s="174"/>
      <c r="AG39" s="174"/>
      <c r="AH39" s="174"/>
      <c r="AI39" s="174"/>
      <c r="AJ39" s="174"/>
      <c r="AK39" s="431"/>
    </row>
    <row r="40" spans="1:37" ht="13.5" customHeight="1" x14ac:dyDescent="0.45">
      <c r="A40" s="4"/>
      <c r="B40" s="160"/>
      <c r="C40" s="115" t="s">
        <v>548</v>
      </c>
      <c r="D40" s="577" t="s">
        <v>532</v>
      </c>
      <c r="E40" s="577" t="s">
        <v>533</v>
      </c>
      <c r="F40" s="577" t="s">
        <v>534</v>
      </c>
      <c r="G40" s="582" t="s">
        <v>535</v>
      </c>
      <c r="H40" s="162"/>
      <c r="I40" s="162"/>
      <c r="J40" s="162"/>
      <c r="K40" s="162"/>
      <c r="L40" s="162"/>
      <c r="M40" s="162"/>
      <c r="N40" s="162"/>
      <c r="O40" s="162"/>
      <c r="P40" s="162"/>
      <c r="Q40" s="162"/>
      <c r="R40" s="162"/>
      <c r="S40" s="162"/>
      <c r="T40" s="174"/>
      <c r="U40" s="174"/>
      <c r="V40" s="174"/>
      <c r="W40" s="174"/>
      <c r="X40" s="174"/>
      <c r="Y40" s="174"/>
      <c r="Z40" s="174"/>
      <c r="AA40" s="174"/>
      <c r="AB40" s="174"/>
      <c r="AC40" s="174"/>
      <c r="AD40" s="174"/>
      <c r="AE40" s="174"/>
      <c r="AF40" s="174"/>
      <c r="AG40" s="174"/>
      <c r="AH40" s="174"/>
      <c r="AI40" s="174"/>
      <c r="AJ40" s="174"/>
      <c r="AK40" s="431"/>
    </row>
    <row r="41" spans="1:37" ht="13.5" customHeight="1" x14ac:dyDescent="0.45">
      <c r="A41" s="4"/>
      <c r="B41" s="160"/>
      <c r="C41" s="115" t="s">
        <v>559</v>
      </c>
      <c r="D41" s="162">
        <f>'Copia de Emisiones Energía'!D41*'Emisiones Energía V2'!$D$140</f>
        <v>5.6099999999999997E-2</v>
      </c>
      <c r="E41" s="162">
        <f>'Copia de Emisiones Energía'!E41*'Emisiones Energía V2'!$D$140</f>
        <v>4.9999999999999996E-6</v>
      </c>
      <c r="F41" s="162">
        <f>'Copia de Emisiones Energía'!F41*'Emisiones Energía V2'!$D$140</f>
        <v>9.9999999999999995E-8</v>
      </c>
      <c r="G41" s="583">
        <f t="shared" ref="G41:G49" si="6">(D41*$D$144)+(E41*$D$145)</f>
        <v>5.6224999999999997E-2</v>
      </c>
      <c r="H41" s="162"/>
      <c r="I41" s="162"/>
      <c r="J41" s="162"/>
      <c r="K41" s="162"/>
      <c r="L41" s="162"/>
      <c r="M41" s="162"/>
      <c r="N41" s="162"/>
      <c r="O41" s="162"/>
      <c r="P41" s="162"/>
      <c r="Q41" s="162"/>
      <c r="R41" s="162"/>
      <c r="S41" s="162"/>
      <c r="T41" s="174"/>
      <c r="U41" s="174"/>
      <c r="V41" s="174"/>
      <c r="W41" s="174"/>
      <c r="X41" s="174"/>
      <c r="Y41" s="174"/>
      <c r="Z41" s="174"/>
      <c r="AA41" s="174"/>
      <c r="AB41" s="174"/>
      <c r="AC41" s="174"/>
      <c r="AD41" s="174"/>
      <c r="AE41" s="174"/>
      <c r="AF41" s="174"/>
      <c r="AG41" s="174"/>
      <c r="AH41" s="174"/>
      <c r="AI41" s="174"/>
      <c r="AJ41" s="174"/>
      <c r="AK41" s="431"/>
    </row>
    <row r="42" spans="1:37" ht="13.5" customHeight="1" x14ac:dyDescent="0.45">
      <c r="A42" s="4"/>
      <c r="B42" s="160"/>
      <c r="C42" s="115" t="s">
        <v>560</v>
      </c>
      <c r="D42" s="162">
        <f>'Copia de Emisiones Energía'!D42*'Emisiones Energía V2'!$D$140</f>
        <v>0.11199999999999999</v>
      </c>
      <c r="E42" s="162">
        <f>'Copia de Emisiones Energía'!E42*'Emisiones Energía V2'!$D$140</f>
        <v>2.9999999999999997E-4</v>
      </c>
      <c r="F42" s="162">
        <f>'Copia de Emisiones Energía'!F42*'Emisiones Energía V2'!$D$140</f>
        <v>3.9999999999999998E-6</v>
      </c>
      <c r="G42" s="583">
        <f t="shared" si="6"/>
        <v>0.1195</v>
      </c>
      <c r="H42" s="162"/>
      <c r="I42" s="162"/>
      <c r="J42" s="162"/>
      <c r="K42" s="162"/>
      <c r="L42" s="162"/>
      <c r="M42" s="162"/>
      <c r="N42" s="162"/>
      <c r="O42" s="162"/>
      <c r="P42" s="162"/>
      <c r="Q42" s="162"/>
      <c r="R42" s="162"/>
      <c r="S42" s="162"/>
      <c r="T42" s="174"/>
      <c r="U42" s="174"/>
      <c r="V42" s="174"/>
      <c r="W42" s="174"/>
      <c r="X42" s="174"/>
      <c r="Y42" s="174"/>
      <c r="Z42" s="174"/>
      <c r="AA42" s="174"/>
      <c r="AB42" s="174"/>
      <c r="AC42" s="174"/>
      <c r="AD42" s="174"/>
      <c r="AE42" s="174"/>
      <c r="AF42" s="174"/>
      <c r="AG42" s="174"/>
      <c r="AH42" s="174"/>
      <c r="AI42" s="174"/>
      <c r="AJ42" s="174"/>
      <c r="AK42" s="431"/>
    </row>
    <row r="43" spans="1:37" ht="13.5" customHeight="1" x14ac:dyDescent="0.45">
      <c r="A43" s="4"/>
      <c r="B43" s="160"/>
      <c r="C43" s="115" t="s">
        <v>556</v>
      </c>
      <c r="D43" s="162">
        <f>'Copia de Emisiones Energía'!D43*'Emisiones Energía V2'!$D$140</f>
        <v>6.3100000000000003E-2</v>
      </c>
      <c r="E43" s="162">
        <f>'Copia de Emisiones Energía'!E43*'Emisiones Energía V2'!$D$140</f>
        <v>4.9999999999999996E-6</v>
      </c>
      <c r="F43" s="162">
        <f>'Copia de Emisiones Energía'!F43*'Emisiones Energía V2'!$D$140</f>
        <v>9.9999999999999995E-8</v>
      </c>
      <c r="G43" s="583">
        <f t="shared" si="6"/>
        <v>6.3225000000000003E-2</v>
      </c>
      <c r="H43" s="162"/>
      <c r="I43" s="162"/>
      <c r="J43" s="162"/>
      <c r="K43" s="162"/>
      <c r="L43" s="162"/>
      <c r="M43" s="162"/>
      <c r="N43" s="162"/>
      <c r="O43" s="162"/>
      <c r="P43" s="162"/>
      <c r="Q43" s="162"/>
      <c r="R43" s="162"/>
      <c r="S43" s="162"/>
      <c r="T43" s="174"/>
      <c r="U43" s="174"/>
      <c r="V43" s="174"/>
      <c r="W43" s="174"/>
      <c r="X43" s="174"/>
      <c r="Y43" s="174"/>
      <c r="Z43" s="174"/>
      <c r="AA43" s="174"/>
      <c r="AB43" s="174"/>
      <c r="AC43" s="174"/>
      <c r="AD43" s="174"/>
      <c r="AE43" s="174"/>
      <c r="AF43" s="174"/>
      <c r="AG43" s="174"/>
      <c r="AH43" s="174"/>
      <c r="AI43" s="174"/>
      <c r="AJ43" s="174"/>
      <c r="AK43" s="431"/>
    </row>
    <row r="44" spans="1:37" ht="13.5" customHeight="1" x14ac:dyDescent="0.45">
      <c r="A44" s="4"/>
      <c r="B44" s="160"/>
      <c r="C44" s="115" t="s">
        <v>561</v>
      </c>
      <c r="D44" s="162">
        <f>'Copia de Emisiones Energía'!D44*'Emisiones Energía V2'!$D$140</f>
        <v>6.93E-2</v>
      </c>
      <c r="E44" s="162">
        <f>'Copia de Emisiones Energía'!E44*'Emisiones Energía V2'!$D$140</f>
        <v>9.9999999999999991E-6</v>
      </c>
      <c r="F44" s="162">
        <f>'Copia de Emisiones Energía'!F44*'Emisiones Energía V2'!$D$140</f>
        <v>5.9999999999999997E-7</v>
      </c>
      <c r="G44" s="583">
        <f t="shared" si="6"/>
        <v>6.9550000000000001E-2</v>
      </c>
      <c r="H44" s="162"/>
      <c r="I44" s="162"/>
      <c r="J44" s="162"/>
      <c r="K44" s="162"/>
      <c r="L44" s="162"/>
      <c r="M44" s="162"/>
      <c r="N44" s="162"/>
      <c r="O44" s="162"/>
      <c r="P44" s="162"/>
      <c r="Q44" s="162"/>
      <c r="R44" s="162"/>
      <c r="S44" s="162"/>
      <c r="T44" s="174"/>
      <c r="U44" s="174"/>
      <c r="V44" s="174"/>
      <c r="W44" s="174"/>
      <c r="X44" s="174"/>
      <c r="Y44" s="174"/>
      <c r="Z44" s="174"/>
      <c r="AA44" s="174"/>
      <c r="AB44" s="174"/>
      <c r="AC44" s="174"/>
      <c r="AD44" s="174"/>
      <c r="AE44" s="174"/>
      <c r="AF44" s="174"/>
      <c r="AG44" s="174"/>
      <c r="AH44" s="174"/>
      <c r="AI44" s="174"/>
      <c r="AJ44" s="174"/>
      <c r="AK44" s="431"/>
    </row>
    <row r="45" spans="1:37" ht="13.5" customHeight="1" x14ac:dyDescent="0.45">
      <c r="A45" s="4"/>
      <c r="B45" s="160"/>
      <c r="C45" s="115" t="s">
        <v>562</v>
      </c>
      <c r="D45" s="162">
        <f>'Copia de Emisiones Energía'!D45*'Emisiones Energía V2'!$D$140</f>
        <v>6.9999999999999993E-2</v>
      </c>
      <c r="E45" s="162">
        <f>'Copia de Emisiones Energía'!E45*'Emisiones Energía V2'!$D$140</f>
        <v>9.9999999999999991E-6</v>
      </c>
      <c r="F45" s="162">
        <f>'Copia de Emisiones Energía'!F45*'Emisiones Energía V2'!$D$140</f>
        <v>5.9999999999999997E-7</v>
      </c>
      <c r="G45" s="583">
        <f t="shared" si="6"/>
        <v>7.0249999999999993E-2</v>
      </c>
      <c r="H45" s="162"/>
      <c r="I45" s="162"/>
      <c r="J45" s="162"/>
      <c r="K45" s="162"/>
      <c r="L45" s="162"/>
      <c r="M45" s="162"/>
      <c r="N45" s="162"/>
      <c r="O45" s="162"/>
      <c r="P45" s="162"/>
      <c r="Q45" s="162"/>
      <c r="R45" s="162"/>
      <c r="S45" s="162"/>
      <c r="T45" s="174"/>
      <c r="U45" s="174"/>
      <c r="V45" s="174"/>
      <c r="W45" s="174"/>
      <c r="X45" s="174"/>
      <c r="Y45" s="174"/>
      <c r="Z45" s="174"/>
      <c r="AA45" s="174"/>
      <c r="AB45" s="174"/>
      <c r="AC45" s="174"/>
      <c r="AD45" s="174"/>
      <c r="AE45" s="174"/>
      <c r="AF45" s="174"/>
      <c r="AG45" s="174"/>
      <c r="AH45" s="174"/>
      <c r="AI45" s="174"/>
      <c r="AJ45" s="174"/>
      <c r="AK45" s="431"/>
    </row>
    <row r="46" spans="1:37" ht="13.5" customHeight="1" x14ac:dyDescent="0.45">
      <c r="A46" s="4"/>
      <c r="B46" s="160"/>
      <c r="C46" s="115" t="s">
        <v>555</v>
      </c>
      <c r="D46" s="162">
        <f>'Copia de Emisiones Energía'!D46*'Emisiones Energía V2'!$D$140</f>
        <v>7.1499999999999994E-2</v>
      </c>
      <c r="E46" s="162">
        <f>'Copia de Emisiones Energía'!E46*'Emisiones Energía V2'!$D$140</f>
        <v>9.9999999999999991E-6</v>
      </c>
      <c r="F46" s="162">
        <f>'Copia de Emisiones Energía'!F46*'Emisiones Energía V2'!$D$140</f>
        <v>5.9999999999999997E-7</v>
      </c>
      <c r="G46" s="583">
        <f t="shared" si="6"/>
        <v>7.1749999999999994E-2</v>
      </c>
      <c r="H46" s="162"/>
      <c r="I46" s="162"/>
      <c r="J46" s="162"/>
      <c r="K46" s="162"/>
      <c r="L46" s="162"/>
      <c r="M46" s="162"/>
      <c r="N46" s="162"/>
      <c r="O46" s="162"/>
      <c r="P46" s="162"/>
      <c r="Q46" s="162"/>
      <c r="R46" s="162"/>
      <c r="S46" s="162"/>
      <c r="T46" s="174"/>
      <c r="U46" s="174"/>
      <c r="V46" s="174"/>
      <c r="W46" s="174"/>
      <c r="X46" s="174"/>
      <c r="Y46" s="174"/>
      <c r="Z46" s="174"/>
      <c r="AA46" s="174"/>
      <c r="AB46" s="174"/>
      <c r="AC46" s="174"/>
      <c r="AD46" s="174"/>
      <c r="AE46" s="174"/>
      <c r="AF46" s="174"/>
      <c r="AG46" s="174"/>
      <c r="AH46" s="174"/>
      <c r="AI46" s="174"/>
      <c r="AJ46" s="174"/>
      <c r="AK46" s="431"/>
    </row>
    <row r="47" spans="1:37" ht="13.5" customHeight="1" x14ac:dyDescent="0.45">
      <c r="A47" s="4"/>
      <c r="B47" s="160"/>
      <c r="C47" s="115" t="s">
        <v>549</v>
      </c>
      <c r="D47" s="162">
        <f>'Copia de Emisiones Energía'!D47*'Emisiones Energía V2'!$D$140</f>
        <v>7.4099999999999999E-2</v>
      </c>
      <c r="E47" s="162">
        <f>'Copia de Emisiones Energía'!E47*'Emisiones Energía V2'!$D$140</f>
        <v>9.9999999999999991E-6</v>
      </c>
      <c r="F47" s="162">
        <f>'Copia de Emisiones Energía'!F47*'Emisiones Energía V2'!$D$140</f>
        <v>5.9999999999999997E-7</v>
      </c>
      <c r="G47" s="583">
        <f t="shared" si="6"/>
        <v>7.4349999999999999E-2</v>
      </c>
      <c r="H47" s="162"/>
      <c r="I47" s="162"/>
      <c r="J47" s="162"/>
      <c r="K47" s="162"/>
      <c r="L47" s="162"/>
      <c r="M47" s="162"/>
      <c r="N47" s="162"/>
      <c r="O47" s="162"/>
      <c r="P47" s="162"/>
      <c r="Q47" s="162"/>
      <c r="R47" s="162"/>
      <c r="S47" s="162"/>
      <c r="T47" s="174"/>
      <c r="U47" s="174"/>
      <c r="V47" s="174"/>
      <c r="W47" s="174"/>
      <c r="X47" s="174"/>
      <c r="Y47" s="174"/>
      <c r="Z47" s="174"/>
      <c r="AA47" s="174"/>
      <c r="AB47" s="174"/>
      <c r="AC47" s="174"/>
      <c r="AD47" s="174"/>
      <c r="AE47" s="174"/>
      <c r="AF47" s="174"/>
      <c r="AG47" s="174"/>
      <c r="AH47" s="174"/>
      <c r="AI47" s="174"/>
      <c r="AJ47" s="174"/>
      <c r="AK47" s="431"/>
    </row>
    <row r="48" spans="1:37" ht="13.5" customHeight="1" x14ac:dyDescent="0.45">
      <c r="A48" s="4"/>
      <c r="B48" s="160"/>
      <c r="C48" s="115" t="s">
        <v>550</v>
      </c>
      <c r="D48" s="162">
        <f>'Copia de Emisiones Energía'!D48*'Emisiones Energía V2'!$D$140</f>
        <v>7.7399999999999997E-2</v>
      </c>
      <c r="E48" s="162">
        <f>'Copia de Emisiones Energía'!E48*'Emisiones Energía V2'!$D$140</f>
        <v>9.9999999999999991E-6</v>
      </c>
      <c r="F48" s="162">
        <f>'Copia de Emisiones Energía'!F48*'Emisiones Energía V2'!$D$140</f>
        <v>5.9999999999999997E-7</v>
      </c>
      <c r="G48" s="583">
        <f t="shared" si="6"/>
        <v>7.7649999999999997E-2</v>
      </c>
      <c r="H48" s="162"/>
      <c r="I48" s="162"/>
      <c r="J48" s="162"/>
      <c r="K48" s="162"/>
      <c r="L48" s="162"/>
      <c r="M48" s="162"/>
      <c r="N48" s="162"/>
      <c r="O48" s="162"/>
      <c r="P48" s="162"/>
      <c r="Q48" s="162"/>
      <c r="R48" s="162"/>
      <c r="S48" s="162"/>
      <c r="T48" s="174"/>
      <c r="U48" s="174"/>
      <c r="V48" s="174"/>
      <c r="W48" s="174"/>
      <c r="X48" s="174"/>
      <c r="Y48" s="174"/>
      <c r="Z48" s="174"/>
      <c r="AA48" s="174"/>
      <c r="AB48" s="174"/>
      <c r="AC48" s="174"/>
      <c r="AD48" s="174"/>
      <c r="AE48" s="174"/>
      <c r="AF48" s="174"/>
      <c r="AG48" s="174"/>
      <c r="AH48" s="174"/>
      <c r="AI48" s="174"/>
      <c r="AJ48" s="174"/>
      <c r="AK48" s="431"/>
    </row>
    <row r="49" spans="1:37" ht="13.5" customHeight="1" x14ac:dyDescent="0.45">
      <c r="A49" s="4"/>
      <c r="B49" s="160"/>
      <c r="C49" s="115" t="s">
        <v>563</v>
      </c>
      <c r="D49" s="162">
        <f>'Copia de Emisiones Energía'!D49*'Emisiones Energía V2'!$D$140</f>
        <v>9.7499999999999989E-2</v>
      </c>
      <c r="E49" s="162">
        <f>'Copia de Emisiones Energía'!E49*'Emisiones Energía V2'!$D$140</f>
        <v>9.9999999999999991E-6</v>
      </c>
      <c r="F49" s="162">
        <f>'Copia de Emisiones Energía'!F49*'Emisiones Energía V2'!$D$140</f>
        <v>5.9999999999999997E-7</v>
      </c>
      <c r="G49" s="583">
        <f t="shared" si="6"/>
        <v>9.774999999999999E-2</v>
      </c>
      <c r="H49" s="162"/>
      <c r="I49" s="162"/>
      <c r="J49" s="162"/>
      <c r="K49" s="162"/>
      <c r="L49" s="162"/>
      <c r="M49" s="162"/>
      <c r="N49" s="162"/>
      <c r="O49" s="162"/>
      <c r="P49" s="162"/>
      <c r="Q49" s="162"/>
      <c r="R49" s="162"/>
      <c r="S49" s="162"/>
      <c r="T49" s="174"/>
      <c r="U49" s="174"/>
      <c r="V49" s="174"/>
      <c r="W49" s="174"/>
      <c r="X49" s="174"/>
      <c r="Y49" s="174"/>
      <c r="Z49" s="174"/>
      <c r="AA49" s="174"/>
      <c r="AB49" s="174"/>
      <c r="AC49" s="174"/>
      <c r="AD49" s="174"/>
      <c r="AE49" s="174"/>
      <c r="AF49" s="174"/>
      <c r="AG49" s="174"/>
      <c r="AH49" s="174"/>
      <c r="AI49" s="174"/>
      <c r="AJ49" s="174"/>
      <c r="AK49" s="431"/>
    </row>
    <row r="50" spans="1:37" ht="13.5" customHeight="1" x14ac:dyDescent="0.45">
      <c r="A50" s="618"/>
      <c r="B50" s="106"/>
      <c r="C50" s="32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c r="AK50" s="184"/>
    </row>
    <row r="51" spans="1:37" ht="13.5" customHeight="1" x14ac:dyDescent="0.45">
      <c r="A51" s="4"/>
      <c r="B51" s="160"/>
      <c r="C51" s="111" t="s">
        <v>564</v>
      </c>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431"/>
    </row>
    <row r="52" spans="1:37" ht="13.5" customHeight="1" x14ac:dyDescent="0.45">
      <c r="A52" s="618"/>
      <c r="B52" s="160"/>
      <c r="C52" s="115" t="s">
        <v>565</v>
      </c>
      <c r="D52" s="116">
        <f>'Copia de Emisiones Energía'!D52*0.001</f>
        <v>0.1522</v>
      </c>
      <c r="E52" s="116">
        <f>'Copia de Emisiones Energía'!E52*0.001</f>
        <v>0.1641</v>
      </c>
      <c r="F52" s="116">
        <f>'Copia de Emisiones Energía'!F52*0.001</f>
        <v>0.14860000000000001</v>
      </c>
      <c r="G52" s="116">
        <f>'Copia de Emisiones Energía'!G52*0.001</f>
        <v>0.14610000000000001</v>
      </c>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431"/>
    </row>
    <row r="53" spans="1:37" ht="13.5" customHeight="1" x14ac:dyDescent="0.45">
      <c r="A53" s="618"/>
      <c r="B53" s="160"/>
      <c r="C53" s="115" t="s">
        <v>566</v>
      </c>
      <c r="D53" s="116">
        <f>'Copia de Emisiones Energía'!D53*0.001</f>
        <v>4.0000000000000001E-3</v>
      </c>
      <c r="E53" s="116">
        <f>'Copia de Emisiones Energía'!E53*0.001</f>
        <v>4.4000000000000003E-3</v>
      </c>
      <c r="F53" s="116">
        <f>'Copia de Emisiones Energía'!F53*0.001</f>
        <v>3.8999999999999998E-3</v>
      </c>
      <c r="G53" s="116">
        <f>'Copia de Emisiones Energía'!G53*0.001</f>
        <v>4.5999999999999999E-3</v>
      </c>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431"/>
    </row>
    <row r="54" spans="1:37" ht="13.5" customHeight="1" x14ac:dyDescent="0.45">
      <c r="A54" s="618"/>
      <c r="B54" s="160"/>
      <c r="C54" s="115" t="s">
        <v>567</v>
      </c>
      <c r="D54" s="116">
        <f>'Copia de Emisiones Energía'!D54*0.001</f>
        <v>3.7600000000000001E-2</v>
      </c>
      <c r="E54" s="116">
        <f>'Copia de Emisiones Energía'!E54*0.001</f>
        <v>3.6200000000000003E-2</v>
      </c>
      <c r="F54" s="116">
        <f>'Copia de Emisiones Energía'!F54*0.001</f>
        <v>3.2299999999999995E-2</v>
      </c>
      <c r="G54" s="116">
        <f>'Copia de Emisiones Energía'!G54*0.001</f>
        <v>3.2600000000000004E-2</v>
      </c>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431"/>
    </row>
    <row r="55" spans="1:37" ht="13.5" customHeight="1" x14ac:dyDescent="0.45">
      <c r="A55" s="4"/>
      <c r="B55" s="160"/>
      <c r="C55" s="111"/>
      <c r="D55" s="439"/>
      <c r="E55" s="439"/>
      <c r="F55" s="439"/>
      <c r="G55" s="439"/>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431"/>
    </row>
    <row r="56" spans="1:37" ht="13.5" customHeight="1" x14ac:dyDescent="0.45">
      <c r="A56" s="4"/>
      <c r="B56" s="160"/>
      <c r="C56" s="115" t="s">
        <v>568</v>
      </c>
      <c r="D56" s="439">
        <f>SUM(D52:D54)</f>
        <v>0.1938</v>
      </c>
      <c r="E56" s="439">
        <f>SUM(E52:E54)</f>
        <v>0.20469999999999999</v>
      </c>
      <c r="F56" s="439">
        <f>SUM(F52:F54)</f>
        <v>0.18479999999999999</v>
      </c>
      <c r="G56" s="439">
        <f>SUM(G52:G54)</f>
        <v>0.18330000000000002</v>
      </c>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431"/>
    </row>
    <row r="57" spans="1:37" ht="13.5" customHeight="1" x14ac:dyDescent="0.45">
      <c r="A57" s="618"/>
      <c r="B57" s="118"/>
      <c r="C57" s="181"/>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2"/>
    </row>
    <row r="58" spans="1:37" ht="13.5" customHeight="1" x14ac:dyDescent="0.4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3.5" customHeight="1" x14ac:dyDescent="0.45">
      <c r="A59" s="618"/>
      <c r="B59" s="26"/>
      <c r="C59" s="212"/>
      <c r="D59" s="211"/>
      <c r="E59" s="211"/>
      <c r="F59" s="211"/>
      <c r="G59" s="211"/>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351"/>
    </row>
    <row r="60" spans="1:37" ht="13.5" customHeight="1" x14ac:dyDescent="0.45">
      <c r="A60" s="618"/>
      <c r="B60" s="215"/>
      <c r="C60" s="444" t="s">
        <v>569</v>
      </c>
      <c r="D60" s="220"/>
      <c r="E60" s="220"/>
      <c r="F60" s="220"/>
      <c r="G60" s="220"/>
      <c r="H60" s="220"/>
      <c r="I60" s="220"/>
      <c r="J60" s="220"/>
      <c r="K60" s="220"/>
      <c r="L60" s="220"/>
      <c r="M60" s="220"/>
      <c r="N60" s="220"/>
      <c r="O60" s="220"/>
      <c r="P60" s="220"/>
      <c r="Q60" s="220"/>
      <c r="R60" s="220"/>
      <c r="S60" s="220"/>
      <c r="T60" s="220"/>
      <c r="U60" s="220"/>
      <c r="V60" s="220"/>
      <c r="W60" s="220"/>
      <c r="X60" s="220"/>
      <c r="Y60" s="220"/>
      <c r="Z60" s="220"/>
      <c r="AA60" s="220"/>
      <c r="AB60" s="220"/>
      <c r="AC60" s="220"/>
      <c r="AD60" s="220"/>
      <c r="AE60" s="220"/>
      <c r="AF60" s="220"/>
      <c r="AG60" s="220"/>
      <c r="AH60" s="220"/>
      <c r="AI60" s="220"/>
      <c r="AJ60" s="220"/>
      <c r="AK60" s="352"/>
    </row>
    <row r="61" spans="1:37" ht="13.5" customHeight="1" x14ac:dyDescent="0.45">
      <c r="A61" s="618"/>
      <c r="B61" s="215"/>
      <c r="C61" s="243" t="s">
        <v>570</v>
      </c>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352"/>
    </row>
    <row r="62" spans="1:37" ht="13.5" customHeight="1" x14ac:dyDescent="0.45">
      <c r="A62" s="618"/>
      <c r="B62" s="215"/>
      <c r="C62" s="221" t="s">
        <v>565</v>
      </c>
      <c r="D62" s="285" t="s">
        <v>221</v>
      </c>
      <c r="E62" s="285" t="s">
        <v>221</v>
      </c>
      <c r="F62" s="285" t="s">
        <v>221</v>
      </c>
      <c r="G62" s="285">
        <f>'Copia de Emisiones Energía'!G62*0.001</f>
        <v>1.4E-2</v>
      </c>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352"/>
    </row>
    <row r="63" spans="1:37" ht="13.5" customHeight="1" x14ac:dyDescent="0.45">
      <c r="A63" s="618"/>
      <c r="B63" s="215"/>
      <c r="C63" s="221" t="s">
        <v>567</v>
      </c>
      <c r="D63" s="285">
        <f>'Copia de Emisiones Energía'!D63*0.001</f>
        <v>0.56950000000000001</v>
      </c>
      <c r="E63" s="285">
        <f>'Copia de Emisiones Energía'!E63*0.001</f>
        <v>0.51839999999999997</v>
      </c>
      <c r="F63" s="285">
        <f>'Copia de Emisiones Energía'!F63*0.001</f>
        <v>0.44310000000000005</v>
      </c>
      <c r="G63" s="285">
        <f>'Copia de Emisiones Energía'!G63*0.001</f>
        <v>0.39200000000000002</v>
      </c>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352"/>
    </row>
    <row r="64" spans="1:37" ht="13.5" customHeight="1" x14ac:dyDescent="0.45">
      <c r="A64" s="618"/>
      <c r="B64" s="215"/>
      <c r="C64" s="221" t="s">
        <v>571</v>
      </c>
      <c r="D64" s="285" t="s">
        <v>221</v>
      </c>
      <c r="E64" s="285" t="s">
        <v>221</v>
      </c>
      <c r="F64" s="285" t="s">
        <v>221</v>
      </c>
      <c r="G64" s="285">
        <f>'Copia de Emisiones Energía'!G64*0.001</f>
        <v>3.8100000000000002E-2</v>
      </c>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352"/>
    </row>
    <row r="65" spans="1:37" ht="13.5" customHeight="1" x14ac:dyDescent="0.45">
      <c r="A65" s="618"/>
      <c r="B65" s="215"/>
      <c r="C65" s="221" t="s">
        <v>572</v>
      </c>
      <c r="D65" s="285">
        <f>'Copia de Emisiones Energía'!D65*0.001</f>
        <v>0.2185</v>
      </c>
      <c r="E65" s="285">
        <f>'Copia de Emisiones Energía'!E65*0.001</f>
        <v>0.26819999999999999</v>
      </c>
      <c r="F65" s="285">
        <f>'Copia de Emisiones Energía'!F65*0.001</f>
        <v>0.23550000000000001</v>
      </c>
      <c r="G65" s="285">
        <f>'Copia de Emisiones Energía'!G65*0.001</f>
        <v>9.8599999999999993E-2</v>
      </c>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352"/>
    </row>
    <row r="66" spans="1:37" ht="13.5" customHeight="1" x14ac:dyDescent="0.45">
      <c r="A66" s="618"/>
      <c r="B66" s="215"/>
      <c r="C66" s="221" t="s">
        <v>573</v>
      </c>
      <c r="D66" s="285">
        <f>'Copia de Emisiones Energía'!D66*0.001</f>
        <v>1.9875</v>
      </c>
      <c r="E66" s="285">
        <f>'Copia de Emisiones Energía'!E66*0.001</f>
        <v>1.1075999999999999</v>
      </c>
      <c r="F66" s="285">
        <f>'Copia de Emisiones Energía'!F66*0.001</f>
        <v>1.0869000000000002</v>
      </c>
      <c r="G66" s="285">
        <f>'Copia de Emisiones Energía'!G66*0.001</f>
        <v>0.96279999999999999</v>
      </c>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352"/>
    </row>
    <row r="67" spans="1:37" ht="13.5" customHeight="1" x14ac:dyDescent="0.45">
      <c r="A67" s="618"/>
      <c r="B67" s="215"/>
      <c r="C67" s="221" t="s">
        <v>574</v>
      </c>
      <c r="D67" s="285">
        <f>'Copia de Emisiones Energía'!D67*0.001</f>
        <v>5.0000000000000001E-4</v>
      </c>
      <c r="E67" s="285">
        <f>'Copia de Emisiones Energía'!E67*0.001</f>
        <v>2.0000000000000001E-4</v>
      </c>
      <c r="F67" s="285" t="s">
        <v>221</v>
      </c>
      <c r="G67" s="285" t="s">
        <v>221</v>
      </c>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352"/>
    </row>
    <row r="68" spans="1:37" ht="13.5" customHeight="1" x14ac:dyDescent="0.45">
      <c r="A68" s="618"/>
      <c r="B68" s="215"/>
      <c r="C68" s="91" t="s">
        <v>568</v>
      </c>
      <c r="D68" s="445">
        <f>SUM(D62:D67)</f>
        <v>2.7760000000000002</v>
      </c>
      <c r="E68" s="445">
        <f>SUM(E62:E67)</f>
        <v>1.8943999999999999</v>
      </c>
      <c r="F68" s="445">
        <f>SUM(F62:F67)</f>
        <v>1.7655000000000003</v>
      </c>
      <c r="G68" s="445">
        <f>SUM(G62:G67)</f>
        <v>1.5055000000000001</v>
      </c>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352"/>
    </row>
    <row r="69" spans="1:37" ht="13.5" customHeight="1" x14ac:dyDescent="0.45">
      <c r="A69" s="618"/>
      <c r="B69" s="215"/>
      <c r="C69" s="243"/>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352"/>
    </row>
    <row r="70" spans="1:37" ht="13.5" customHeight="1" x14ac:dyDescent="0.45">
      <c r="A70" s="618"/>
      <c r="B70" s="215"/>
      <c r="C70" s="243" t="s">
        <v>575</v>
      </c>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352"/>
    </row>
    <row r="71" spans="1:37" ht="13.5" customHeight="1" x14ac:dyDescent="0.45">
      <c r="A71" s="618"/>
      <c r="B71" s="215"/>
      <c r="C71" s="446" t="s">
        <v>565</v>
      </c>
      <c r="D71" s="447">
        <f>'Copia de Emisiones Energía'!D71*0.001</f>
        <v>1.1393</v>
      </c>
      <c r="E71" s="447">
        <f>'Copia de Emisiones Energía'!E71*0.001</f>
        <v>1.2007000000000001</v>
      </c>
      <c r="F71" s="447">
        <f>'Copia de Emisiones Energía'!F71*0.001</f>
        <v>1.2099000000000002</v>
      </c>
      <c r="G71" s="447">
        <f>'Copia de Emisiones Energía'!G71*0.001</f>
        <v>1.1555</v>
      </c>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352"/>
    </row>
    <row r="72" spans="1:37" ht="13.5" customHeight="1" x14ac:dyDescent="0.45">
      <c r="A72" s="618"/>
      <c r="B72" s="215"/>
      <c r="C72" s="221" t="s">
        <v>567</v>
      </c>
      <c r="D72" s="362">
        <f>'Copia de Emisiones Energía'!D72*0.001</f>
        <v>0.54660000000000009</v>
      </c>
      <c r="E72" s="362">
        <f>'Copia de Emisiones Energía'!E72*0.001</f>
        <v>0.47910000000000003</v>
      </c>
      <c r="F72" s="362">
        <f>'Copia de Emisiones Energía'!F72*0.001</f>
        <v>0.41830000000000001</v>
      </c>
      <c r="G72" s="362">
        <f>'Copia de Emisiones Energía'!G72*0.001</f>
        <v>0.4662</v>
      </c>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352"/>
    </row>
    <row r="73" spans="1:37" ht="13.5" customHeight="1" x14ac:dyDescent="0.45">
      <c r="A73" s="618"/>
      <c r="B73" s="215"/>
      <c r="C73" s="221" t="s">
        <v>571</v>
      </c>
      <c r="D73" s="362">
        <f>'Copia de Emisiones Energía'!D73*0.001</f>
        <v>0.27789999999999998</v>
      </c>
      <c r="E73" s="362">
        <f>'Copia de Emisiones Energía'!E73*0.001</f>
        <v>0.30060000000000003</v>
      </c>
      <c r="F73" s="362">
        <f>'Copia de Emisiones Energía'!F73*0.001</f>
        <v>0.31010000000000004</v>
      </c>
      <c r="G73" s="362">
        <f>'Copia de Emisiones Energía'!G73*0.001</f>
        <v>0.23290000000000002</v>
      </c>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352"/>
    </row>
    <row r="74" spans="1:37" ht="13.5" customHeight="1" x14ac:dyDescent="0.45">
      <c r="A74" s="618"/>
      <c r="B74" s="215"/>
      <c r="C74" s="221" t="s">
        <v>576</v>
      </c>
      <c r="D74" s="362">
        <f>'Copia de Emisiones Energía'!D74*0.001</f>
        <v>4.6200000000000005E-2</v>
      </c>
      <c r="E74" s="362">
        <f>'Copia de Emisiones Energía'!E74*0.001</f>
        <v>3.6900000000000002E-2</v>
      </c>
      <c r="F74" s="362">
        <f>'Copia de Emisiones Energía'!F74*0.001</f>
        <v>3.8899999999999997E-2</v>
      </c>
      <c r="G74" s="362">
        <f>'Copia de Emisiones Energía'!G74*0.001</f>
        <v>3.6299999999999999E-2</v>
      </c>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352"/>
    </row>
    <row r="75" spans="1:37" ht="13.5" customHeight="1" x14ac:dyDescent="0.45">
      <c r="A75" s="618"/>
      <c r="B75" s="215"/>
      <c r="C75" s="221" t="s">
        <v>572</v>
      </c>
      <c r="D75" s="362">
        <f>'Copia de Emisiones Energía'!D75*0.001</f>
        <v>0.95829999999999993</v>
      </c>
      <c r="E75" s="362">
        <f>'Copia de Emisiones Energía'!E75*0.001</f>
        <v>1.0486</v>
      </c>
      <c r="F75" s="362">
        <f>'Copia de Emisiones Energía'!F75*0.001</f>
        <v>1.0057</v>
      </c>
      <c r="G75" s="362">
        <f>'Copia de Emisiones Energía'!G75*0.001</f>
        <v>1.1934</v>
      </c>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352"/>
    </row>
    <row r="76" spans="1:37" ht="13.5" customHeight="1" x14ac:dyDescent="0.45">
      <c r="A76" s="618"/>
      <c r="B76" s="215"/>
      <c r="C76" s="221" t="s">
        <v>573</v>
      </c>
      <c r="D76" s="362">
        <f>'Copia de Emisiones Energía'!D76*0.001</f>
        <v>7.0000000000000007E-2</v>
      </c>
      <c r="E76" s="362">
        <f>'Copia de Emisiones Energía'!E76*0.001</f>
        <v>6.720000000000001E-2</v>
      </c>
      <c r="F76" s="362">
        <f>'Copia de Emisiones Energía'!F76*0.001</f>
        <v>6.720000000000001E-2</v>
      </c>
      <c r="G76" s="362">
        <f>'Copia de Emisiones Energía'!G76*0.001</f>
        <v>7.0400000000000004E-2</v>
      </c>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352"/>
    </row>
    <row r="77" spans="1:37" ht="13.5" customHeight="1" x14ac:dyDescent="0.45">
      <c r="A77" s="618"/>
      <c r="B77" s="215"/>
      <c r="C77" s="221" t="s">
        <v>574</v>
      </c>
      <c r="D77" s="362">
        <f>'Copia de Emisiones Energía'!D77*0.001</f>
        <v>2.9999999999999997E-4</v>
      </c>
      <c r="E77" s="362">
        <f>'Copia de Emisiones Energía'!E77*0.001</f>
        <v>2.0000000000000001E-4</v>
      </c>
      <c r="F77" s="362">
        <f>'Copia de Emisiones Energía'!F77*0.001</f>
        <v>2.0000000000000001E-4</v>
      </c>
      <c r="G77" s="362">
        <f>'Copia de Emisiones Energía'!G77*0.001</f>
        <v>2.0000000000000001E-4</v>
      </c>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352"/>
    </row>
    <row r="78" spans="1:37" ht="13.5" customHeight="1" x14ac:dyDescent="0.45">
      <c r="A78" s="618"/>
      <c r="B78" s="215"/>
      <c r="C78" s="91" t="s">
        <v>568</v>
      </c>
      <c r="D78" s="448">
        <f>SUM(D71:D77)</f>
        <v>3.0386000000000002</v>
      </c>
      <c r="E78" s="448">
        <f>SUM(E71:E77)</f>
        <v>3.1333000000000002</v>
      </c>
      <c r="F78" s="448">
        <f>SUM(F71:F77)</f>
        <v>3.0503</v>
      </c>
      <c r="G78" s="448">
        <f>SUM(G71:G77)</f>
        <v>3.1548999999999996</v>
      </c>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352"/>
    </row>
    <row r="79" spans="1:37" ht="13.5" customHeight="1" x14ac:dyDescent="0.45">
      <c r="A79" s="618"/>
      <c r="B79" s="258"/>
      <c r="C79" s="329"/>
      <c r="D79" s="259"/>
      <c r="E79" s="259"/>
      <c r="F79" s="259"/>
      <c r="G79" s="259"/>
      <c r="H79" s="259"/>
      <c r="I79" s="259"/>
      <c r="J79" s="259"/>
      <c r="K79" s="259"/>
      <c r="L79" s="259"/>
      <c r="M79" s="259"/>
      <c r="N79" s="259"/>
      <c r="O79" s="259"/>
      <c r="P79" s="259"/>
      <c r="Q79" s="259"/>
      <c r="R79" s="259"/>
      <c r="S79" s="259"/>
      <c r="T79" s="259"/>
      <c r="U79" s="259"/>
      <c r="V79" s="259"/>
      <c r="W79" s="259"/>
      <c r="X79" s="259"/>
      <c r="Y79" s="259"/>
      <c r="Z79" s="259"/>
      <c r="AA79" s="259"/>
      <c r="AB79" s="259"/>
      <c r="AC79" s="259"/>
      <c r="AD79" s="259"/>
      <c r="AE79" s="259"/>
      <c r="AF79" s="259"/>
      <c r="AG79" s="259"/>
      <c r="AH79" s="259"/>
      <c r="AI79" s="259"/>
      <c r="AJ79" s="259"/>
      <c r="AK79" s="425"/>
    </row>
    <row r="80" spans="1:37" ht="13.5" customHeight="1" x14ac:dyDescent="0.4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3.5" customHeight="1" x14ac:dyDescent="0.45">
      <c r="A81" s="618"/>
      <c r="B81" s="63"/>
      <c r="C81" s="399"/>
      <c r="D81" s="398"/>
      <c r="E81" s="398"/>
      <c r="F81" s="398"/>
      <c r="G81" s="398"/>
      <c r="H81" s="398"/>
      <c r="I81" s="398"/>
      <c r="J81" s="398"/>
      <c r="K81" s="398"/>
      <c r="L81" s="398"/>
      <c r="M81" s="398"/>
      <c r="N81" s="398"/>
      <c r="O81" s="398"/>
      <c r="P81" s="398"/>
      <c r="Q81" s="398"/>
      <c r="R81" s="398"/>
      <c r="S81" s="398"/>
      <c r="T81" s="398"/>
      <c r="U81" s="398"/>
      <c r="V81" s="398"/>
      <c r="W81" s="398"/>
      <c r="X81" s="398"/>
      <c r="Y81" s="398"/>
      <c r="Z81" s="398"/>
      <c r="AA81" s="398"/>
      <c r="AB81" s="398"/>
      <c r="AC81" s="398"/>
      <c r="AD81" s="398"/>
      <c r="AE81" s="398"/>
      <c r="AF81" s="398"/>
      <c r="AG81" s="398"/>
      <c r="AH81" s="398"/>
      <c r="AI81" s="398"/>
      <c r="AJ81" s="398"/>
      <c r="AK81" s="449"/>
    </row>
    <row r="82" spans="1:37" ht="13.5" customHeight="1" x14ac:dyDescent="0.45">
      <c r="A82" s="618"/>
      <c r="B82" s="400"/>
      <c r="C82" s="402" t="s">
        <v>478</v>
      </c>
      <c r="D82" s="403"/>
      <c r="E82" s="403"/>
      <c r="F82" s="403"/>
      <c r="G82" s="403"/>
      <c r="H82" s="403"/>
      <c r="I82" s="403"/>
      <c r="J82" s="403"/>
      <c r="K82" s="403"/>
      <c r="L82" s="403"/>
      <c r="M82" s="403"/>
      <c r="N82" s="403"/>
      <c r="O82" s="403"/>
      <c r="P82" s="403"/>
      <c r="Q82" s="403"/>
      <c r="R82" s="403"/>
      <c r="S82" s="403"/>
      <c r="T82" s="403"/>
      <c r="U82" s="403"/>
      <c r="V82" s="403"/>
      <c r="W82" s="403"/>
      <c r="X82" s="403"/>
      <c r="Y82" s="403"/>
      <c r="Z82" s="403"/>
      <c r="AA82" s="403"/>
      <c r="AB82" s="403"/>
      <c r="AC82" s="403"/>
      <c r="AD82" s="403"/>
      <c r="AE82" s="403"/>
      <c r="AF82" s="403"/>
      <c r="AG82" s="403"/>
      <c r="AH82" s="403"/>
      <c r="AI82" s="403"/>
      <c r="AJ82" s="403"/>
      <c r="AK82" s="450"/>
    </row>
    <row r="83" spans="1:37" ht="13.5" customHeight="1" x14ac:dyDescent="0.45">
      <c r="A83" s="618"/>
      <c r="B83" s="400"/>
      <c r="C83" s="404" t="s">
        <v>577</v>
      </c>
      <c r="D83" s="403"/>
      <c r="E83" s="403"/>
      <c r="F83" s="403"/>
      <c r="G83" s="403"/>
      <c r="H83" s="403"/>
      <c r="I83" s="403"/>
      <c r="J83" s="403"/>
      <c r="K83" s="403"/>
      <c r="L83" s="403"/>
      <c r="M83" s="403"/>
      <c r="N83" s="403"/>
      <c r="O83" s="403"/>
      <c r="P83" s="403"/>
      <c r="Q83" s="403"/>
      <c r="R83" s="403"/>
      <c r="S83" s="403"/>
      <c r="T83" s="403"/>
      <c r="U83" s="403"/>
      <c r="V83" s="403"/>
      <c r="W83" s="403"/>
      <c r="X83" s="403"/>
      <c r="Y83" s="403"/>
      <c r="Z83" s="403"/>
      <c r="AA83" s="403"/>
      <c r="AB83" s="403"/>
      <c r="AC83" s="403"/>
      <c r="AD83" s="403"/>
      <c r="AE83" s="403"/>
      <c r="AF83" s="403"/>
      <c r="AG83" s="403"/>
      <c r="AH83" s="403"/>
      <c r="AI83" s="403"/>
      <c r="AJ83" s="403"/>
      <c r="AK83" s="450"/>
    </row>
    <row r="84" spans="1:37" ht="13.5" customHeight="1" x14ac:dyDescent="0.45">
      <c r="A84" s="618"/>
      <c r="B84" s="400"/>
      <c r="C84" s="405" t="s">
        <v>567</v>
      </c>
      <c r="D84" s="406">
        <f>'Copia de Emisiones Energía'!D84*0.001</f>
        <v>0.1115</v>
      </c>
      <c r="E84" s="406">
        <f>'Copia de Emisiones Energía'!E84*0.001</f>
        <v>8.9800000000000005E-2</v>
      </c>
      <c r="F84" s="406">
        <f>'Copia de Emisiones Energía'!F84*0.001</f>
        <v>5.4100000000000002E-2</v>
      </c>
      <c r="G84" s="406">
        <f>'Copia de Emisiones Energía'!G84*0.001</f>
        <v>9.4200000000000006E-2</v>
      </c>
      <c r="H84" s="403"/>
      <c r="I84" s="403"/>
      <c r="J84" s="403"/>
      <c r="K84" s="403"/>
      <c r="L84" s="403"/>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50"/>
    </row>
    <row r="85" spans="1:37" ht="13.5" customHeight="1" x14ac:dyDescent="0.45">
      <c r="A85" s="618"/>
      <c r="B85" s="400"/>
      <c r="C85" s="405" t="s">
        <v>578</v>
      </c>
      <c r="D85" s="406">
        <f>'Copia de Emisiones Energía'!D85*0.001</f>
        <v>1.1982999999999999</v>
      </c>
      <c r="E85" s="406">
        <f>'Copia de Emisiones Energía'!E85*0.001</f>
        <v>1.1757</v>
      </c>
      <c r="F85" s="406">
        <f>'Copia de Emisiones Energía'!F85*0.001</f>
        <v>1.1331</v>
      </c>
      <c r="G85" s="406">
        <f>'Copia de Emisiones Energía'!G85*0.001</f>
        <v>1.0877000000000001</v>
      </c>
      <c r="H85" s="403"/>
      <c r="I85" s="403"/>
      <c r="J85" s="403"/>
      <c r="K85" s="403"/>
      <c r="L85" s="403"/>
      <c r="M85" s="403"/>
      <c r="N85" s="403"/>
      <c r="O85" s="403"/>
      <c r="P85" s="403"/>
      <c r="Q85" s="403"/>
      <c r="R85" s="403"/>
      <c r="S85" s="403"/>
      <c r="T85" s="403"/>
      <c r="U85" s="403"/>
      <c r="V85" s="403"/>
      <c r="W85" s="403"/>
      <c r="X85" s="403"/>
      <c r="Y85" s="403"/>
      <c r="Z85" s="403"/>
      <c r="AA85" s="403"/>
      <c r="AB85" s="403"/>
      <c r="AC85" s="403"/>
      <c r="AD85" s="403"/>
      <c r="AE85" s="403"/>
      <c r="AF85" s="403"/>
      <c r="AG85" s="403"/>
      <c r="AH85" s="403"/>
      <c r="AI85" s="403"/>
      <c r="AJ85" s="403"/>
      <c r="AK85" s="450"/>
    </row>
    <row r="86" spans="1:37" ht="13.5" customHeight="1" x14ac:dyDescent="0.45">
      <c r="A86" s="618"/>
      <c r="B86" s="400"/>
      <c r="C86" s="405" t="s">
        <v>571</v>
      </c>
      <c r="D86" s="406">
        <f>'Copia de Emisiones Energía'!D86*0.001</f>
        <v>0.83679999999999999</v>
      </c>
      <c r="E86" s="406">
        <f>'Copia de Emisiones Energía'!E86*0.001</f>
        <v>0.91279999999999994</v>
      </c>
      <c r="F86" s="406">
        <f>'Copia de Emisiones Energía'!F86*0.001</f>
        <v>0.9264</v>
      </c>
      <c r="G86" s="406">
        <f>'Copia de Emisiones Energía'!G86*0.001</f>
        <v>0.78160000000000007</v>
      </c>
      <c r="H86" s="403"/>
      <c r="I86" s="403"/>
      <c r="J86" s="403"/>
      <c r="K86" s="403"/>
      <c r="L86" s="403"/>
      <c r="M86" s="403"/>
      <c r="N86" s="403"/>
      <c r="O86" s="403"/>
      <c r="P86" s="403"/>
      <c r="Q86" s="403"/>
      <c r="R86" s="403"/>
      <c r="S86" s="403"/>
      <c r="T86" s="403"/>
      <c r="U86" s="403"/>
      <c r="V86" s="403"/>
      <c r="W86" s="403"/>
      <c r="X86" s="403"/>
      <c r="Y86" s="403"/>
      <c r="Z86" s="403"/>
      <c r="AA86" s="403"/>
      <c r="AB86" s="403"/>
      <c r="AC86" s="403"/>
      <c r="AD86" s="403"/>
      <c r="AE86" s="403"/>
      <c r="AF86" s="403"/>
      <c r="AG86" s="403"/>
      <c r="AH86" s="403"/>
      <c r="AI86" s="403"/>
      <c r="AJ86" s="403"/>
      <c r="AK86" s="450"/>
    </row>
    <row r="87" spans="1:37" ht="13.5" customHeight="1" x14ac:dyDescent="0.45">
      <c r="A87" s="618"/>
      <c r="B87" s="400"/>
      <c r="C87" s="405" t="s">
        <v>576</v>
      </c>
      <c r="D87" s="406">
        <f>'Copia de Emisiones Energía'!D87*0.001</f>
        <v>3.2013000000000003</v>
      </c>
      <c r="E87" s="406">
        <f>'Copia de Emisiones Energía'!E87*0.001</f>
        <v>3.4309000000000003</v>
      </c>
      <c r="F87" s="406">
        <f>'Copia de Emisiones Energía'!F87*0.001</f>
        <v>3.4660000000000002</v>
      </c>
      <c r="G87" s="406">
        <f>'Copia de Emisiones Energía'!G87*0.001</f>
        <v>3.5874000000000001</v>
      </c>
      <c r="H87" s="403"/>
      <c r="I87" s="403"/>
      <c r="J87" s="403"/>
      <c r="K87" s="403"/>
      <c r="L87" s="403"/>
      <c r="M87" s="403"/>
      <c r="N87" s="403"/>
      <c r="O87" s="403"/>
      <c r="P87" s="403"/>
      <c r="Q87" s="403"/>
      <c r="R87" s="403"/>
      <c r="S87" s="403"/>
      <c r="T87" s="403"/>
      <c r="U87" s="403"/>
      <c r="V87" s="403"/>
      <c r="W87" s="403"/>
      <c r="X87" s="403"/>
      <c r="Y87" s="403"/>
      <c r="Z87" s="403"/>
      <c r="AA87" s="403"/>
      <c r="AB87" s="403"/>
      <c r="AC87" s="403"/>
      <c r="AD87" s="403"/>
      <c r="AE87" s="403"/>
      <c r="AF87" s="403"/>
      <c r="AG87" s="403"/>
      <c r="AH87" s="403"/>
      <c r="AI87" s="403"/>
      <c r="AJ87" s="403"/>
      <c r="AK87" s="450"/>
    </row>
    <row r="88" spans="1:37" ht="13.5" customHeight="1" x14ac:dyDescent="0.45">
      <c r="A88" s="618"/>
      <c r="B88" s="400"/>
      <c r="C88" s="405" t="s">
        <v>579</v>
      </c>
      <c r="D88" s="406">
        <f>'Copia de Emisiones Energía'!D88*0.001</f>
        <v>11.328899999999999</v>
      </c>
      <c r="E88" s="406">
        <f>'Copia de Emisiones Energía'!E88*0.001</f>
        <v>11.376100000000001</v>
      </c>
      <c r="F88" s="406">
        <f>'Copia de Emisiones Energía'!F88*0.001</f>
        <v>8.934899999999999</v>
      </c>
      <c r="G88" s="406">
        <f>'Copia de Emisiones Energía'!G88*0.001</f>
        <v>10.724299999999999</v>
      </c>
      <c r="H88" s="403"/>
      <c r="I88" s="403"/>
      <c r="J88" s="403"/>
      <c r="K88" s="403"/>
      <c r="L88" s="403"/>
      <c r="M88" s="403"/>
      <c r="N88" s="403"/>
      <c r="O88" s="403"/>
      <c r="P88" s="403"/>
      <c r="Q88" s="403"/>
      <c r="R88" s="403"/>
      <c r="S88" s="403"/>
      <c r="T88" s="403"/>
      <c r="U88" s="403"/>
      <c r="V88" s="403"/>
      <c r="W88" s="403"/>
      <c r="X88" s="403"/>
      <c r="Y88" s="403"/>
      <c r="Z88" s="403"/>
      <c r="AA88" s="403"/>
      <c r="AB88" s="403"/>
      <c r="AC88" s="403"/>
      <c r="AD88" s="403"/>
      <c r="AE88" s="403"/>
      <c r="AF88" s="403"/>
      <c r="AG88" s="403"/>
      <c r="AH88" s="403"/>
      <c r="AI88" s="403"/>
      <c r="AJ88" s="403"/>
      <c r="AK88" s="450"/>
    </row>
    <row r="89" spans="1:37" ht="13.5" customHeight="1" x14ac:dyDescent="0.45">
      <c r="A89" s="618"/>
      <c r="B89" s="400"/>
      <c r="C89" s="405" t="s">
        <v>580</v>
      </c>
      <c r="D89" s="406">
        <f>'Copia de Emisiones Energía'!D89*0.001</f>
        <v>0.37540000000000001</v>
      </c>
      <c r="E89" s="406">
        <f>'Copia de Emisiones Energía'!E89*0.001</f>
        <v>0.35370000000000001</v>
      </c>
      <c r="F89" s="406">
        <f>'Copia de Emisiones Energía'!F89*0.001</f>
        <v>0.24110000000000001</v>
      </c>
      <c r="G89" s="406">
        <f>'Copia de Emisiones Energía'!G89*0.001</f>
        <v>0.3029</v>
      </c>
      <c r="H89" s="403"/>
      <c r="I89" s="403"/>
      <c r="J89" s="403"/>
      <c r="K89" s="403"/>
      <c r="L89" s="403"/>
      <c r="M89" s="403"/>
      <c r="N89" s="403"/>
      <c r="O89" s="403"/>
      <c r="P89" s="403"/>
      <c r="Q89" s="403"/>
      <c r="R89" s="403"/>
      <c r="S89" s="403"/>
      <c r="T89" s="403"/>
      <c r="U89" s="403"/>
      <c r="V89" s="403"/>
      <c r="W89" s="403"/>
      <c r="X89" s="403"/>
      <c r="Y89" s="403"/>
      <c r="Z89" s="403"/>
      <c r="AA89" s="403"/>
      <c r="AB89" s="403"/>
      <c r="AC89" s="403"/>
      <c r="AD89" s="403"/>
      <c r="AE89" s="403"/>
      <c r="AF89" s="403"/>
      <c r="AG89" s="403"/>
      <c r="AH89" s="403"/>
      <c r="AI89" s="403"/>
      <c r="AJ89" s="403"/>
      <c r="AK89" s="450"/>
    </row>
    <row r="90" spans="1:37" ht="13.5" customHeight="1" x14ac:dyDescent="0.45">
      <c r="A90" s="618"/>
      <c r="B90" s="400"/>
      <c r="C90" s="405" t="s">
        <v>572</v>
      </c>
      <c r="D90" s="406">
        <f>'Copia de Emisiones Energía'!D90*0.001</f>
        <v>12.933400000000001</v>
      </c>
      <c r="E90" s="406">
        <f>'Copia de Emisiones Energía'!E90*0.001</f>
        <v>12.778</v>
      </c>
      <c r="F90" s="406">
        <f>'Copia de Emisiones Energía'!F90*0.001</f>
        <v>10.964</v>
      </c>
      <c r="G90" s="406">
        <f>'Copia de Emisiones Energía'!G90*0.001</f>
        <v>12.293900000000001</v>
      </c>
      <c r="H90" s="403"/>
      <c r="I90" s="403"/>
      <c r="J90" s="403"/>
      <c r="K90" s="403"/>
      <c r="L90" s="403"/>
      <c r="M90" s="403"/>
      <c r="N90" s="403"/>
      <c r="O90" s="403"/>
      <c r="P90" s="403"/>
      <c r="Q90" s="403"/>
      <c r="R90" s="403"/>
      <c r="S90" s="403"/>
      <c r="T90" s="403"/>
      <c r="U90" s="403"/>
      <c r="V90" s="403"/>
      <c r="W90" s="403"/>
      <c r="X90" s="403"/>
      <c r="Y90" s="403"/>
      <c r="Z90" s="403"/>
      <c r="AA90" s="403"/>
      <c r="AB90" s="403"/>
      <c r="AC90" s="403"/>
      <c r="AD90" s="403"/>
      <c r="AE90" s="403"/>
      <c r="AF90" s="403"/>
      <c r="AG90" s="403"/>
      <c r="AH90" s="403"/>
      <c r="AI90" s="403"/>
      <c r="AJ90" s="403"/>
      <c r="AK90" s="450"/>
    </row>
    <row r="91" spans="1:37" ht="13.5" customHeight="1" x14ac:dyDescent="0.45">
      <c r="A91" s="618"/>
      <c r="B91" s="400"/>
      <c r="C91" s="405" t="s">
        <v>573</v>
      </c>
      <c r="D91" s="406">
        <f>'Copia de Emisiones Energía'!D91*0.001</f>
        <v>0.78439999999999999</v>
      </c>
      <c r="E91" s="406">
        <f>'Copia de Emisiones Energía'!E91*0.001</f>
        <v>0.80630000000000002</v>
      </c>
      <c r="F91" s="406">
        <f>'Copia de Emisiones Energía'!F91*0.001</f>
        <v>0.75729999999999997</v>
      </c>
      <c r="G91" s="406">
        <f>'Copia de Emisiones Energía'!G91*0.001</f>
        <v>0.86699999999999999</v>
      </c>
      <c r="H91" s="403"/>
      <c r="I91" s="403"/>
      <c r="J91" s="403"/>
      <c r="K91" s="403"/>
      <c r="L91" s="403"/>
      <c r="M91" s="403"/>
      <c r="N91" s="403"/>
      <c r="O91" s="403"/>
      <c r="P91" s="403"/>
      <c r="Q91" s="403"/>
      <c r="R91" s="403"/>
      <c r="S91" s="403"/>
      <c r="T91" s="403"/>
      <c r="U91" s="403"/>
      <c r="V91" s="403"/>
      <c r="W91" s="403"/>
      <c r="X91" s="403"/>
      <c r="Y91" s="403"/>
      <c r="Z91" s="403"/>
      <c r="AA91" s="403"/>
      <c r="AB91" s="403"/>
      <c r="AC91" s="403"/>
      <c r="AD91" s="403"/>
      <c r="AE91" s="403"/>
      <c r="AF91" s="403"/>
      <c r="AG91" s="403"/>
      <c r="AH91" s="403"/>
      <c r="AI91" s="403"/>
      <c r="AJ91" s="403"/>
      <c r="AK91" s="450"/>
    </row>
    <row r="92" spans="1:37" ht="13.5" customHeight="1" x14ac:dyDescent="0.45">
      <c r="A92" s="618"/>
      <c r="B92" s="400"/>
      <c r="C92" s="405" t="s">
        <v>581</v>
      </c>
      <c r="D92" s="406" t="s">
        <v>221</v>
      </c>
      <c r="E92" s="406" t="s">
        <v>221</v>
      </c>
      <c r="F92" s="406" t="s">
        <v>221</v>
      </c>
      <c r="G92" s="406">
        <f>'Copia de Emisiones Energía'!G92*0.001</f>
        <v>0.5544</v>
      </c>
      <c r="H92" s="403"/>
      <c r="I92" s="403"/>
      <c r="J92" s="403"/>
      <c r="K92" s="403"/>
      <c r="L92" s="403"/>
      <c r="M92" s="403"/>
      <c r="N92" s="403"/>
      <c r="O92" s="403"/>
      <c r="P92" s="403"/>
      <c r="Q92" s="403"/>
      <c r="R92" s="403"/>
      <c r="S92" s="403"/>
      <c r="T92" s="403"/>
      <c r="U92" s="403"/>
      <c r="V92" s="403"/>
      <c r="W92" s="403"/>
      <c r="X92" s="403"/>
      <c r="Y92" s="403"/>
      <c r="Z92" s="403"/>
      <c r="AA92" s="403"/>
      <c r="AB92" s="403"/>
      <c r="AC92" s="403"/>
      <c r="AD92" s="403"/>
      <c r="AE92" s="403"/>
      <c r="AF92" s="403"/>
      <c r="AG92" s="403"/>
      <c r="AH92" s="403"/>
      <c r="AI92" s="403"/>
      <c r="AJ92" s="403"/>
      <c r="AK92" s="450"/>
    </row>
    <row r="93" spans="1:37" ht="13.5" customHeight="1" x14ac:dyDescent="0.45">
      <c r="A93" s="618"/>
      <c r="B93" s="400"/>
      <c r="C93" s="405" t="s">
        <v>582</v>
      </c>
      <c r="D93" s="406">
        <f>'Copia de Emisiones Energía'!D93*0.001</f>
        <v>0.65910000000000002</v>
      </c>
      <c r="E93" s="406">
        <f>'Copia de Emisiones Energía'!E93*0.001</f>
        <v>0.63060000000000005</v>
      </c>
      <c r="F93" s="406">
        <f>'Copia de Emisiones Energía'!F93*0.001</f>
        <v>0.48710000000000003</v>
      </c>
      <c r="G93" s="406">
        <f>'Copia de Emisiones Energía'!G93*0.001</f>
        <v>0.58610000000000007</v>
      </c>
      <c r="H93" s="403"/>
      <c r="I93" s="403"/>
      <c r="J93" s="403"/>
      <c r="K93" s="403"/>
      <c r="L93" s="403"/>
      <c r="M93" s="403"/>
      <c r="N93" s="403"/>
      <c r="O93" s="403"/>
      <c r="P93" s="403"/>
      <c r="Q93" s="403"/>
      <c r="R93" s="403"/>
      <c r="S93" s="403"/>
      <c r="T93" s="403"/>
      <c r="U93" s="403"/>
      <c r="V93" s="403"/>
      <c r="W93" s="403"/>
      <c r="X93" s="403"/>
      <c r="Y93" s="403"/>
      <c r="Z93" s="403"/>
      <c r="AA93" s="403"/>
      <c r="AB93" s="403"/>
      <c r="AC93" s="403"/>
      <c r="AD93" s="403"/>
      <c r="AE93" s="403"/>
      <c r="AF93" s="403"/>
      <c r="AG93" s="403"/>
      <c r="AH93" s="403"/>
      <c r="AI93" s="403"/>
      <c r="AJ93" s="403"/>
      <c r="AK93" s="450"/>
    </row>
    <row r="94" spans="1:37" ht="13.5" customHeight="1" x14ac:dyDescent="0.45">
      <c r="A94" s="618"/>
      <c r="B94" s="400"/>
      <c r="C94" s="405"/>
      <c r="D94" s="403"/>
      <c r="E94" s="403"/>
      <c r="F94" s="403"/>
      <c r="G94" s="403"/>
      <c r="H94" s="403"/>
      <c r="I94" s="403"/>
      <c r="J94" s="403"/>
      <c r="K94" s="403"/>
      <c r="L94" s="403"/>
      <c r="M94" s="403"/>
      <c r="N94" s="403"/>
      <c r="O94" s="403"/>
      <c r="P94" s="403"/>
      <c r="Q94" s="403"/>
      <c r="R94" s="403"/>
      <c r="S94" s="403"/>
      <c r="T94" s="403"/>
      <c r="U94" s="403"/>
      <c r="V94" s="403"/>
      <c r="W94" s="403"/>
      <c r="X94" s="403"/>
      <c r="Y94" s="403"/>
      <c r="Z94" s="403"/>
      <c r="AA94" s="403"/>
      <c r="AB94" s="403"/>
      <c r="AC94" s="403"/>
      <c r="AD94" s="403"/>
      <c r="AE94" s="403"/>
      <c r="AF94" s="403"/>
      <c r="AG94" s="403"/>
      <c r="AH94" s="403"/>
      <c r="AI94" s="403"/>
      <c r="AJ94" s="403"/>
      <c r="AK94" s="450"/>
    </row>
    <row r="95" spans="1:37" ht="13.5" customHeight="1" x14ac:dyDescent="0.45">
      <c r="A95" s="618"/>
      <c r="B95" s="400"/>
      <c r="C95" s="92" t="s">
        <v>568</v>
      </c>
      <c r="D95" s="406">
        <f>SUM(D84:D93)</f>
        <v>31.429099999999998</v>
      </c>
      <c r="E95" s="406">
        <f>SUM(E84:E93)</f>
        <v>31.553900000000006</v>
      </c>
      <c r="F95" s="406">
        <f>SUM(F84:F93)</f>
        <v>26.964000000000002</v>
      </c>
      <c r="G95" s="406">
        <f>SUM(G84:G93)</f>
        <v>30.8795</v>
      </c>
      <c r="H95" s="403"/>
      <c r="I95" s="403"/>
      <c r="J95" s="403"/>
      <c r="K95" s="403"/>
      <c r="L95" s="403"/>
      <c r="M95" s="403"/>
      <c r="N95" s="403"/>
      <c r="O95" s="403"/>
      <c r="P95" s="403"/>
      <c r="Q95" s="403"/>
      <c r="R95" s="403"/>
      <c r="S95" s="403"/>
      <c r="T95" s="403"/>
      <c r="U95" s="403"/>
      <c r="V95" s="403"/>
      <c r="W95" s="403"/>
      <c r="X95" s="403"/>
      <c r="Y95" s="403"/>
      <c r="Z95" s="403"/>
      <c r="AA95" s="403"/>
      <c r="AB95" s="403"/>
      <c r="AC95" s="403"/>
      <c r="AD95" s="403"/>
      <c r="AE95" s="403"/>
      <c r="AF95" s="403"/>
      <c r="AG95" s="403"/>
      <c r="AH95" s="403"/>
      <c r="AI95" s="403"/>
      <c r="AJ95" s="403"/>
      <c r="AK95" s="450"/>
    </row>
    <row r="96" spans="1:37" ht="13.5" customHeight="1" x14ac:dyDescent="0.45">
      <c r="A96" s="618"/>
      <c r="B96" s="451"/>
      <c r="C96" s="452"/>
      <c r="D96" s="453"/>
      <c r="E96" s="453"/>
      <c r="F96" s="453"/>
      <c r="G96" s="453"/>
      <c r="H96" s="453"/>
      <c r="I96" s="453"/>
      <c r="J96" s="453"/>
      <c r="K96" s="453"/>
      <c r="L96" s="453"/>
      <c r="M96" s="453"/>
      <c r="N96" s="453"/>
      <c r="O96" s="453"/>
      <c r="P96" s="453"/>
      <c r="Q96" s="453"/>
      <c r="R96" s="453"/>
      <c r="S96" s="453"/>
      <c r="T96" s="453"/>
      <c r="U96" s="453"/>
      <c r="V96" s="453"/>
      <c r="W96" s="453"/>
      <c r="X96" s="453"/>
      <c r="Y96" s="453"/>
      <c r="Z96" s="453"/>
      <c r="AA96" s="453"/>
      <c r="AB96" s="453"/>
      <c r="AC96" s="453"/>
      <c r="AD96" s="453"/>
      <c r="AE96" s="453"/>
      <c r="AF96" s="453"/>
      <c r="AG96" s="453"/>
      <c r="AH96" s="453"/>
      <c r="AI96" s="453"/>
      <c r="AJ96" s="453"/>
      <c r="AK96" s="454"/>
    </row>
    <row r="97" spans="1:37" ht="13.5" customHeight="1" x14ac:dyDescent="0.4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3.5" customHeight="1" x14ac:dyDescent="0.45">
      <c r="A98" s="618"/>
      <c r="B98" s="26"/>
      <c r="C98" s="212"/>
      <c r="D98" s="211"/>
      <c r="E98" s="211"/>
      <c r="F98" s="211"/>
      <c r="G98" s="211"/>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351"/>
    </row>
    <row r="99" spans="1:37" ht="13.5" customHeight="1" x14ac:dyDescent="0.45">
      <c r="A99" s="618"/>
      <c r="B99" s="215"/>
      <c r="C99" s="243" t="s">
        <v>583</v>
      </c>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352"/>
    </row>
    <row r="100" spans="1:37" ht="13.5" customHeight="1" x14ac:dyDescent="0.45">
      <c r="A100" s="618"/>
      <c r="B100" s="215"/>
      <c r="C100" s="221" t="s">
        <v>566</v>
      </c>
      <c r="D100" s="293">
        <f>'Copia de Emisiones Energía'!D100*0.001</f>
        <v>0.31280000000000002</v>
      </c>
      <c r="E100" s="293">
        <f>'Copia de Emisiones Energía'!E100*0.001</f>
        <v>0.34489999999999998</v>
      </c>
      <c r="F100" s="293">
        <f>'Copia de Emisiones Energía'!F100*0.001</f>
        <v>0.30449999999999999</v>
      </c>
      <c r="G100" s="293">
        <f>'Copia de Emisiones Energía'!G100*0.001</f>
        <v>0.32930000000000004</v>
      </c>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352"/>
    </row>
    <row r="101" spans="1:37" ht="13.5" customHeight="1" x14ac:dyDescent="0.45">
      <c r="A101" s="618"/>
      <c r="B101" s="215"/>
      <c r="C101" s="221" t="s">
        <v>567</v>
      </c>
      <c r="D101" s="293">
        <f>'Copia de Emisiones Energía'!D101*0.001</f>
        <v>0.32269999999999999</v>
      </c>
      <c r="E101" s="293">
        <f>'Copia de Emisiones Energía'!E101*0.001</f>
        <v>0.29699999999999999</v>
      </c>
      <c r="F101" s="293">
        <f>'Copia de Emisiones Energía'!F101*0.001</f>
        <v>0.26050000000000001</v>
      </c>
      <c r="G101" s="293">
        <f>'Copia de Emisiones Energía'!G101*0.001</f>
        <v>0.28810000000000002</v>
      </c>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352"/>
    </row>
    <row r="102" spans="1:37" ht="13.5" customHeight="1" x14ac:dyDescent="0.45">
      <c r="A102" s="618"/>
      <c r="B102" s="215"/>
      <c r="C102" s="91" t="s">
        <v>568</v>
      </c>
      <c r="D102" s="455">
        <f>SUM(D100:D101)</f>
        <v>0.63549999999999995</v>
      </c>
      <c r="E102" s="455">
        <f>SUM(E100:E101)</f>
        <v>0.64189999999999992</v>
      </c>
      <c r="F102" s="455">
        <f>SUM(F100:F101)</f>
        <v>0.56499999999999995</v>
      </c>
      <c r="G102" s="455">
        <f>SUM(G100:G101)</f>
        <v>0.61740000000000006</v>
      </c>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352"/>
    </row>
    <row r="103" spans="1:37" ht="13.5" customHeight="1" x14ac:dyDescent="0.45">
      <c r="A103" s="618"/>
      <c r="B103" s="215"/>
      <c r="C103" s="243"/>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352"/>
    </row>
    <row r="104" spans="1:37" ht="13.5" customHeight="1" x14ac:dyDescent="0.45">
      <c r="A104" s="618"/>
      <c r="B104" s="215"/>
      <c r="C104" s="243" t="s">
        <v>584</v>
      </c>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352"/>
    </row>
    <row r="105" spans="1:37" ht="13.5" customHeight="1" x14ac:dyDescent="0.45">
      <c r="A105" s="618"/>
      <c r="B105" s="215"/>
      <c r="C105" s="221" t="s">
        <v>565</v>
      </c>
      <c r="D105" s="293">
        <f>'Copia de Emisiones Energía'!D105*0.001</f>
        <v>0.44900000000000001</v>
      </c>
      <c r="E105" s="293">
        <f>'Copia de Emisiones Energía'!E105*0.001</f>
        <v>0.4854</v>
      </c>
      <c r="F105" s="293">
        <f>'Copia de Emisiones Energía'!F105*0.001</f>
        <v>0.45460000000000006</v>
      </c>
      <c r="G105" s="293">
        <f>'Copia de Emisiones Energía'!G105*0.001</f>
        <v>0.4375</v>
      </c>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352"/>
    </row>
    <row r="106" spans="1:37" ht="13.5" customHeight="1" x14ac:dyDescent="0.45">
      <c r="A106" s="618"/>
      <c r="B106" s="215"/>
      <c r="C106" s="221" t="s">
        <v>576</v>
      </c>
      <c r="D106" s="293">
        <f>'Copia de Emisiones Energía'!D106*0.001</f>
        <v>4.9399999999999999E-2</v>
      </c>
      <c r="E106" s="293">
        <f>'Copia de Emisiones Energía'!E106*0.001</f>
        <v>4.0700000000000007E-2</v>
      </c>
      <c r="F106" s="293">
        <f>'Copia de Emisiones Energía'!F106*0.001</f>
        <v>4.1700000000000001E-2</v>
      </c>
      <c r="G106" s="293">
        <f>'Copia de Emisiones Energía'!G106*0.001</f>
        <v>3.9700000000000006E-2</v>
      </c>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352"/>
    </row>
    <row r="107" spans="1:37" ht="13.5" customHeight="1" x14ac:dyDescent="0.45">
      <c r="A107" s="618"/>
      <c r="B107" s="215"/>
      <c r="C107" s="221" t="s">
        <v>579</v>
      </c>
      <c r="D107" s="293">
        <f>'Copia de Emisiones Energía'!D107*0.001</f>
        <v>4.6300000000000001E-2</v>
      </c>
      <c r="E107" s="293">
        <f>'Copia de Emisiones Energía'!E107*0.001</f>
        <v>5.1400000000000001E-2</v>
      </c>
      <c r="F107" s="293">
        <f>'Copia de Emisiones Energía'!F107*0.001</f>
        <v>4.3700000000000003E-2</v>
      </c>
      <c r="G107" s="293">
        <f>'Copia de Emisiones Energía'!G107*0.001</f>
        <v>4.9100000000000005E-2</v>
      </c>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352"/>
    </row>
    <row r="108" spans="1:37" ht="13.5" customHeight="1" x14ac:dyDescent="0.45">
      <c r="A108" s="618"/>
      <c r="B108" s="215"/>
      <c r="C108" s="221" t="s">
        <v>580</v>
      </c>
      <c r="D108" s="293">
        <f>'Copia de Emisiones Energía'!D108*0.001</f>
        <v>8.8999999999999999E-3</v>
      </c>
      <c r="E108" s="293">
        <f>'Copia de Emisiones Energía'!E108*0.001</f>
        <v>1.0199999999999999E-2</v>
      </c>
      <c r="F108" s="293">
        <f>'Copia de Emisiones Energía'!F108*0.001</f>
        <v>9.300000000000001E-3</v>
      </c>
      <c r="G108" s="293">
        <f>'Copia de Emisiones Energía'!G108*0.001</f>
        <v>1.01E-2</v>
      </c>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352"/>
    </row>
    <row r="109" spans="1:37" ht="13.5" customHeight="1" x14ac:dyDescent="0.45">
      <c r="A109" s="618"/>
      <c r="B109" s="215"/>
      <c r="C109" s="221" t="s">
        <v>572</v>
      </c>
      <c r="D109" s="293">
        <f>'Copia de Emisiones Energía'!D109*0.001</f>
        <v>0.35399999999999998</v>
      </c>
      <c r="E109" s="293">
        <f>'Copia de Emisiones Energía'!E109*0.001</f>
        <v>0.36249999999999999</v>
      </c>
      <c r="F109" s="293">
        <f>'Copia de Emisiones Energía'!F109*0.001</f>
        <v>0.31290000000000001</v>
      </c>
      <c r="G109" s="293">
        <f>'Copia de Emisiones Energía'!G109*0.001</f>
        <v>0.32739999999999997</v>
      </c>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352"/>
    </row>
    <row r="110" spans="1:37" ht="13.5" customHeight="1" x14ac:dyDescent="0.45">
      <c r="A110" s="618"/>
      <c r="B110" s="215"/>
      <c r="C110" s="221" t="s">
        <v>573</v>
      </c>
      <c r="D110" s="293">
        <f>'Copia de Emisiones Energía'!D110*0.001</f>
        <v>0.6431</v>
      </c>
      <c r="E110" s="293">
        <f>'Copia de Emisiones Energía'!E110*0.001</f>
        <v>0.58550000000000002</v>
      </c>
      <c r="F110" s="293">
        <f>'Copia de Emisiones Energía'!F110*0.001</f>
        <v>0.49180000000000001</v>
      </c>
      <c r="G110" s="293">
        <f>'Copia de Emisiones Energía'!G110*0.001</f>
        <v>0.58389999999999997</v>
      </c>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352"/>
    </row>
    <row r="111" spans="1:37" ht="13.5" customHeight="1" x14ac:dyDescent="0.45">
      <c r="A111" s="618"/>
      <c r="B111" s="215"/>
      <c r="C111" s="221" t="s">
        <v>585</v>
      </c>
      <c r="D111" s="293">
        <f>'Copia de Emisiones Energía'!D111*0.001</f>
        <v>9.6500000000000002E-2</v>
      </c>
      <c r="E111" s="293">
        <f>'Copia de Emisiones Energía'!E111*0.001</f>
        <v>9.35E-2</v>
      </c>
      <c r="F111" s="293">
        <f>'Copia de Emisiones Energía'!F111*0.001</f>
        <v>0.192</v>
      </c>
      <c r="G111" s="293">
        <f>'Copia de Emisiones Energía'!G111*0.001</f>
        <v>0.2049</v>
      </c>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352"/>
    </row>
    <row r="112" spans="1:37" ht="13.5" customHeight="1" x14ac:dyDescent="0.45">
      <c r="A112" s="618"/>
      <c r="B112" s="215"/>
      <c r="C112" s="91" t="s">
        <v>568</v>
      </c>
      <c r="D112" s="455">
        <f>SUM(D105:D111)</f>
        <v>1.6472</v>
      </c>
      <c r="E112" s="455">
        <f>SUM(E105:E111)</f>
        <v>1.6291999999999998</v>
      </c>
      <c r="F112" s="455">
        <f>SUM(F105:F111)</f>
        <v>1.546</v>
      </c>
      <c r="G112" s="455">
        <f>SUM(G105:G111)</f>
        <v>1.6525999999999998</v>
      </c>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352"/>
    </row>
    <row r="113" spans="1:37" ht="13.5" customHeight="1" x14ac:dyDescent="0.45">
      <c r="A113" s="618"/>
      <c r="B113" s="258"/>
      <c r="C113" s="329"/>
      <c r="D113" s="259"/>
      <c r="E113" s="259"/>
      <c r="F113" s="259"/>
      <c r="G113" s="259"/>
      <c r="H113" s="259"/>
      <c r="I113" s="259"/>
      <c r="J113" s="259"/>
      <c r="K113" s="259"/>
      <c r="L113" s="259"/>
      <c r="M113" s="259"/>
      <c r="N113" s="259"/>
      <c r="O113" s="259"/>
      <c r="P113" s="259"/>
      <c r="Q113" s="259"/>
      <c r="R113" s="259"/>
      <c r="S113" s="259"/>
      <c r="T113" s="259"/>
      <c r="U113" s="259"/>
      <c r="V113" s="259"/>
      <c r="W113" s="259"/>
      <c r="X113" s="259"/>
      <c r="Y113" s="259"/>
      <c r="Z113" s="259"/>
      <c r="AA113" s="259"/>
      <c r="AB113" s="259"/>
      <c r="AC113" s="259"/>
      <c r="AD113" s="259"/>
      <c r="AE113" s="259"/>
      <c r="AF113" s="259"/>
      <c r="AG113" s="259"/>
      <c r="AH113" s="259"/>
      <c r="AI113" s="259"/>
      <c r="AJ113" s="259"/>
      <c r="AK113" s="425"/>
    </row>
    <row r="114" spans="1:37" ht="13.5" customHeight="1" x14ac:dyDescent="0.4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3.5" customHeight="1" x14ac:dyDescent="0.45">
      <c r="A115" s="1"/>
      <c r="B115" s="1"/>
      <c r="C115" s="18" t="s">
        <v>586</v>
      </c>
      <c r="D115" s="93">
        <f>SUM(D112,D102,D95,D78,D68,D56)</f>
        <v>39.720200000000006</v>
      </c>
      <c r="E115" s="93">
        <f>SUM(E112,E102,E95,E78,E68,E56)</f>
        <v>39.057400000000001</v>
      </c>
      <c r="F115" s="93">
        <f>SUM(F112,F102,F95,F78,F68,F56)</f>
        <v>34.075600000000009</v>
      </c>
      <c r="G115" s="93">
        <f>SUM(G112,G102,G95,G78,G68,G56)</f>
        <v>37.993200000000002</v>
      </c>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3.5"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3.5" customHeight="1" x14ac:dyDescent="0.45">
      <c r="A117" s="618"/>
      <c r="B117" s="26"/>
      <c r="C117" s="212"/>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351"/>
    </row>
    <row r="118" spans="1:37" ht="20.25" customHeight="1" x14ac:dyDescent="0.45">
      <c r="A118" s="618"/>
      <c r="B118" s="215"/>
      <c r="C118" s="444" t="s">
        <v>587</v>
      </c>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c r="AC118" s="220"/>
      <c r="AD118" s="220"/>
      <c r="AE118" s="220"/>
      <c r="AF118" s="220"/>
      <c r="AG118" s="220"/>
      <c r="AH118" s="220"/>
      <c r="AI118" s="220"/>
      <c r="AJ118" s="220"/>
      <c r="AK118" s="352"/>
    </row>
    <row r="119" spans="1:37" ht="15.75" customHeight="1" x14ac:dyDescent="0.45">
      <c r="A119" s="618"/>
      <c r="B119" s="215"/>
      <c r="C119" s="456" t="s">
        <v>588</v>
      </c>
      <c r="D119" s="293">
        <f>'Copia de Emisiones Energía'!D120*$D$134</f>
        <v>15.490147799316896</v>
      </c>
      <c r="E119" s="293">
        <f>'Copia de Emisiones Energía'!E120*$D$134</f>
        <v>16.326872430228008</v>
      </c>
      <c r="F119" s="293">
        <f>'Copia de Emisiones Energía'!F120*$D$134</f>
        <v>16.451713370995453</v>
      </c>
      <c r="G119" s="293">
        <f>'Copia de Emisiones Energía'!G120*$D$134</f>
        <v>15.71137755946758</v>
      </c>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c r="AJ119" s="285"/>
      <c r="AK119" s="352"/>
    </row>
    <row r="120" spans="1:37" ht="15.75" customHeight="1" x14ac:dyDescent="0.45">
      <c r="A120" s="618"/>
      <c r="B120" s="215"/>
      <c r="C120" s="457"/>
      <c r="D120" s="293"/>
      <c r="E120" s="293"/>
      <c r="F120" s="293"/>
      <c r="G120" s="293"/>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352"/>
    </row>
    <row r="121" spans="1:37" ht="15.75" customHeight="1" x14ac:dyDescent="0.45">
      <c r="A121" s="618"/>
      <c r="B121" s="215"/>
      <c r="C121" s="457" t="s">
        <v>589</v>
      </c>
      <c r="D121" s="458">
        <f>D71/D119</f>
        <v>7.3549976072548665E-2</v>
      </c>
      <c r="E121" s="458">
        <f>E71/E119</f>
        <v>7.3541335312756653E-2</v>
      </c>
      <c r="F121" s="458">
        <f>F71/F119</f>
        <v>7.3542492062441775E-2</v>
      </c>
      <c r="G121" s="458">
        <f>G71/G119</f>
        <v>7.3545428822293354E-2</v>
      </c>
      <c r="H121" s="640" t="s">
        <v>590</v>
      </c>
      <c r="I121" s="640"/>
      <c r="J121" s="640"/>
      <c r="K121" s="285"/>
      <c r="L121" s="285"/>
      <c r="M121" s="285"/>
      <c r="N121" s="285"/>
      <c r="O121" s="285"/>
      <c r="P121" s="285"/>
      <c r="Q121" s="285"/>
      <c r="R121" s="285"/>
      <c r="S121" s="285"/>
      <c r="T121" s="285"/>
      <c r="U121" s="285"/>
      <c r="V121" s="285"/>
      <c r="W121" s="285"/>
      <c r="X121" s="285"/>
      <c r="Y121" s="285"/>
      <c r="Z121" s="285"/>
      <c r="AA121" s="285"/>
      <c r="AB121" s="285"/>
      <c r="AC121" s="285"/>
      <c r="AD121" s="285"/>
      <c r="AE121" s="285"/>
      <c r="AF121" s="285"/>
      <c r="AG121" s="285"/>
      <c r="AH121" s="285"/>
      <c r="AI121" s="285"/>
      <c r="AJ121" s="285"/>
      <c r="AK121" s="352"/>
    </row>
    <row r="122" spans="1:37" ht="15.75" customHeight="1" x14ac:dyDescent="0.45">
      <c r="A122" s="618"/>
      <c r="B122" s="215"/>
      <c r="C122" s="457"/>
      <c r="D122" s="293"/>
      <c r="E122" s="293"/>
      <c r="F122" s="293"/>
      <c r="G122" s="293"/>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352"/>
    </row>
    <row r="123" spans="1:37" ht="15.75" customHeight="1" x14ac:dyDescent="0.45">
      <c r="A123" s="618"/>
      <c r="B123" s="215"/>
      <c r="C123" s="457" t="s">
        <v>591</v>
      </c>
      <c r="D123" s="459">
        <f>'Copia de Emisiones Energía'!D122*$D$140</f>
        <v>7.329999999999999E-2</v>
      </c>
      <c r="E123" s="293"/>
      <c r="F123" s="293"/>
      <c r="G123" s="293"/>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c r="AE123" s="285"/>
      <c r="AF123" s="285"/>
      <c r="AG123" s="285"/>
      <c r="AH123" s="285"/>
      <c r="AI123" s="285"/>
      <c r="AJ123" s="285"/>
      <c r="AK123" s="352"/>
    </row>
    <row r="124" spans="1:37" ht="15.75" customHeight="1" x14ac:dyDescent="0.45">
      <c r="A124" s="618"/>
      <c r="B124" s="215"/>
      <c r="C124" s="456" t="s">
        <v>592</v>
      </c>
      <c r="D124" s="570">
        <f>'Copia de Emisiones Energía'!D125/1000</f>
        <v>6.081900000000001</v>
      </c>
      <c r="E124" s="570">
        <f>'Copia de Emisiones Energía'!E125/1000</f>
        <v>6.6057000000000006</v>
      </c>
      <c r="F124" s="570">
        <f>'Copia de Emisiones Energía'!F125/1000</f>
        <v>6.1866599999999998</v>
      </c>
      <c r="G124" s="570">
        <f>'Copia de Emisiones Energía'!G125/1000</f>
        <v>5.9538600000000006</v>
      </c>
      <c r="H124" s="285">
        <f>AVERAGE(D124:G124)</f>
        <v>6.2070299999999996</v>
      </c>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c r="AE124" s="285"/>
      <c r="AF124" s="285"/>
      <c r="AG124" s="285"/>
      <c r="AH124" s="285"/>
      <c r="AI124" s="285"/>
      <c r="AJ124" s="285"/>
      <c r="AK124" s="352"/>
    </row>
    <row r="125" spans="1:37" ht="15.75" customHeight="1" x14ac:dyDescent="0.45">
      <c r="A125" s="618"/>
      <c r="B125" s="215"/>
      <c r="C125" s="456"/>
      <c r="D125" s="531">
        <v>7.5185926438895478</v>
      </c>
      <c r="E125" s="531">
        <v>7.9747930302909396</v>
      </c>
      <c r="F125" s="531">
        <v>7.4680847183598091</v>
      </c>
      <c r="G125" s="531">
        <v>7.2829706374987397</v>
      </c>
      <c r="H125" s="285"/>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c r="AE125" s="285"/>
      <c r="AF125" s="285"/>
      <c r="AG125" s="285"/>
      <c r="AH125" s="285"/>
      <c r="AI125" s="285"/>
      <c r="AJ125" s="285"/>
      <c r="AK125" s="352"/>
    </row>
    <row r="126" spans="1:37" ht="15.75" customHeight="1" x14ac:dyDescent="0.45">
      <c r="A126" s="618"/>
      <c r="B126" s="215"/>
      <c r="C126" s="457" t="s">
        <v>593</v>
      </c>
      <c r="D126" s="362">
        <f>'Copia de Emisiones Energía'!D128*0.001</f>
        <v>0.44580327000000008</v>
      </c>
      <c r="E126" s="362">
        <f>'Copia de Emisiones Energía'!E128*0.001</f>
        <v>0.48419781000000006</v>
      </c>
      <c r="F126" s="362">
        <f>'Copia de Emisiones Energía'!F128*0.001</f>
        <v>0.45348217799999996</v>
      </c>
      <c r="G126" s="362">
        <f>'Copia de Emisiones Energía'!G128*0.001</f>
        <v>0.43641793800000006</v>
      </c>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352"/>
    </row>
    <row r="127" spans="1:37" ht="13.5" customHeight="1" x14ac:dyDescent="0.45">
      <c r="A127" s="618"/>
      <c r="B127" s="258"/>
      <c r="C127" s="329"/>
      <c r="D127" s="329"/>
      <c r="E127" s="329"/>
      <c r="F127" s="329"/>
      <c r="G127" s="329"/>
      <c r="H127" s="259"/>
      <c r="I127" s="259"/>
      <c r="J127" s="259"/>
      <c r="K127" s="259"/>
      <c r="L127" s="259"/>
      <c r="M127" s="259"/>
      <c r="N127" s="259"/>
      <c r="O127" s="259"/>
      <c r="P127" s="259"/>
      <c r="Q127" s="259"/>
      <c r="R127" s="259"/>
      <c r="S127" s="259"/>
      <c r="T127" s="259"/>
      <c r="U127" s="259"/>
      <c r="V127" s="259"/>
      <c r="W127" s="259"/>
      <c r="X127" s="259"/>
      <c r="Y127" s="259"/>
      <c r="Z127" s="259"/>
      <c r="AA127" s="259"/>
      <c r="AB127" s="259"/>
      <c r="AC127" s="259"/>
      <c r="AD127" s="259"/>
      <c r="AE127" s="259"/>
      <c r="AF127" s="259"/>
      <c r="AG127" s="259"/>
      <c r="AH127" s="259"/>
      <c r="AI127" s="259"/>
      <c r="AJ127" s="259"/>
      <c r="AK127" s="425"/>
    </row>
    <row r="128" spans="1:37" ht="13.5" customHeight="1" x14ac:dyDescent="0.45">
      <c r="A128" s="1"/>
      <c r="B128" s="1"/>
      <c r="C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3.5" customHeight="1" x14ac:dyDescent="0.45">
      <c r="A129" s="1"/>
      <c r="B129" s="1"/>
      <c r="C129" s="14" t="s">
        <v>138</v>
      </c>
      <c r="D129" s="6"/>
      <c r="E129" s="6"/>
      <c r="F129" s="6"/>
      <c r="G129" s="6"/>
      <c r="H129" s="618"/>
      <c r="I129" s="618"/>
      <c r="J129" s="618"/>
      <c r="K129" s="618"/>
      <c r="L129" s="618"/>
      <c r="M129" s="618"/>
      <c r="N129" s="618"/>
      <c r="O129" s="618"/>
      <c r="P129" s="1"/>
      <c r="Q129" s="1"/>
      <c r="R129" s="1"/>
      <c r="S129" s="1"/>
      <c r="T129" s="1"/>
      <c r="U129" s="1"/>
      <c r="V129" s="1"/>
      <c r="W129" s="1"/>
      <c r="X129" s="1"/>
      <c r="Y129" s="1"/>
      <c r="Z129" s="1"/>
      <c r="AA129" s="1"/>
      <c r="AB129" s="1"/>
      <c r="AC129" s="1"/>
      <c r="AD129" s="1"/>
      <c r="AE129" s="1"/>
      <c r="AF129" s="1"/>
      <c r="AG129" s="1"/>
      <c r="AH129" s="1"/>
      <c r="AI129" s="1"/>
      <c r="AJ129" s="1"/>
      <c r="AK129" s="1"/>
    </row>
    <row r="130" spans="1:37" ht="13.5" customHeight="1" x14ac:dyDescent="0.45">
      <c r="A130" s="1"/>
      <c r="B130" s="1"/>
      <c r="C130" s="5"/>
      <c r="D130" s="24"/>
      <c r="E130" s="24"/>
      <c r="F130" s="24"/>
      <c r="G130" s="25"/>
      <c r="H130" s="618"/>
      <c r="I130" s="618"/>
      <c r="J130" s="618"/>
      <c r="K130" s="618"/>
      <c r="L130" s="618"/>
      <c r="M130" s="618"/>
      <c r="N130" s="618"/>
      <c r="O130" s="618"/>
      <c r="P130" s="1"/>
      <c r="Q130" s="1"/>
      <c r="R130" s="1"/>
      <c r="S130" s="1"/>
      <c r="T130" s="1"/>
      <c r="U130" s="1"/>
      <c r="V130" s="1"/>
      <c r="W130" s="1"/>
      <c r="X130" s="1"/>
      <c r="Y130" s="1"/>
      <c r="Z130" s="1"/>
      <c r="AA130" s="1"/>
      <c r="AB130" s="1"/>
      <c r="AC130" s="1"/>
      <c r="AD130" s="1"/>
      <c r="AE130" s="1"/>
      <c r="AF130" s="1"/>
      <c r="AG130" s="1"/>
      <c r="AH130" s="1"/>
      <c r="AI130" s="1"/>
      <c r="AJ130" s="1"/>
      <c r="AK130" s="1"/>
    </row>
    <row r="131" spans="1:37" ht="18.75" customHeight="1" x14ac:dyDescent="0.45">
      <c r="A131" s="1"/>
      <c r="B131" s="1"/>
      <c r="C131" s="198" t="s">
        <v>594</v>
      </c>
      <c r="D131" s="202">
        <f>(F131*H131*J131*L131*N131*P131)/(H132*J132*L132*N132*P132)</f>
        <v>2.738070278219731E-2</v>
      </c>
      <c r="E131" s="200" t="s">
        <v>595</v>
      </c>
      <c r="F131" s="16">
        <v>1</v>
      </c>
      <c r="G131" s="201" t="s">
        <v>596</v>
      </c>
      <c r="H131" s="16">
        <v>1</v>
      </c>
      <c r="I131" s="201" t="s">
        <v>597</v>
      </c>
      <c r="J131" s="16">
        <v>1</v>
      </c>
      <c r="K131" s="201" t="s">
        <v>149</v>
      </c>
      <c r="L131" s="16">
        <v>1000</v>
      </c>
      <c r="M131" s="201" t="s">
        <v>150</v>
      </c>
      <c r="N131" s="16">
        <v>1</v>
      </c>
      <c r="O131" s="201" t="s">
        <v>140</v>
      </c>
      <c r="P131" s="1">
        <v>1</v>
      </c>
      <c r="Q131" s="201" t="s">
        <v>598</v>
      </c>
      <c r="R131" s="1"/>
      <c r="S131" s="1"/>
      <c r="T131" s="1"/>
      <c r="U131" s="1"/>
      <c r="V131" s="1"/>
      <c r="W131" s="1"/>
      <c r="X131" s="1"/>
      <c r="Y131" s="1"/>
      <c r="Z131" s="1"/>
      <c r="AA131" s="1"/>
      <c r="AB131" s="1"/>
      <c r="AC131" s="1"/>
      <c r="AD131" s="1"/>
      <c r="AE131" s="1"/>
      <c r="AF131" s="1"/>
      <c r="AG131" s="1"/>
      <c r="AH131" s="1"/>
      <c r="AI131" s="1"/>
      <c r="AJ131" s="1"/>
      <c r="AK131" s="1"/>
    </row>
    <row r="132" spans="1:37" ht="13.5" customHeight="1" x14ac:dyDescent="0.45">
      <c r="A132" s="1"/>
      <c r="B132" s="1"/>
      <c r="C132" s="5"/>
      <c r="D132" s="3"/>
      <c r="E132" s="3"/>
      <c r="F132" s="3"/>
      <c r="G132" s="201" t="s">
        <v>597</v>
      </c>
      <c r="H132" s="16">
        <v>1000</v>
      </c>
      <c r="I132" s="201" t="s">
        <v>149</v>
      </c>
      <c r="J132" s="460">
        <v>6.2897999999999996</v>
      </c>
      <c r="K132" s="201" t="s">
        <v>150</v>
      </c>
      <c r="L132" s="16">
        <v>1</v>
      </c>
      <c r="M132" s="201" t="s">
        <v>140</v>
      </c>
      <c r="N132" s="94">
        <f>D134</f>
        <v>5.8065553845323302E-3</v>
      </c>
      <c r="O132" s="201" t="s">
        <v>152</v>
      </c>
      <c r="P132" s="1">
        <v>1000</v>
      </c>
      <c r="Q132" s="201" t="s">
        <v>596</v>
      </c>
      <c r="R132" s="1"/>
      <c r="S132" s="1"/>
      <c r="T132" s="1"/>
      <c r="U132" s="1"/>
      <c r="V132" s="1"/>
      <c r="W132" s="1"/>
      <c r="X132" s="1"/>
      <c r="Y132" s="1"/>
      <c r="Z132" s="1"/>
      <c r="AA132" s="1"/>
      <c r="AB132" s="1"/>
      <c r="AC132" s="1"/>
      <c r="AD132" s="1"/>
      <c r="AE132" s="1"/>
      <c r="AF132" s="1"/>
      <c r="AG132" s="1"/>
      <c r="AH132" s="1"/>
      <c r="AI132" s="1"/>
      <c r="AJ132" s="1"/>
      <c r="AK132" s="1"/>
    </row>
    <row r="133" spans="1:37" ht="13.5" customHeight="1" x14ac:dyDescent="0.4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22.5" customHeight="1" x14ac:dyDescent="0.45">
      <c r="A134" s="1"/>
      <c r="B134" s="1"/>
      <c r="C134" s="198" t="s">
        <v>151</v>
      </c>
      <c r="D134" s="202">
        <f>(F134*H134*J134*L134*N134)/(H135*J135*L135*N135)</f>
        <v>5.8065553845323302E-3</v>
      </c>
      <c r="E134" s="461" t="s">
        <v>152</v>
      </c>
      <c r="F134" s="16">
        <v>1</v>
      </c>
      <c r="G134" s="201" t="s">
        <v>140</v>
      </c>
      <c r="H134" s="16">
        <v>1000</v>
      </c>
      <c r="I134" s="201" t="s">
        <v>150</v>
      </c>
      <c r="J134" s="16">
        <v>1</v>
      </c>
      <c r="K134" s="201" t="s">
        <v>153</v>
      </c>
      <c r="L134" s="203">
        <v>41.84</v>
      </c>
      <c r="M134" s="201" t="s">
        <v>154</v>
      </c>
      <c r="N134" s="16">
        <v>1</v>
      </c>
      <c r="O134" s="201" t="s">
        <v>152</v>
      </c>
      <c r="P134" s="1"/>
      <c r="Q134" s="1"/>
      <c r="R134" s="1"/>
      <c r="S134" s="1"/>
      <c r="T134" s="1"/>
      <c r="U134" s="1"/>
      <c r="V134" s="1"/>
      <c r="W134" s="1"/>
      <c r="X134" s="1"/>
      <c r="Y134" s="1"/>
      <c r="Z134" s="1"/>
      <c r="AA134" s="1"/>
      <c r="AB134" s="1"/>
      <c r="AC134" s="1"/>
      <c r="AD134" s="1"/>
      <c r="AE134" s="1"/>
      <c r="AF134" s="1"/>
      <c r="AG134" s="1"/>
      <c r="AH134" s="1"/>
      <c r="AI134" s="1"/>
      <c r="AJ134" s="1"/>
      <c r="AK134" s="1"/>
    </row>
    <row r="135" spans="1:37" ht="13.5" customHeight="1" x14ac:dyDescent="0.45">
      <c r="A135" s="1"/>
      <c r="B135" s="1"/>
      <c r="C135" s="5"/>
      <c r="D135" s="3"/>
      <c r="E135" s="3"/>
      <c r="F135" s="3"/>
      <c r="G135" s="3"/>
      <c r="H135" s="16">
        <v>1</v>
      </c>
      <c r="I135" s="201" t="s">
        <v>140</v>
      </c>
      <c r="J135" s="204">
        <v>7.2056490000000002</v>
      </c>
      <c r="K135" s="201" t="s">
        <v>150</v>
      </c>
      <c r="L135" s="16">
        <v>1000</v>
      </c>
      <c r="M135" s="201" t="s">
        <v>153</v>
      </c>
      <c r="N135" s="16">
        <v>1000</v>
      </c>
      <c r="O135" s="201" t="s">
        <v>154</v>
      </c>
      <c r="P135" s="1"/>
      <c r="Q135" s="1"/>
      <c r="R135" s="1"/>
      <c r="S135" s="1"/>
      <c r="T135" s="1"/>
      <c r="U135" s="1"/>
      <c r="V135" s="1"/>
      <c r="W135" s="1"/>
      <c r="X135" s="1"/>
      <c r="Y135" s="1"/>
      <c r="Z135" s="1"/>
      <c r="AA135" s="1"/>
      <c r="AB135" s="1"/>
      <c r="AC135" s="1"/>
      <c r="AD135" s="1"/>
      <c r="AE135" s="1"/>
      <c r="AF135" s="1"/>
      <c r="AG135" s="1"/>
      <c r="AH135" s="1"/>
      <c r="AI135" s="1"/>
      <c r="AJ135" s="1"/>
      <c r="AK135" s="1"/>
    </row>
    <row r="136" spans="1:37" ht="13.5" customHeight="1" x14ac:dyDescent="0.4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75" customHeight="1" x14ac:dyDescent="0.45">
      <c r="A137" s="1"/>
      <c r="B137" s="1"/>
      <c r="C137" s="198" t="s">
        <v>599</v>
      </c>
      <c r="D137" s="591">
        <f>(F137*H137*J137*L137*N137*P137)/(H138*J138*L138*N138*P138)</f>
        <v>2.8796298759232292E-14</v>
      </c>
      <c r="E137" s="200" t="s">
        <v>595</v>
      </c>
      <c r="F137" s="16">
        <v>1</v>
      </c>
      <c r="G137" s="201" t="s">
        <v>596</v>
      </c>
      <c r="H137" s="16">
        <v>1</v>
      </c>
      <c r="I137" s="201" t="s">
        <v>600</v>
      </c>
      <c r="J137" s="16">
        <v>1000</v>
      </c>
      <c r="K137" s="201" t="s">
        <v>149</v>
      </c>
      <c r="L137" s="16">
        <v>1000</v>
      </c>
      <c r="M137" s="201" t="s">
        <v>150</v>
      </c>
      <c r="N137" s="16">
        <v>1</v>
      </c>
      <c r="O137" s="201" t="s">
        <v>140</v>
      </c>
      <c r="P137" s="1">
        <v>1</v>
      </c>
      <c r="Q137" s="201" t="s">
        <v>598</v>
      </c>
      <c r="R137" s="1"/>
      <c r="S137" s="1"/>
      <c r="T137" s="1"/>
      <c r="U137" s="1"/>
      <c r="V137" s="1"/>
      <c r="W137" s="1"/>
      <c r="X137" s="1"/>
      <c r="Y137" s="1"/>
      <c r="Z137" s="1"/>
      <c r="AA137" s="1"/>
      <c r="AB137" s="1"/>
      <c r="AC137" s="1"/>
      <c r="AD137" s="1"/>
      <c r="AE137" s="1"/>
      <c r="AF137" s="1"/>
      <c r="AG137" s="1"/>
      <c r="AH137" s="1"/>
      <c r="AI137" s="1"/>
      <c r="AJ137" s="1"/>
      <c r="AK137" s="1"/>
    </row>
    <row r="138" spans="1:37" ht="13.5" customHeight="1" x14ac:dyDescent="0.45">
      <c r="A138" s="1"/>
      <c r="B138" s="1"/>
      <c r="C138" s="5"/>
      <c r="D138" s="3"/>
      <c r="E138" s="3"/>
      <c r="F138" s="3"/>
      <c r="G138" s="201" t="s">
        <v>600</v>
      </c>
      <c r="H138" s="590">
        <v>1E+18</v>
      </c>
      <c r="I138" s="201" t="s">
        <v>149</v>
      </c>
      <c r="J138" s="17">
        <v>5.9805999999999999</v>
      </c>
      <c r="K138" s="201" t="s">
        <v>150</v>
      </c>
      <c r="L138" s="16">
        <v>1</v>
      </c>
      <c r="M138" s="201" t="s">
        <v>140</v>
      </c>
      <c r="N138" s="94">
        <f>D134</f>
        <v>5.8065553845323302E-3</v>
      </c>
      <c r="O138" s="201" t="s">
        <v>152</v>
      </c>
      <c r="P138" s="1">
        <v>1000</v>
      </c>
      <c r="Q138" s="201" t="s">
        <v>596</v>
      </c>
      <c r="R138" s="1"/>
      <c r="S138" s="1"/>
      <c r="T138" s="1"/>
      <c r="U138" s="1"/>
      <c r="V138" s="1"/>
      <c r="W138" s="1"/>
      <c r="X138" s="1"/>
      <c r="Y138" s="1"/>
      <c r="Z138" s="1"/>
      <c r="AA138" s="1"/>
      <c r="AB138" s="1"/>
      <c r="AC138" s="1"/>
      <c r="AD138" s="1"/>
      <c r="AE138" s="1"/>
      <c r="AF138" s="1"/>
      <c r="AG138" s="1"/>
      <c r="AH138" s="1"/>
      <c r="AI138" s="1"/>
      <c r="AJ138" s="1"/>
      <c r="AK138" s="1"/>
    </row>
    <row r="139" spans="1:37" ht="13.5" customHeight="1" x14ac:dyDescent="0.4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21" customHeight="1" x14ac:dyDescent="0.45">
      <c r="A140" s="1"/>
      <c r="B140" s="1"/>
      <c r="C140" s="198" t="s">
        <v>601</v>
      </c>
      <c r="D140" s="202">
        <f>(F140*H140*J140*L140)/(H141*J141*L141)</f>
        <v>9.9999999999999995E-7</v>
      </c>
      <c r="E140" s="461" t="s">
        <v>595</v>
      </c>
      <c r="F140" s="16">
        <v>1</v>
      </c>
      <c r="G140" s="201" t="s">
        <v>602</v>
      </c>
      <c r="H140" s="16">
        <v>1000</v>
      </c>
      <c r="I140" s="201" t="s">
        <v>154</v>
      </c>
      <c r="J140" s="16">
        <v>1</v>
      </c>
      <c r="K140" s="201" t="s">
        <v>596</v>
      </c>
      <c r="L140" s="1">
        <v>1</v>
      </c>
      <c r="M140" s="201" t="s">
        <v>598</v>
      </c>
      <c r="N140" s="16"/>
      <c r="O140" s="6"/>
      <c r="P140" s="1"/>
      <c r="Q140" s="6"/>
      <c r="R140" s="1"/>
      <c r="S140" s="1"/>
      <c r="T140" s="1"/>
      <c r="U140" s="1"/>
      <c r="V140" s="1"/>
      <c r="W140" s="1"/>
      <c r="X140" s="1"/>
      <c r="Y140" s="1"/>
      <c r="Z140" s="1"/>
      <c r="AA140" s="1"/>
      <c r="AB140" s="1"/>
      <c r="AC140" s="1"/>
      <c r="AD140" s="1"/>
      <c r="AE140" s="1"/>
      <c r="AF140" s="1"/>
      <c r="AG140" s="1"/>
      <c r="AH140" s="1"/>
      <c r="AI140" s="1"/>
      <c r="AJ140" s="1"/>
      <c r="AK140" s="1"/>
    </row>
    <row r="141" spans="1:37" ht="13.5" customHeight="1" x14ac:dyDescent="0.45">
      <c r="A141" s="1"/>
      <c r="B141" s="1"/>
      <c r="C141" s="5"/>
      <c r="D141" s="3"/>
      <c r="E141" s="3"/>
      <c r="F141" s="3"/>
      <c r="G141" s="201" t="s">
        <v>154</v>
      </c>
      <c r="H141" s="16">
        <v>1</v>
      </c>
      <c r="I141" s="201" t="s">
        <v>152</v>
      </c>
      <c r="J141" s="13">
        <v>1000000</v>
      </c>
      <c r="K141" s="201" t="s">
        <v>602</v>
      </c>
      <c r="L141" s="1">
        <v>1000</v>
      </c>
      <c r="M141" s="201" t="s">
        <v>596</v>
      </c>
      <c r="N141" s="94"/>
      <c r="O141" s="6"/>
      <c r="P141" s="1"/>
      <c r="Q141" s="6"/>
      <c r="R141" s="1"/>
      <c r="S141" s="1"/>
      <c r="T141" s="1"/>
      <c r="U141" s="1"/>
      <c r="V141" s="1"/>
      <c r="W141" s="1"/>
      <c r="X141" s="1"/>
      <c r="Y141" s="1"/>
      <c r="Z141" s="1"/>
      <c r="AA141" s="1"/>
      <c r="AB141" s="1"/>
      <c r="AC141" s="1"/>
      <c r="AD141" s="1"/>
      <c r="AE141" s="1"/>
      <c r="AF141" s="1"/>
      <c r="AG141" s="1"/>
      <c r="AH141" s="1"/>
      <c r="AI141" s="1"/>
      <c r="AJ141" s="1"/>
      <c r="AK141" s="1"/>
    </row>
    <row r="142" spans="1:37" ht="13.5" customHeight="1" x14ac:dyDescent="0.4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3.5" customHeight="1" x14ac:dyDescent="0.45">
      <c r="A143" s="1"/>
      <c r="B143" s="1"/>
      <c r="C143" s="571" t="s">
        <v>603</v>
      </c>
      <c r="D143" s="174"/>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3.5" customHeight="1" x14ac:dyDescent="0.45">
      <c r="A144" s="1"/>
      <c r="B144" s="1"/>
      <c r="C144" s="174" t="s">
        <v>604</v>
      </c>
      <c r="D144" s="162">
        <v>1</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3.5" customHeight="1" x14ac:dyDescent="0.45">
      <c r="A145" s="1"/>
      <c r="B145" s="1"/>
      <c r="C145" s="174" t="s">
        <v>605</v>
      </c>
      <c r="D145" s="162">
        <v>25</v>
      </c>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3.5" customHeight="1" x14ac:dyDescent="0.45">
      <c r="A146" s="1"/>
      <c r="B146" s="1"/>
      <c r="C146" s="174" t="s">
        <v>606</v>
      </c>
      <c r="D146" s="162">
        <v>298</v>
      </c>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3.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3.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3.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3.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3.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3.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3.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3.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3.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3.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3.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3.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3.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3.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3.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3.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3.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3.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3.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3.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3.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3.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3.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3.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3.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3.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3.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3.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3.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3.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3.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3.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3.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3.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3.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3.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3.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3.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3.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3.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3.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3.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3.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3.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3.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3.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3.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3.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3.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3.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3.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3.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3.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3.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3.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3.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3.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3.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3.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3.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3.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3.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3.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3.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3.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3.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3.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3.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3.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3.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3.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3.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3.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3.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3.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3.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3.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3.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3.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3.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3.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3.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3.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3.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3.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3.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3.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3.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3.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3.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3.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3.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3.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3.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3.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3.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3.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3.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3.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3.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3.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3.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3.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3.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3.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3.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3.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3.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3.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3.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3.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3.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3.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3.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3.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3.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3.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3.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3.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3.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3.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3.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3.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3.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3.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3.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3.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3.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3.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3.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3.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3.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3.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3.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3.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3.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3.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3.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3.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3.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3.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3.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3.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3.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3.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3.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3.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3.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3.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3.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3.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3.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3.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3.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3.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3.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3.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3.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3.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3.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3.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3.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3.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3.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3.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3.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3.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3.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3.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3.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3.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3.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3.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3.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3.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3.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3.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3.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7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4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row>
    <row r="343" spans="1:37" ht="15.75" customHeight="1" x14ac:dyDescent="0.4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spans="1:37" ht="15.75" customHeight="1" x14ac:dyDescent="0.4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spans="1:37" ht="15.75" customHeight="1" x14ac:dyDescent="0.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spans="1:37" ht="15.75" customHeight="1" x14ac:dyDescent="0.4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spans="1:37" ht="15.75" customHeight="1" x14ac:dyDescent="0.4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spans="1:37" ht="15.75" customHeight="1" x14ac:dyDescent="0.4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spans="1:37" ht="15.75" customHeight="1" x14ac:dyDescent="0.4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spans="1:37" ht="15.75" customHeight="1" x14ac:dyDescent="0.4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spans="1:37" ht="15.75" customHeight="1" x14ac:dyDescent="0.4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spans="1:37" ht="15.75" customHeight="1" x14ac:dyDescent="0.4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spans="1:37" ht="15.75" customHeight="1" x14ac:dyDescent="0.4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row>
    <row r="354" spans="1:37" ht="15.75" customHeight="1" x14ac:dyDescent="0.45"/>
    <row r="355" spans="1:37" ht="15.75" customHeight="1" x14ac:dyDescent="0.45"/>
    <row r="356" spans="1:37" ht="15.75" customHeight="1" x14ac:dyDescent="0.45"/>
    <row r="357" spans="1:37" ht="15.75" customHeight="1" x14ac:dyDescent="0.45"/>
    <row r="358" spans="1:37" ht="15.75" customHeight="1" x14ac:dyDescent="0.45"/>
    <row r="359" spans="1:37" ht="15.75" customHeight="1" x14ac:dyDescent="0.45"/>
    <row r="360" spans="1:37" ht="15.75" customHeight="1" x14ac:dyDescent="0.45"/>
    <row r="361" spans="1:37" ht="15.75" customHeight="1" x14ac:dyDescent="0.45"/>
    <row r="362" spans="1:37" ht="15.75" customHeight="1" x14ac:dyDescent="0.45"/>
    <row r="363" spans="1:37" ht="15.75" customHeight="1" x14ac:dyDescent="0.45"/>
    <row r="364" spans="1:37" ht="15.75" customHeight="1" x14ac:dyDescent="0.45"/>
    <row r="365" spans="1:37" ht="15.75" customHeight="1" x14ac:dyDescent="0.45"/>
    <row r="366" spans="1:37" ht="15.75" customHeight="1" x14ac:dyDescent="0.45"/>
    <row r="367" spans="1:37" ht="15.75" customHeight="1" x14ac:dyDescent="0.45"/>
    <row r="368" spans="1:37"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sheetData>
  <mergeCells count="1">
    <mergeCell ref="H121:J121"/>
  </mergeCells>
  <hyperlinks>
    <hyperlink ref="J132" r:id="rId1" display="https://biblioteca.olade.org/opac-tmpl/Documentos/old0380.pdf" xr:uid="{3F0D6789-0EB8-44F9-9FCF-2465B1F50804}"/>
    <hyperlink ref="L134" r:id="rId2" display="https://biblioteca.olade.org/opac-tmpl/Documentos/old0380.pdf" xr:uid="{AEEF597E-EC87-4A93-9931-5BA6E29F2971}"/>
    <hyperlink ref="J135" r:id="rId3" display="https://biblioteca.olade.org/opac-tmpl/Documentos/old0380.pdf" xr:uid="{F149E1E0-2A06-4F10-B4C9-61138410BBA3}"/>
    <hyperlink ref="J138" r:id="rId4" display="https://biblioteca.olade.org/opac-tmpl/Documentos/old0380.pdf" xr:uid="{0C83C345-DF0E-4DBD-AB2F-AE79B806C21F}"/>
    <hyperlink ref="C143" r:id="rId5" xr:uid="{4DE65979-D021-4929-9DCE-869255776352}"/>
  </hyperlinks>
  <pageMargins left="0.7" right="0.7" top="0.75" bottom="0.75" header="0" footer="0"/>
  <pageSetup orientation="landscape"/>
  <legacy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6D7A8"/>
  </sheetPr>
  <dimension ref="A1:AK1002"/>
  <sheetViews>
    <sheetView topLeftCell="A19" zoomScale="87" zoomScaleNormal="70" workbookViewId="0">
      <selection activeCell="D45" sqref="D45"/>
    </sheetView>
  </sheetViews>
  <sheetFormatPr defaultColWidth="12.69140625" defaultRowHeight="15" customHeight="1" x14ac:dyDescent="0.45"/>
  <cols>
    <col min="1" max="1" width="8.3828125" customWidth="1"/>
    <col min="2" max="2" width="1.3828125" customWidth="1"/>
    <col min="3" max="3" width="86.921875" customWidth="1"/>
    <col min="4" max="4" width="13.3828125" bestFit="1" customWidth="1"/>
    <col min="5" max="5" width="19.07421875" bestFit="1" customWidth="1"/>
    <col min="6" max="6" width="25.3828125" bestFit="1" customWidth="1"/>
    <col min="7" max="7" width="28.3046875" customWidth="1"/>
    <col min="8" max="8" width="19.765625" bestFit="1" customWidth="1"/>
    <col min="9" max="9" width="25.23046875" customWidth="1"/>
    <col min="10" max="10" width="28.3828125" bestFit="1" customWidth="1"/>
    <col min="11" max="11" width="16.23046875" bestFit="1" customWidth="1"/>
    <col min="12" max="12" width="10.765625" customWidth="1"/>
    <col min="13" max="13" width="29" customWidth="1"/>
    <col min="14" max="14" width="20.765625" customWidth="1"/>
    <col min="15" max="15" width="18.07421875" bestFit="1" customWidth="1"/>
    <col min="16" max="17" width="18.3828125" bestFit="1" customWidth="1"/>
    <col min="18" max="18" width="8.3828125" customWidth="1"/>
    <col min="19" max="19" width="19.23046875" customWidth="1"/>
    <col min="20" max="37" width="8.3828125" customWidth="1"/>
  </cols>
  <sheetData>
    <row r="1" spans="1:37" ht="13.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3.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13.5" customHeight="1" x14ac:dyDescent="0.45">
      <c r="A3" s="618"/>
      <c r="B3" s="7"/>
      <c r="C3" s="103"/>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9"/>
    </row>
    <row r="4" spans="1:37" ht="13.5" customHeight="1" x14ac:dyDescent="0.45">
      <c r="A4" s="618"/>
      <c r="B4" s="106"/>
      <c r="C4" s="107" t="s">
        <v>529</v>
      </c>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4"/>
    </row>
    <row r="5" spans="1:37" ht="13.5" customHeight="1" x14ac:dyDescent="0.45">
      <c r="A5" s="4"/>
      <c r="B5" s="160"/>
      <c r="C5" s="111" t="s">
        <v>530</v>
      </c>
      <c r="D5" s="162" t="s">
        <v>221</v>
      </c>
      <c r="E5" s="162"/>
      <c r="F5" s="174"/>
      <c r="G5" s="111"/>
      <c r="H5" s="111"/>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431"/>
    </row>
    <row r="6" spans="1:37" ht="13.5" customHeight="1" x14ac:dyDescent="0.45">
      <c r="A6" s="4">
        <v>1</v>
      </c>
      <c r="B6" s="160"/>
      <c r="C6" s="111" t="s">
        <v>607</v>
      </c>
      <c r="D6" s="162" t="s">
        <v>608</v>
      </c>
      <c r="E6" s="162" t="s">
        <v>609</v>
      </c>
      <c r="F6" s="162" t="s">
        <v>610</v>
      </c>
      <c r="G6" s="162"/>
      <c r="H6" s="174"/>
      <c r="I6" s="174" t="s">
        <v>611</v>
      </c>
      <c r="J6" s="174" t="s">
        <v>152</v>
      </c>
      <c r="K6" s="174" t="s">
        <v>612</v>
      </c>
      <c r="L6" s="174" t="s">
        <v>613</v>
      </c>
      <c r="M6" s="174" t="s">
        <v>614</v>
      </c>
      <c r="N6" s="174" t="s">
        <v>615</v>
      </c>
      <c r="O6" s="174" t="s">
        <v>608</v>
      </c>
      <c r="P6" s="174" t="s">
        <v>609</v>
      </c>
      <c r="Q6" s="174" t="s">
        <v>610</v>
      </c>
      <c r="R6" s="174"/>
      <c r="S6" s="174"/>
      <c r="T6" s="174"/>
      <c r="U6" s="174"/>
      <c r="V6" s="174"/>
      <c r="W6" s="174"/>
      <c r="X6" s="174"/>
      <c r="Y6" s="174"/>
      <c r="Z6" s="174"/>
      <c r="AA6" s="174"/>
      <c r="AB6" s="174"/>
      <c r="AC6" s="174"/>
      <c r="AD6" s="174"/>
      <c r="AE6" s="174"/>
      <c r="AF6" s="174"/>
      <c r="AG6" s="174"/>
      <c r="AH6" s="174"/>
      <c r="AI6" s="174"/>
      <c r="AJ6" s="174"/>
      <c r="AK6" s="431"/>
    </row>
    <row r="7" spans="1:37" ht="13.5" customHeight="1" x14ac:dyDescent="0.45">
      <c r="A7" s="618"/>
      <c r="B7" s="160"/>
      <c r="C7" s="115" t="s">
        <v>536</v>
      </c>
      <c r="D7" s="432">
        <f>'Copia de Emisiones Energía'!D7*$D$132</f>
        <v>2.6011667643087447E-6</v>
      </c>
      <c r="E7" s="432">
        <f t="shared" ref="E7:E12" si="0">L7/J7</f>
        <v>4.925586919104992E-4</v>
      </c>
      <c r="F7" s="432"/>
      <c r="G7" s="116" t="s">
        <v>616</v>
      </c>
      <c r="H7" s="174" t="s">
        <v>536</v>
      </c>
      <c r="I7" s="174">
        <v>188792.48968300017</v>
      </c>
      <c r="J7" s="174">
        <f>I7*5.81/1000</f>
        <v>1096.884365058231</v>
      </c>
      <c r="K7" s="174">
        <f t="shared" ref="K7:K12" si="1">J7*D7</f>
        <v>2.8531791546793704E-3</v>
      </c>
      <c r="L7" s="174">
        <v>0.54027992803016067</v>
      </c>
      <c r="M7" s="174">
        <v>0</v>
      </c>
      <c r="N7" s="174" t="s">
        <v>617</v>
      </c>
      <c r="O7" s="174">
        <f>D7+D8+D10+D11</f>
        <v>1.1252264092560678E-3</v>
      </c>
      <c r="P7" s="174">
        <f t="shared" ref="P7:Q7" si="2">E7+E8+E10+E11</f>
        <v>5.1438177839931154E-4</v>
      </c>
      <c r="Q7" s="174">
        <f t="shared" si="2"/>
        <v>5.2114727600340849E-6</v>
      </c>
      <c r="R7" s="174"/>
      <c r="S7" s="174"/>
      <c r="T7" s="174"/>
      <c r="U7" s="174"/>
      <c r="V7" s="174"/>
      <c r="W7" s="174"/>
      <c r="X7" s="174"/>
      <c r="Y7" s="174"/>
      <c r="Z7" s="174"/>
      <c r="AA7" s="174"/>
      <c r="AB7" s="174"/>
      <c r="AC7" s="174"/>
      <c r="AD7" s="174"/>
      <c r="AE7" s="174"/>
      <c r="AF7" s="174"/>
      <c r="AG7" s="174"/>
      <c r="AH7" s="174"/>
      <c r="AI7" s="174"/>
      <c r="AJ7" s="174"/>
      <c r="AK7" s="431"/>
    </row>
    <row r="8" spans="1:37" ht="13.5" customHeight="1" x14ac:dyDescent="0.45">
      <c r="A8" s="618"/>
      <c r="B8" s="160"/>
      <c r="C8" s="115" t="s">
        <v>538</v>
      </c>
      <c r="D8" s="432">
        <f>'Copia de Emisiones Energía'!D8*$D$132</f>
        <v>1.1226088140700897E-3</v>
      </c>
      <c r="E8" s="432">
        <f t="shared" si="0"/>
        <v>1.7102732358003441E-5</v>
      </c>
      <c r="F8" s="432">
        <f>M8/J8</f>
        <v>5.2114727600340849E-6</v>
      </c>
      <c r="G8" s="116" t="s">
        <v>618</v>
      </c>
      <c r="H8" s="174" t="s">
        <v>538</v>
      </c>
      <c r="I8" s="174">
        <v>188792.48968300017</v>
      </c>
      <c r="J8" s="174">
        <f t="shared" ref="J8:J12" si="3">I8*5.81/1000</f>
        <v>1096.884365058231</v>
      </c>
      <c r="K8" s="174">
        <f t="shared" si="1"/>
        <v>1.2313720562300441</v>
      </c>
      <c r="L8" s="174">
        <v>1.8759719723269466E-2</v>
      </c>
      <c r="M8" s="174">
        <v>5.716382989408254E-3</v>
      </c>
      <c r="N8" s="174" t="s">
        <v>617</v>
      </c>
      <c r="O8" s="174"/>
      <c r="P8" s="174"/>
      <c r="Q8" s="174"/>
      <c r="R8" s="174"/>
      <c r="S8" s="174"/>
      <c r="T8" s="174"/>
      <c r="U8" s="174"/>
      <c r="V8" s="174"/>
      <c r="W8" s="174"/>
      <c r="X8" s="174"/>
      <c r="Y8" s="174"/>
      <c r="Z8" s="174"/>
      <c r="AA8" s="174"/>
      <c r="AB8" s="174"/>
      <c r="AC8" s="174"/>
      <c r="AD8" s="174"/>
      <c r="AE8" s="174"/>
      <c r="AF8" s="174"/>
      <c r="AG8" s="174"/>
      <c r="AH8" s="174"/>
      <c r="AI8" s="174"/>
      <c r="AJ8" s="174"/>
      <c r="AK8" s="431"/>
    </row>
    <row r="9" spans="1:37" ht="13.5" customHeight="1" x14ac:dyDescent="0.45">
      <c r="A9" s="618"/>
      <c r="B9" s="126"/>
      <c r="C9" s="434" t="s">
        <v>539</v>
      </c>
      <c r="D9" s="435">
        <f>'Copia de Emisiones Energía'!D9*$D$132</f>
        <v>2.738070278219731E-6</v>
      </c>
      <c r="E9" s="435">
        <f t="shared" si="0"/>
        <v>2.2575606712564547E-5</v>
      </c>
      <c r="F9" s="435"/>
      <c r="G9" s="116" t="s">
        <v>619</v>
      </c>
      <c r="H9" s="174" t="s">
        <v>539</v>
      </c>
      <c r="I9" s="174">
        <v>188792.48968300017</v>
      </c>
      <c r="J9" s="174">
        <f t="shared" si="3"/>
        <v>1096.884365058231</v>
      </c>
      <c r="K9" s="174">
        <f t="shared" si="1"/>
        <v>3.0033464786098636E-3</v>
      </c>
      <c r="L9" s="174">
        <v>2.4762830034715699E-2</v>
      </c>
      <c r="M9" s="174">
        <v>0</v>
      </c>
      <c r="N9" s="174" t="s">
        <v>620</v>
      </c>
      <c r="O9" s="521">
        <f>D9</f>
        <v>2.738070278219731E-6</v>
      </c>
      <c r="P9" s="521">
        <f t="shared" ref="P9:Q9" si="4">E9</f>
        <v>2.2575606712564547E-5</v>
      </c>
      <c r="Q9" s="521">
        <f t="shared" si="4"/>
        <v>0</v>
      </c>
      <c r="R9" s="174"/>
      <c r="S9" s="174"/>
      <c r="T9" s="174"/>
      <c r="U9" s="174"/>
      <c r="V9" s="174"/>
      <c r="W9" s="174"/>
      <c r="X9" s="174"/>
      <c r="Y9" s="174"/>
      <c r="Z9" s="174"/>
      <c r="AA9" s="174"/>
      <c r="AB9" s="174"/>
      <c r="AC9" s="174"/>
      <c r="AD9" s="174"/>
      <c r="AE9" s="174"/>
      <c r="AF9" s="174"/>
      <c r="AG9" s="174"/>
      <c r="AH9" s="174"/>
      <c r="AI9" s="174"/>
      <c r="AJ9" s="174"/>
      <c r="AK9" s="431"/>
    </row>
    <row r="10" spans="1:37" ht="13.5" customHeight="1" x14ac:dyDescent="0.45">
      <c r="A10" s="618"/>
      <c r="B10" s="160"/>
      <c r="C10" s="115" t="s">
        <v>540</v>
      </c>
      <c r="D10" s="432">
        <f>'Copia de Emisiones Energía'!D10*$D$132</f>
        <v>3.0118773060417041E-9</v>
      </c>
      <c r="E10" s="432">
        <f t="shared" si="0"/>
        <v>1.0261639414802065E-6</v>
      </c>
      <c r="F10" s="432"/>
      <c r="G10" s="116" t="s">
        <v>621</v>
      </c>
      <c r="H10" s="174" t="s">
        <v>622</v>
      </c>
      <c r="I10" s="174">
        <v>188792.48968300017</v>
      </c>
      <c r="J10" s="174">
        <f t="shared" si="3"/>
        <v>1096.884365058231</v>
      </c>
      <c r="K10" s="174">
        <f t="shared" si="1"/>
        <v>3.3036811264708497E-6</v>
      </c>
      <c r="L10" s="174">
        <v>1.1255831833961679E-3</v>
      </c>
      <c r="M10" s="174">
        <v>0</v>
      </c>
      <c r="N10" s="174" t="s">
        <v>617</v>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431"/>
    </row>
    <row r="11" spans="1:37" ht="13.5" customHeight="1" x14ac:dyDescent="0.45">
      <c r="A11" s="618"/>
      <c r="B11" s="160"/>
      <c r="C11" s="115" t="s">
        <v>541</v>
      </c>
      <c r="D11" s="432">
        <f>'Copia de Emisiones Energía'!D11*$D$132</f>
        <v>1.341654436327668E-8</v>
      </c>
      <c r="E11" s="432">
        <f t="shared" si="0"/>
        <v>3.6941901893287432E-6</v>
      </c>
      <c r="F11" s="432"/>
      <c r="G11" s="116" t="s">
        <v>623</v>
      </c>
      <c r="H11" s="174" t="s">
        <v>624</v>
      </c>
      <c r="I11" s="174">
        <v>186735.22600000002</v>
      </c>
      <c r="J11" s="174">
        <f t="shared" si="3"/>
        <v>1084.9316630600001</v>
      </c>
      <c r="K11" s="174">
        <f t="shared" si="1"/>
        <v>1.4556033788568039E-5</v>
      </c>
      <c r="L11" s="174">
        <v>4.00794390576837E-3</v>
      </c>
      <c r="M11" s="174">
        <v>0</v>
      </c>
      <c r="N11" s="174" t="s">
        <v>617</v>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431"/>
    </row>
    <row r="12" spans="1:37" ht="13.5" customHeight="1" x14ac:dyDescent="0.45">
      <c r="A12" s="618"/>
      <c r="B12" s="160"/>
      <c r="C12" s="115" t="s">
        <v>625</v>
      </c>
      <c r="D12" s="432"/>
      <c r="E12" s="432">
        <f t="shared" si="0"/>
        <v>0</v>
      </c>
      <c r="F12" s="432"/>
      <c r="G12" s="116" t="s">
        <v>626</v>
      </c>
      <c r="H12" s="174" t="s">
        <v>627</v>
      </c>
      <c r="I12" s="174">
        <v>60569.317799999997</v>
      </c>
      <c r="J12" s="174">
        <f t="shared" si="3"/>
        <v>351.90773641799996</v>
      </c>
      <c r="K12" s="174">
        <f t="shared" si="1"/>
        <v>0</v>
      </c>
      <c r="L12" s="174"/>
      <c r="M12" s="174"/>
      <c r="N12" s="174" t="s">
        <v>628</v>
      </c>
      <c r="O12" s="521">
        <f>D12</f>
        <v>0</v>
      </c>
      <c r="P12" s="521">
        <f t="shared" ref="P12:Q12" si="5">E12</f>
        <v>0</v>
      </c>
      <c r="Q12" s="521">
        <f t="shared" si="5"/>
        <v>0</v>
      </c>
      <c r="R12" s="174"/>
      <c r="S12" s="174"/>
      <c r="T12" s="174"/>
      <c r="U12" s="174"/>
      <c r="V12" s="174"/>
      <c r="W12" s="174"/>
      <c r="X12" s="174"/>
      <c r="Y12" s="174"/>
      <c r="Z12" s="174"/>
      <c r="AA12" s="174"/>
      <c r="AB12" s="174"/>
      <c r="AC12" s="174"/>
      <c r="AD12" s="174"/>
      <c r="AE12" s="174"/>
      <c r="AF12" s="174"/>
      <c r="AG12" s="174"/>
      <c r="AH12" s="174"/>
      <c r="AI12" s="174"/>
      <c r="AJ12" s="174"/>
      <c r="AK12" s="431"/>
    </row>
    <row r="13" spans="1:37" ht="13.5" customHeight="1" x14ac:dyDescent="0.45">
      <c r="A13" s="4">
        <v>2</v>
      </c>
      <c r="B13" s="160"/>
      <c r="C13" s="111" t="s">
        <v>629</v>
      </c>
      <c r="D13" s="432" t="s">
        <v>221</v>
      </c>
      <c r="E13" s="174"/>
      <c r="F13" s="174"/>
      <c r="G13" s="174"/>
      <c r="H13" s="174"/>
      <c r="I13" s="174"/>
      <c r="J13" s="174"/>
      <c r="K13" s="174"/>
      <c r="L13" s="174"/>
      <c r="M13" s="174"/>
      <c r="N13" s="439"/>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431"/>
    </row>
    <row r="14" spans="1:37" ht="13.5" customHeight="1" x14ac:dyDescent="0.45">
      <c r="A14" s="618"/>
      <c r="B14" s="160"/>
      <c r="C14" s="115" t="s">
        <v>538</v>
      </c>
      <c r="D14" s="432">
        <f>'Copia de Emisiones Energía'!D13*$D$138</f>
        <v>3.4555558511078742E-2</v>
      </c>
      <c r="E14" s="174"/>
      <c r="F14" s="174"/>
      <c r="G14" s="174"/>
      <c r="H14" s="174"/>
      <c r="I14" s="174"/>
      <c r="J14" s="174"/>
      <c r="K14" s="174"/>
      <c r="L14" s="174"/>
      <c r="M14" s="174"/>
      <c r="N14" s="439"/>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431"/>
    </row>
    <row r="15" spans="1:37" ht="13.5" customHeight="1" x14ac:dyDescent="0.45">
      <c r="A15" s="618"/>
      <c r="B15" s="160"/>
      <c r="C15" s="437" t="s">
        <v>539</v>
      </c>
      <c r="D15" s="435">
        <f>'Copia de Emisiones Energía'!D14*$D$138</f>
        <v>2.8796298759232288E-3</v>
      </c>
      <c r="E15" s="116"/>
      <c r="F15" s="174"/>
      <c r="G15" s="174"/>
      <c r="H15" s="440"/>
      <c r="I15" s="174"/>
      <c r="J15" s="174"/>
      <c r="K15" s="174"/>
      <c r="L15" s="174"/>
      <c r="M15" s="174"/>
      <c r="N15" s="439"/>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431"/>
    </row>
    <row r="16" spans="1:37" ht="13.5" customHeight="1" x14ac:dyDescent="0.45">
      <c r="A16" s="618"/>
      <c r="B16" s="160"/>
      <c r="C16" s="115" t="s">
        <v>543</v>
      </c>
      <c r="D16" s="432">
        <f>'Copia de Emisiones Energía'!D15*$D$138</f>
        <v>4.0314818262925198E-4</v>
      </c>
      <c r="E16" s="116"/>
      <c r="F16" s="174"/>
      <c r="G16" s="174"/>
      <c r="H16" s="440"/>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431"/>
    </row>
    <row r="17" spans="1:37" ht="13.5" customHeight="1" x14ac:dyDescent="0.45">
      <c r="A17" s="618"/>
      <c r="B17" s="160"/>
      <c r="C17" s="115" t="s">
        <v>544</v>
      </c>
      <c r="D17" s="432">
        <f>'Copia de Emisiones Energía'!D16*$D$138</f>
        <v>3.4555558511078745E-4</v>
      </c>
      <c r="E17" s="116"/>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431"/>
    </row>
    <row r="18" spans="1:37" ht="13.5" customHeight="1" x14ac:dyDescent="0.45">
      <c r="A18" s="618"/>
      <c r="B18" s="160"/>
      <c r="C18" s="115" t="s">
        <v>545</v>
      </c>
      <c r="D18" s="432">
        <f>'Copia de Emisiones Energía'!D17*$D$138</f>
        <v>2.5340742908124414E-5</v>
      </c>
      <c r="E18" s="116"/>
      <c r="F18" s="162"/>
      <c r="G18" s="162"/>
      <c r="H18" s="162"/>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431"/>
    </row>
    <row r="19" spans="1:37" ht="13.5" customHeight="1" x14ac:dyDescent="0.45">
      <c r="A19" s="618"/>
      <c r="B19" s="160"/>
      <c r="C19" s="115" t="s">
        <v>320</v>
      </c>
      <c r="D19" s="432">
        <f>'Copia de Emisiones Energía'!D18*$D$138</f>
        <v>1.4686112367208466E-3</v>
      </c>
      <c r="E19" s="116"/>
      <c r="F19" s="162"/>
      <c r="G19" s="162"/>
      <c r="H19" s="162"/>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431"/>
    </row>
    <row r="20" spans="1:37" ht="13.5" customHeight="1" x14ac:dyDescent="0.45">
      <c r="A20" s="4"/>
      <c r="B20" s="160"/>
      <c r="C20" s="115" t="s">
        <v>630</v>
      </c>
      <c r="D20" s="162" t="s">
        <v>221</v>
      </c>
      <c r="E20" s="162"/>
      <c r="F20" s="162"/>
      <c r="G20" s="162"/>
      <c r="H20" s="162"/>
      <c r="I20" s="174"/>
      <c r="J20" s="174"/>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431"/>
    </row>
    <row r="21" spans="1:37" ht="13.5" customHeight="1" x14ac:dyDescent="0.45">
      <c r="A21" s="618"/>
      <c r="B21" s="106"/>
      <c r="C21" s="323"/>
      <c r="D21" s="183"/>
      <c r="E21" s="183"/>
      <c r="F21" s="183"/>
      <c r="G21" s="183"/>
      <c r="H21" s="183"/>
      <c r="I21" s="183"/>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4"/>
    </row>
    <row r="22" spans="1:37" ht="13.5" customHeight="1" x14ac:dyDescent="0.45">
      <c r="A22" s="4">
        <v>3</v>
      </c>
      <c r="B22" s="160"/>
      <c r="C22" s="111" t="s">
        <v>546</v>
      </c>
      <c r="D22" s="174"/>
      <c r="E22" s="174"/>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431"/>
    </row>
    <row r="23" spans="1:37" ht="13.5" customHeight="1" x14ac:dyDescent="0.45">
      <c r="A23" s="4"/>
      <c r="B23" s="160"/>
      <c r="C23" s="111"/>
      <c r="D23" s="174"/>
      <c r="E23" s="174"/>
      <c r="F23" s="174"/>
      <c r="G23" s="174" t="s">
        <v>64</v>
      </c>
      <c r="H23" s="174">
        <v>2.3406025561488502</v>
      </c>
      <c r="I23" s="174">
        <v>2.2529303538088472</v>
      </c>
      <c r="J23" s="174">
        <v>1.8116964666554052</v>
      </c>
      <c r="K23" s="174">
        <v>2.0050208547727952</v>
      </c>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431"/>
    </row>
    <row r="24" spans="1:37" ht="13.5" customHeight="1" x14ac:dyDescent="0.45">
      <c r="A24" s="4"/>
      <c r="B24" s="160"/>
      <c r="C24" s="111" t="s">
        <v>547</v>
      </c>
      <c r="D24" s="174"/>
      <c r="E24" s="174"/>
      <c r="F24" s="174"/>
      <c r="G24" s="174" t="s">
        <v>64</v>
      </c>
      <c r="H24" s="174">
        <v>5.6913783192343512E-2</v>
      </c>
      <c r="I24" s="174">
        <v>5.49481542564772E-2</v>
      </c>
      <c r="J24" s="174">
        <v>3.894748759275532E-2</v>
      </c>
      <c r="K24" s="174">
        <v>4.1105793246438961E-2</v>
      </c>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431"/>
    </row>
    <row r="25" spans="1:37" ht="13.5" customHeight="1" x14ac:dyDescent="0.45">
      <c r="A25" s="618"/>
      <c r="B25" s="160"/>
      <c r="C25" s="115" t="s">
        <v>548</v>
      </c>
      <c r="D25" s="174"/>
      <c r="E25" s="174"/>
      <c r="F25" s="174"/>
      <c r="G25" s="174"/>
      <c r="H25" s="174" t="e">
        <f>H23*#REF!*1000</f>
        <v>#REF!</v>
      </c>
      <c r="I25" s="174"/>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431"/>
    </row>
    <row r="26" spans="1:37" ht="13.5" customHeight="1" x14ac:dyDescent="0.45">
      <c r="A26" s="4"/>
      <c r="B26" s="160"/>
      <c r="C26" s="115" t="s">
        <v>549</v>
      </c>
      <c r="D26" s="162">
        <f>'Copia de Emisiones Energía'!D25*$D$141</f>
        <v>7.4099999999999999E-2</v>
      </c>
      <c r="E26" s="174"/>
      <c r="F26" s="174"/>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431"/>
    </row>
    <row r="27" spans="1:37" ht="13.5" customHeight="1" x14ac:dyDescent="0.45">
      <c r="A27" s="4"/>
      <c r="B27" s="160"/>
      <c r="C27" s="115" t="s">
        <v>550</v>
      </c>
      <c r="D27" s="162">
        <f>'Copia de Emisiones Energía'!D26*$D$141</f>
        <v>7.7399999999999997E-2</v>
      </c>
      <c r="E27" s="174"/>
      <c r="F27" s="174"/>
      <c r="G27" s="174"/>
      <c r="H27" s="174"/>
      <c r="I27" s="174"/>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431"/>
    </row>
    <row r="28" spans="1:37" ht="13.5" customHeight="1" x14ac:dyDescent="0.45">
      <c r="A28" s="4"/>
      <c r="B28" s="160"/>
      <c r="C28" s="115" t="s">
        <v>551</v>
      </c>
      <c r="D28" s="162">
        <f>'Copia de Emisiones Energía'!D27*$D$141</f>
        <v>5.6099999999999997E-2</v>
      </c>
      <c r="E28" s="174"/>
      <c r="F28" s="174"/>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431"/>
    </row>
    <row r="29" spans="1:37" ht="13.5" customHeight="1" x14ac:dyDescent="0.45">
      <c r="A29" s="4"/>
      <c r="B29" s="160"/>
      <c r="C29" s="115" t="s">
        <v>552</v>
      </c>
      <c r="D29" s="162">
        <f>'Copia de Emisiones Energía'!D28*$D$141</f>
        <v>9.9999999999999992E-2</v>
      </c>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431"/>
    </row>
    <row r="30" spans="1:37" ht="13.5" customHeight="1" x14ac:dyDescent="0.45">
      <c r="A30" s="4"/>
      <c r="B30" s="160"/>
      <c r="C30" s="115"/>
      <c r="D30" s="162"/>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431"/>
    </row>
    <row r="31" spans="1:37" ht="13.5" customHeight="1" x14ac:dyDescent="0.45">
      <c r="A31" s="4"/>
      <c r="B31" s="160"/>
      <c r="C31" s="441" t="s">
        <v>553</v>
      </c>
      <c r="D31" s="283"/>
      <c r="E31" s="641" t="s">
        <v>631</v>
      </c>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431"/>
    </row>
    <row r="32" spans="1:37" ht="13.5" customHeight="1" x14ac:dyDescent="0.45">
      <c r="A32" s="4"/>
      <c r="B32" s="160"/>
      <c r="C32" s="442" t="s">
        <v>548</v>
      </c>
      <c r="D32" s="283"/>
      <c r="E32" s="641"/>
      <c r="F32" s="174">
        <f>Combustibles!E211</f>
        <v>373.48693323984747</v>
      </c>
      <c r="G32" s="174" t="s">
        <v>152</v>
      </c>
      <c r="H32" s="174"/>
      <c r="I32" s="174"/>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431"/>
    </row>
    <row r="33" spans="1:37" ht="13.5" customHeight="1" x14ac:dyDescent="0.45">
      <c r="A33" s="4">
        <v>65.400000000000006</v>
      </c>
      <c r="B33" s="160"/>
      <c r="C33" s="442" t="s">
        <v>554</v>
      </c>
      <c r="D33" s="283">
        <f>'Copia de Emisiones Energía'!D32*$D$141</f>
        <v>6.93E-2</v>
      </c>
      <c r="E33" s="641"/>
      <c r="F33" s="174">
        <v>1195.47</v>
      </c>
      <c r="G33" s="174" t="s">
        <v>632</v>
      </c>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431"/>
    </row>
    <row r="34" spans="1:37" ht="13.5" customHeight="1" x14ac:dyDescent="0.45">
      <c r="A34" s="4">
        <v>5.3</v>
      </c>
      <c r="B34" s="160"/>
      <c r="C34" s="442" t="s">
        <v>555</v>
      </c>
      <c r="D34" s="283">
        <f>'Copia de Emisiones Energía'!D33*$D$141</f>
        <v>7.1499999999999994E-2</v>
      </c>
      <c r="E34" s="641"/>
      <c r="F34" s="174">
        <f>SUM(Combustibles!E217:E227)</f>
        <v>4.0599999999999997E-2</v>
      </c>
      <c r="G34" s="174" t="s">
        <v>633</v>
      </c>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431"/>
    </row>
    <row r="35" spans="1:37" ht="13.5" customHeight="1" x14ac:dyDescent="0.45">
      <c r="A35" s="4">
        <v>79.7</v>
      </c>
      <c r="B35" s="160"/>
      <c r="C35" s="442" t="s">
        <v>549</v>
      </c>
      <c r="D35" s="283">
        <f>'Copia de Emisiones Energía'!D34*$D$141</f>
        <v>7.4099999999999999E-2</v>
      </c>
      <c r="E35" s="641"/>
      <c r="F35" s="174">
        <f>F34*F32</f>
        <v>15.163569489537807</v>
      </c>
      <c r="G35" s="174" t="s">
        <v>634</v>
      </c>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431"/>
    </row>
    <row r="36" spans="1:37" ht="13.5" customHeight="1" x14ac:dyDescent="0.45">
      <c r="A36" s="4">
        <v>134</v>
      </c>
      <c r="B36" s="160"/>
      <c r="C36" s="442" t="s">
        <v>550</v>
      </c>
      <c r="D36" s="283">
        <f>'Copia de Emisiones Energía'!D35*$D$141</f>
        <v>7.7399999999999997E-2</v>
      </c>
      <c r="E36" s="174"/>
      <c r="F36" s="174">
        <f>F33/F35/1000</f>
        <v>7.883829732998035E-2</v>
      </c>
      <c r="G36" s="174" t="s">
        <v>635</v>
      </c>
      <c r="H36" s="174"/>
      <c r="I36" s="174"/>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431"/>
    </row>
    <row r="37" spans="1:37" ht="13.5" customHeight="1" x14ac:dyDescent="0.45">
      <c r="A37" s="4">
        <v>2.85</v>
      </c>
      <c r="B37" s="160"/>
      <c r="C37" s="442" t="s">
        <v>556</v>
      </c>
      <c r="D37" s="283">
        <f>'Copia de Emisiones Energía'!D36*$D$141</f>
        <v>6.3100000000000003E-2</v>
      </c>
      <c r="E37" s="174"/>
      <c r="F37" s="174">
        <f>F33/F35/1000</f>
        <v>7.883829732998035E-2</v>
      </c>
      <c r="G37" s="174"/>
      <c r="H37" s="174"/>
      <c r="I37" s="174"/>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431"/>
    </row>
    <row r="38" spans="1:37" ht="13.5" customHeight="1" x14ac:dyDescent="0.45">
      <c r="A38" s="4"/>
      <c r="B38" s="160"/>
      <c r="C38" s="442" t="s">
        <v>557</v>
      </c>
      <c r="D38" s="283">
        <f>'Copia de Emisiones Energía'!D37*$D$141</f>
        <v>5.7599999999999998E-2</v>
      </c>
      <c r="E38" s="174"/>
      <c r="F38" s="174">
        <f>F34*F37*F32</f>
        <v>1.19547</v>
      </c>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431"/>
    </row>
    <row r="39" spans="1:37" ht="13.5" customHeight="1" x14ac:dyDescent="0.45">
      <c r="A39" s="4"/>
      <c r="B39" s="160"/>
      <c r="C39" s="115"/>
      <c r="D39" s="174"/>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431"/>
    </row>
    <row r="40" spans="1:37" ht="13.5" customHeight="1" x14ac:dyDescent="0.45">
      <c r="A40" s="4"/>
      <c r="B40" s="160"/>
      <c r="C40" s="111" t="s">
        <v>558</v>
      </c>
      <c r="D40" s="162"/>
      <c r="E40" s="174"/>
      <c r="F40" s="174"/>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431"/>
    </row>
    <row r="41" spans="1:37" ht="13.5" customHeight="1" x14ac:dyDescent="0.45">
      <c r="A41" s="4"/>
      <c r="B41" s="160"/>
      <c r="C41" s="115" t="s">
        <v>548</v>
      </c>
      <c r="D41" s="162"/>
      <c r="E41" s="174"/>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431"/>
    </row>
    <row r="42" spans="1:37" ht="13.5" customHeight="1" x14ac:dyDescent="0.45">
      <c r="A42" s="4"/>
      <c r="B42" s="160"/>
      <c r="C42" s="115" t="s">
        <v>559</v>
      </c>
      <c r="D42" s="162">
        <f>'Copia de Emisiones Energía'!D41*$D$141</f>
        <v>5.6099999999999997E-2</v>
      </c>
      <c r="E42" s="174"/>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431"/>
    </row>
    <row r="43" spans="1:37" ht="13.5" customHeight="1" x14ac:dyDescent="0.45">
      <c r="A43" s="4"/>
      <c r="B43" s="160"/>
      <c r="C43" s="115" t="s">
        <v>560</v>
      </c>
      <c r="D43" s="162">
        <f>'Copia de Emisiones Energía'!D42*$D$141</f>
        <v>0.11199999999999999</v>
      </c>
      <c r="E43" s="174">
        <v>1713</v>
      </c>
      <c r="F43" s="174">
        <v>1629</v>
      </c>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431"/>
    </row>
    <row r="44" spans="1:37" ht="13.5" customHeight="1" x14ac:dyDescent="0.45">
      <c r="A44" s="4"/>
      <c r="B44" s="160"/>
      <c r="C44" s="115" t="s">
        <v>556</v>
      </c>
      <c r="D44" s="162">
        <f>'Copia de Emisiones Energía'!D43*$D$141</f>
        <v>6.3100000000000003E-2</v>
      </c>
      <c r="E44" s="174">
        <f>E43-F43</f>
        <v>84</v>
      </c>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431"/>
    </row>
    <row r="45" spans="1:37" ht="13.5" customHeight="1" x14ac:dyDescent="0.45">
      <c r="A45" s="4"/>
      <c r="B45" s="160"/>
      <c r="C45" s="115" t="s">
        <v>561</v>
      </c>
      <c r="D45" s="162">
        <f>'Copia de Emisiones Energía'!D44*$D$141</f>
        <v>6.93E-2</v>
      </c>
      <c r="E45" s="174">
        <f>E44*F36*1000</f>
        <v>6622.416975718349</v>
      </c>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431"/>
    </row>
    <row r="46" spans="1:37" ht="13.5" customHeight="1" x14ac:dyDescent="0.45">
      <c r="A46" s="4"/>
      <c r="B46" s="160"/>
      <c r="C46" s="115" t="s">
        <v>562</v>
      </c>
      <c r="D46" s="162">
        <f>'Copia de Emisiones Energía'!D45*$D$141</f>
        <v>6.9999999999999993E-2</v>
      </c>
      <c r="E46" s="174">
        <v>3054</v>
      </c>
      <c r="F46" s="174">
        <f>E46-E45</f>
        <v>-3568.416975718349</v>
      </c>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431"/>
    </row>
    <row r="47" spans="1:37" ht="13.5" customHeight="1" x14ac:dyDescent="0.45">
      <c r="A47" s="4"/>
      <c r="B47" s="160"/>
      <c r="C47" s="115" t="s">
        <v>555</v>
      </c>
      <c r="D47" s="162">
        <f>'Copia de Emisiones Energía'!D46*$D$141</f>
        <v>7.1499999999999994E-2</v>
      </c>
      <c r="E47" s="174"/>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431"/>
    </row>
    <row r="48" spans="1:37" ht="13.5" customHeight="1" x14ac:dyDescent="0.45">
      <c r="A48" s="4"/>
      <c r="B48" s="160"/>
      <c r="C48" s="115" t="s">
        <v>549</v>
      </c>
      <c r="D48" s="162">
        <f>'Copia de Emisiones Energía'!D47*$D$141</f>
        <v>7.4099999999999999E-2</v>
      </c>
      <c r="E48" s="174"/>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431"/>
    </row>
    <row r="49" spans="1:37" ht="13.5" customHeight="1" x14ac:dyDescent="0.45">
      <c r="A49" s="4"/>
      <c r="B49" s="160"/>
      <c r="C49" s="115" t="s">
        <v>550</v>
      </c>
      <c r="D49" s="162">
        <f>'Copia de Emisiones Energía'!D48*$D$141</f>
        <v>7.7399999999999997E-2</v>
      </c>
      <c r="E49" s="174"/>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431"/>
    </row>
    <row r="50" spans="1:37" ht="13.5" customHeight="1" x14ac:dyDescent="0.45">
      <c r="A50" s="4"/>
      <c r="B50" s="160"/>
      <c r="C50" s="115" t="s">
        <v>563</v>
      </c>
      <c r="D50" s="162">
        <f>'Copia de Emisiones Energía'!D49*$D$141</f>
        <v>9.7499999999999989E-2</v>
      </c>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431"/>
    </row>
    <row r="51" spans="1:37" ht="13.5" customHeight="1" x14ac:dyDescent="0.45">
      <c r="A51" s="618"/>
      <c r="B51" s="106"/>
      <c r="C51" s="323"/>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c r="AK51" s="184"/>
    </row>
    <row r="52" spans="1:37" ht="13.5" customHeight="1" x14ac:dyDescent="0.45">
      <c r="A52" s="4"/>
      <c r="B52" s="160"/>
      <c r="C52" s="111" t="s">
        <v>564</v>
      </c>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431"/>
    </row>
    <row r="53" spans="1:37" ht="13.5" customHeight="1" x14ac:dyDescent="0.45">
      <c r="A53" s="618"/>
      <c r="B53" s="160"/>
      <c r="C53" s="115" t="s">
        <v>565</v>
      </c>
      <c r="D53" s="116">
        <f>'Copia de Emisiones Energía'!D52*0.001</f>
        <v>0.1522</v>
      </c>
      <c r="E53" s="116">
        <f>'Copia de Emisiones Energía'!E52*0.001</f>
        <v>0.1641</v>
      </c>
      <c r="F53" s="116">
        <f>'Copia de Emisiones Energía'!F52*0.001</f>
        <v>0.14860000000000001</v>
      </c>
      <c r="G53" s="116">
        <f>'Copia de Emisiones Energía'!G52*0.001</f>
        <v>0.14610000000000001</v>
      </c>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431"/>
    </row>
    <row r="54" spans="1:37" ht="13.5" customHeight="1" x14ac:dyDescent="0.45">
      <c r="A54" s="618"/>
      <c r="B54" s="160"/>
      <c r="C54" s="115" t="s">
        <v>566</v>
      </c>
      <c r="D54" s="116">
        <f>'Copia de Emisiones Energía'!D53*0.001</f>
        <v>4.0000000000000001E-3</v>
      </c>
      <c r="E54" s="116">
        <f>'Copia de Emisiones Energía'!E53*0.001</f>
        <v>4.4000000000000003E-3</v>
      </c>
      <c r="F54" s="116">
        <f>'Copia de Emisiones Energía'!F53*0.001</f>
        <v>3.8999999999999998E-3</v>
      </c>
      <c r="G54" s="116">
        <f>'Copia de Emisiones Energía'!G53*0.001</f>
        <v>4.5999999999999999E-3</v>
      </c>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431"/>
    </row>
    <row r="55" spans="1:37" ht="13.5" customHeight="1" x14ac:dyDescent="0.45">
      <c r="A55" s="618"/>
      <c r="B55" s="160"/>
      <c r="C55" s="115" t="s">
        <v>567</v>
      </c>
      <c r="D55" s="116">
        <f>'Copia de Emisiones Energía'!D54*0.001</f>
        <v>3.7600000000000001E-2</v>
      </c>
      <c r="E55" s="116">
        <f>'Copia de Emisiones Energía'!E54*0.001</f>
        <v>3.6200000000000003E-2</v>
      </c>
      <c r="F55" s="116">
        <f>'Copia de Emisiones Energía'!F54*0.001</f>
        <v>3.2299999999999995E-2</v>
      </c>
      <c r="G55" s="116">
        <f>'Copia de Emisiones Energía'!G54*0.001</f>
        <v>3.2600000000000004E-2</v>
      </c>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431"/>
    </row>
    <row r="56" spans="1:37" ht="13.5" customHeight="1" x14ac:dyDescent="0.45">
      <c r="A56" s="4"/>
      <c r="B56" s="160"/>
      <c r="C56" s="111"/>
      <c r="D56" s="439"/>
      <c r="E56" s="439"/>
      <c r="F56" s="439"/>
      <c r="G56" s="439"/>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431"/>
    </row>
    <row r="57" spans="1:37" ht="13.5" customHeight="1" x14ac:dyDescent="0.45">
      <c r="A57" s="4"/>
      <c r="B57" s="160"/>
      <c r="C57" s="115" t="s">
        <v>568</v>
      </c>
      <c r="D57" s="439">
        <f>SUM(D53:D55)</f>
        <v>0.1938</v>
      </c>
      <c r="E57" s="439">
        <f>SUM(E53:E55)</f>
        <v>0.20469999999999999</v>
      </c>
      <c r="F57" s="439">
        <f>SUM(F53:F55)</f>
        <v>0.18479999999999999</v>
      </c>
      <c r="G57" s="439">
        <f>SUM(G53:G55)</f>
        <v>0.18330000000000002</v>
      </c>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431"/>
    </row>
    <row r="58" spans="1:37" ht="13.5" customHeight="1" x14ac:dyDescent="0.45">
      <c r="A58" s="618"/>
      <c r="B58" s="118"/>
      <c r="C58" s="181"/>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c r="AH58" s="191"/>
      <c r="AI58" s="191"/>
      <c r="AJ58" s="191"/>
      <c r="AK58" s="192"/>
    </row>
    <row r="59" spans="1:37" ht="13.5" customHeight="1" x14ac:dyDescent="0.4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3.5" customHeight="1" x14ac:dyDescent="0.45">
      <c r="A60" s="618"/>
      <c r="B60" s="26"/>
      <c r="C60" s="212"/>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351"/>
    </row>
    <row r="61" spans="1:37" ht="13.5" customHeight="1" x14ac:dyDescent="0.45">
      <c r="A61" s="618"/>
      <c r="B61" s="215"/>
      <c r="C61" s="444" t="s">
        <v>569</v>
      </c>
      <c r="D61" s="220"/>
      <c r="E61" s="220"/>
      <c r="F61" s="220"/>
      <c r="G61" s="220"/>
      <c r="H61" s="220"/>
      <c r="I61" s="220"/>
      <c r="J61" s="220"/>
      <c r="K61" s="220"/>
      <c r="L61" s="220"/>
      <c r="M61" s="220"/>
      <c r="N61" s="220"/>
      <c r="O61" s="220"/>
      <c r="P61" s="220"/>
      <c r="Q61" s="220"/>
      <c r="R61" s="220"/>
      <c r="S61" s="220"/>
      <c r="T61" s="220"/>
      <c r="U61" s="220"/>
      <c r="V61" s="220"/>
      <c r="W61" s="220"/>
      <c r="X61" s="220"/>
      <c r="Y61" s="220"/>
      <c r="Z61" s="220"/>
      <c r="AA61" s="220"/>
      <c r="AB61" s="220"/>
      <c r="AC61" s="220"/>
      <c r="AD61" s="220"/>
      <c r="AE61" s="220"/>
      <c r="AF61" s="220"/>
      <c r="AG61" s="220"/>
      <c r="AH61" s="220"/>
      <c r="AI61" s="220"/>
      <c r="AJ61" s="220"/>
      <c r="AK61" s="352"/>
    </row>
    <row r="62" spans="1:37" ht="13.5" customHeight="1" x14ac:dyDescent="0.45">
      <c r="A62" s="618"/>
      <c r="B62" s="215"/>
      <c r="C62" s="243" t="s">
        <v>570</v>
      </c>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352"/>
    </row>
    <row r="63" spans="1:37" ht="13.5" customHeight="1" x14ac:dyDescent="0.45">
      <c r="A63" s="618"/>
      <c r="B63" s="215"/>
      <c r="C63" s="221" t="s">
        <v>565</v>
      </c>
      <c r="D63" s="285" t="s">
        <v>221</v>
      </c>
      <c r="E63" s="285" t="s">
        <v>221</v>
      </c>
      <c r="F63" s="285" t="s">
        <v>221</v>
      </c>
      <c r="G63" s="285">
        <f>'Copia de Emisiones Energía'!G62*0.001</f>
        <v>1.4E-2</v>
      </c>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352"/>
    </row>
    <row r="64" spans="1:37" ht="13.5" customHeight="1" x14ac:dyDescent="0.45">
      <c r="A64" s="618"/>
      <c r="B64" s="215"/>
      <c r="C64" s="221" t="s">
        <v>567</v>
      </c>
      <c r="D64" s="285">
        <f>'Copia de Emisiones Energía'!D63*0.001</f>
        <v>0.56950000000000001</v>
      </c>
      <c r="E64" s="285">
        <f>'Copia de Emisiones Energía'!E63*0.001</f>
        <v>0.51839999999999997</v>
      </c>
      <c r="F64" s="285">
        <f>'Copia de Emisiones Energía'!F63*0.001</f>
        <v>0.44310000000000005</v>
      </c>
      <c r="G64" s="285">
        <f>'Copia de Emisiones Energía'!G63*0.001</f>
        <v>0.39200000000000002</v>
      </c>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352"/>
    </row>
    <row r="65" spans="1:37" ht="13.5" customHeight="1" x14ac:dyDescent="0.45">
      <c r="A65" s="618"/>
      <c r="B65" s="215"/>
      <c r="C65" s="221" t="s">
        <v>571</v>
      </c>
      <c r="D65" s="285" t="s">
        <v>221</v>
      </c>
      <c r="E65" s="285" t="s">
        <v>221</v>
      </c>
      <c r="F65" s="285" t="s">
        <v>221</v>
      </c>
      <c r="G65" s="285">
        <f>'Copia de Emisiones Energía'!G64*0.001</f>
        <v>3.8100000000000002E-2</v>
      </c>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352"/>
    </row>
    <row r="66" spans="1:37" ht="13.5" customHeight="1" x14ac:dyDescent="0.45">
      <c r="A66" s="618"/>
      <c r="B66" s="215"/>
      <c r="C66" s="221" t="s">
        <v>572</v>
      </c>
      <c r="D66" s="285">
        <f>'Copia de Emisiones Energía'!D65*0.001</f>
        <v>0.2185</v>
      </c>
      <c r="E66" s="285">
        <f>'Copia de Emisiones Energía'!E65*0.001</f>
        <v>0.26819999999999999</v>
      </c>
      <c r="F66" s="285">
        <f>'Copia de Emisiones Energía'!F65*0.001</f>
        <v>0.23550000000000001</v>
      </c>
      <c r="G66" s="285">
        <f>'Copia de Emisiones Energía'!G65*0.001</f>
        <v>9.8599999999999993E-2</v>
      </c>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352"/>
    </row>
    <row r="67" spans="1:37" ht="13.5" customHeight="1" x14ac:dyDescent="0.45">
      <c r="A67" s="618"/>
      <c r="B67" s="215"/>
      <c r="C67" s="221" t="s">
        <v>573</v>
      </c>
      <c r="D67" s="285">
        <f>'Copia de Emisiones Energía'!D66*0.001</f>
        <v>1.9875</v>
      </c>
      <c r="E67" s="285">
        <f>'Copia de Emisiones Energía'!E66*0.001</f>
        <v>1.1075999999999999</v>
      </c>
      <c r="F67" s="285">
        <f>'Copia de Emisiones Energía'!F66*0.001</f>
        <v>1.0869000000000002</v>
      </c>
      <c r="G67" s="285">
        <f>'Copia de Emisiones Energía'!G66*0.001</f>
        <v>0.96279999999999999</v>
      </c>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352"/>
    </row>
    <row r="68" spans="1:37" ht="13.5" customHeight="1" x14ac:dyDescent="0.45">
      <c r="A68" s="618"/>
      <c r="B68" s="215"/>
      <c r="C68" s="221" t="s">
        <v>574</v>
      </c>
      <c r="D68" s="285">
        <f>'Copia de Emisiones Energía'!D67*0.001</f>
        <v>5.0000000000000001E-4</v>
      </c>
      <c r="E68" s="285">
        <f>'Copia de Emisiones Energía'!E67*0.001</f>
        <v>2.0000000000000001E-4</v>
      </c>
      <c r="F68" s="285" t="s">
        <v>221</v>
      </c>
      <c r="G68" s="285" t="s">
        <v>221</v>
      </c>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352"/>
    </row>
    <row r="69" spans="1:37" ht="13.5" customHeight="1" x14ac:dyDescent="0.45">
      <c r="A69" s="618"/>
      <c r="B69" s="215"/>
      <c r="C69" s="91" t="s">
        <v>568</v>
      </c>
      <c r="D69" s="445">
        <f>SUM(D63:D68)</f>
        <v>2.7760000000000002</v>
      </c>
      <c r="E69" s="445">
        <f>SUM(E63:E68)</f>
        <v>1.8943999999999999</v>
      </c>
      <c r="F69" s="445">
        <f>SUM(F63:F68)</f>
        <v>1.7655000000000003</v>
      </c>
      <c r="G69" s="445">
        <f>SUM(G63:G68)</f>
        <v>1.5055000000000001</v>
      </c>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352"/>
    </row>
    <row r="70" spans="1:37" ht="13.5" customHeight="1" x14ac:dyDescent="0.45">
      <c r="A70" s="618"/>
      <c r="B70" s="215"/>
      <c r="C70" s="243"/>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352"/>
    </row>
    <row r="71" spans="1:37" ht="13.5" customHeight="1" x14ac:dyDescent="0.45">
      <c r="A71" s="618"/>
      <c r="B71" s="215"/>
      <c r="C71" s="243" t="s">
        <v>575</v>
      </c>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352"/>
    </row>
    <row r="72" spans="1:37" ht="13.5" customHeight="1" x14ac:dyDescent="0.45">
      <c r="A72" s="618"/>
      <c r="B72" s="215"/>
      <c r="C72" s="446" t="s">
        <v>565</v>
      </c>
      <c r="D72" s="447">
        <f>'Copia de Emisiones Energía'!D71*0.001</f>
        <v>1.1393</v>
      </c>
      <c r="E72" s="447">
        <f>'Copia de Emisiones Energía'!E71*0.001</f>
        <v>1.2007000000000001</v>
      </c>
      <c r="F72" s="447">
        <f>'Copia de Emisiones Energía'!F71*0.001</f>
        <v>1.2099000000000002</v>
      </c>
      <c r="G72" s="447">
        <f>'Copia de Emisiones Energía'!G71*0.001</f>
        <v>1.1555</v>
      </c>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352"/>
    </row>
    <row r="73" spans="1:37" ht="13.5" customHeight="1" x14ac:dyDescent="0.45">
      <c r="A73" s="618"/>
      <c r="B73" s="215"/>
      <c r="C73" s="221" t="s">
        <v>567</v>
      </c>
      <c r="D73" s="362">
        <f>'Copia de Emisiones Energía'!D72*0.001</f>
        <v>0.54660000000000009</v>
      </c>
      <c r="E73" s="362">
        <f>'Copia de Emisiones Energía'!E72*0.001</f>
        <v>0.47910000000000003</v>
      </c>
      <c r="F73" s="362">
        <f>'Copia de Emisiones Energía'!F72*0.001</f>
        <v>0.41830000000000001</v>
      </c>
      <c r="G73" s="362">
        <f>'Copia de Emisiones Energía'!G72*0.001</f>
        <v>0.4662</v>
      </c>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352"/>
    </row>
    <row r="74" spans="1:37" ht="13.5" customHeight="1" x14ac:dyDescent="0.45">
      <c r="A74" s="618"/>
      <c r="B74" s="215"/>
      <c r="C74" s="221" t="s">
        <v>571</v>
      </c>
      <c r="D74" s="362">
        <f>'Copia de Emisiones Energía'!D73*0.001</f>
        <v>0.27789999999999998</v>
      </c>
      <c r="E74" s="362">
        <f>'Copia de Emisiones Energía'!E73*0.001</f>
        <v>0.30060000000000003</v>
      </c>
      <c r="F74" s="362">
        <f>'Copia de Emisiones Energía'!F73*0.001</f>
        <v>0.31010000000000004</v>
      </c>
      <c r="G74" s="362">
        <f>'Copia de Emisiones Energía'!G73*0.001</f>
        <v>0.23290000000000002</v>
      </c>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352"/>
    </row>
    <row r="75" spans="1:37" ht="13.5" customHeight="1" x14ac:dyDescent="0.45">
      <c r="A75" s="618"/>
      <c r="B75" s="215"/>
      <c r="C75" s="221" t="s">
        <v>576</v>
      </c>
      <c r="D75" s="362">
        <f>'Copia de Emisiones Energía'!D74*0.001</f>
        <v>4.6200000000000005E-2</v>
      </c>
      <c r="E75" s="362">
        <f>'Copia de Emisiones Energía'!E74*0.001</f>
        <v>3.6900000000000002E-2</v>
      </c>
      <c r="F75" s="362">
        <f>'Copia de Emisiones Energía'!F74*0.001</f>
        <v>3.8899999999999997E-2</v>
      </c>
      <c r="G75" s="362">
        <f>'Copia de Emisiones Energía'!G74*0.001</f>
        <v>3.6299999999999999E-2</v>
      </c>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352"/>
    </row>
    <row r="76" spans="1:37" ht="13.5" customHeight="1" x14ac:dyDescent="0.45">
      <c r="A76" s="618"/>
      <c r="B76" s="215"/>
      <c r="C76" s="221" t="s">
        <v>572</v>
      </c>
      <c r="D76" s="362">
        <f>'Copia de Emisiones Energía'!D75*0.001</f>
        <v>0.95829999999999993</v>
      </c>
      <c r="E76" s="362">
        <f>'Copia de Emisiones Energía'!E75*0.001</f>
        <v>1.0486</v>
      </c>
      <c r="F76" s="362">
        <f>'Copia de Emisiones Energía'!F75*0.001</f>
        <v>1.0057</v>
      </c>
      <c r="G76" s="362">
        <f>'Copia de Emisiones Energía'!G75*0.001</f>
        <v>1.1934</v>
      </c>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352"/>
    </row>
    <row r="77" spans="1:37" ht="13.5" customHeight="1" x14ac:dyDescent="0.45">
      <c r="A77" s="618"/>
      <c r="B77" s="215"/>
      <c r="C77" s="221" t="s">
        <v>573</v>
      </c>
      <c r="D77" s="362">
        <f>'Copia de Emisiones Energía'!D76*0.001</f>
        <v>7.0000000000000007E-2</v>
      </c>
      <c r="E77" s="362">
        <f>'Copia de Emisiones Energía'!E76*0.001</f>
        <v>6.720000000000001E-2</v>
      </c>
      <c r="F77" s="362">
        <f>'Copia de Emisiones Energía'!F76*0.001</f>
        <v>6.720000000000001E-2</v>
      </c>
      <c r="G77" s="362">
        <f>'Copia de Emisiones Energía'!G76*0.001</f>
        <v>7.0400000000000004E-2</v>
      </c>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352"/>
    </row>
    <row r="78" spans="1:37" ht="13.5" customHeight="1" x14ac:dyDescent="0.45">
      <c r="A78" s="618"/>
      <c r="B78" s="215"/>
      <c r="C78" s="221" t="s">
        <v>574</v>
      </c>
      <c r="D78" s="362">
        <f>'Copia de Emisiones Energía'!D77*0.001</f>
        <v>2.9999999999999997E-4</v>
      </c>
      <c r="E78" s="362">
        <f>'Copia de Emisiones Energía'!E77*0.001</f>
        <v>2.0000000000000001E-4</v>
      </c>
      <c r="F78" s="362">
        <f>'Copia de Emisiones Energía'!F77*0.001</f>
        <v>2.0000000000000001E-4</v>
      </c>
      <c r="G78" s="362">
        <f>'Copia de Emisiones Energía'!G77*0.001</f>
        <v>2.0000000000000001E-4</v>
      </c>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352"/>
    </row>
    <row r="79" spans="1:37" ht="13.5" customHeight="1" x14ac:dyDescent="0.45">
      <c r="A79" s="618"/>
      <c r="B79" s="215"/>
      <c r="C79" s="91" t="s">
        <v>568</v>
      </c>
      <c r="D79" s="448">
        <f>SUM(D72:D78)</f>
        <v>3.0386000000000002</v>
      </c>
      <c r="E79" s="448">
        <f>SUM(E72:E78)</f>
        <v>3.1333000000000002</v>
      </c>
      <c r="F79" s="448">
        <f>SUM(F72:F78)</f>
        <v>3.0503</v>
      </c>
      <c r="G79" s="448">
        <f>SUM(G72:G78)</f>
        <v>3.1548999999999996</v>
      </c>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352"/>
    </row>
    <row r="80" spans="1:37" ht="13.5" customHeight="1" x14ac:dyDescent="0.45">
      <c r="A80" s="618"/>
      <c r="B80" s="258"/>
      <c r="C80" s="329"/>
      <c r="D80" s="259"/>
      <c r="E80" s="259"/>
      <c r="F80" s="259"/>
      <c r="G80" s="259"/>
      <c r="H80" s="259"/>
      <c r="I80" s="259"/>
      <c r="J80" s="259"/>
      <c r="K80" s="259"/>
      <c r="L80" s="259"/>
      <c r="M80" s="259"/>
      <c r="N80" s="259"/>
      <c r="O80" s="259"/>
      <c r="P80" s="259"/>
      <c r="Q80" s="259"/>
      <c r="R80" s="259"/>
      <c r="S80" s="259"/>
      <c r="T80" s="259"/>
      <c r="U80" s="259"/>
      <c r="V80" s="259"/>
      <c r="W80" s="259"/>
      <c r="X80" s="259"/>
      <c r="Y80" s="259"/>
      <c r="Z80" s="259"/>
      <c r="AA80" s="259"/>
      <c r="AB80" s="259"/>
      <c r="AC80" s="259"/>
      <c r="AD80" s="259"/>
      <c r="AE80" s="259"/>
      <c r="AF80" s="259"/>
      <c r="AG80" s="259"/>
      <c r="AH80" s="259"/>
      <c r="AI80" s="259"/>
      <c r="AJ80" s="259"/>
      <c r="AK80" s="425"/>
    </row>
    <row r="81" spans="1:37" ht="13.5" customHeight="1" x14ac:dyDescent="0.4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3.5" customHeight="1" x14ac:dyDescent="0.45">
      <c r="A82" s="618"/>
      <c r="B82" s="63"/>
      <c r="C82" s="399"/>
      <c r="D82" s="398"/>
      <c r="E82" s="398"/>
      <c r="F82" s="398"/>
      <c r="G82" s="398"/>
      <c r="H82" s="398"/>
      <c r="I82" s="398"/>
      <c r="J82" s="398"/>
      <c r="K82" s="398"/>
      <c r="L82" s="398"/>
      <c r="M82" s="398"/>
      <c r="N82" s="398"/>
      <c r="O82" s="398"/>
      <c r="P82" s="398"/>
      <c r="Q82" s="398"/>
      <c r="R82" s="398"/>
      <c r="S82" s="398"/>
      <c r="T82" s="398"/>
      <c r="U82" s="398"/>
      <c r="V82" s="398"/>
      <c r="W82" s="398"/>
      <c r="X82" s="398"/>
      <c r="Y82" s="398"/>
      <c r="Z82" s="398"/>
      <c r="AA82" s="398"/>
      <c r="AB82" s="398"/>
      <c r="AC82" s="398"/>
      <c r="AD82" s="398"/>
      <c r="AE82" s="398"/>
      <c r="AF82" s="398"/>
      <c r="AG82" s="398"/>
      <c r="AH82" s="398"/>
      <c r="AI82" s="398"/>
      <c r="AJ82" s="398"/>
      <c r="AK82" s="449"/>
    </row>
    <row r="83" spans="1:37" ht="13.5" customHeight="1" x14ac:dyDescent="0.45">
      <c r="A83" s="618"/>
      <c r="B83" s="400"/>
      <c r="C83" s="402" t="s">
        <v>478</v>
      </c>
      <c r="D83" s="403"/>
      <c r="E83" s="403"/>
      <c r="F83" s="403"/>
      <c r="G83" s="403"/>
      <c r="H83" s="403"/>
      <c r="I83" s="403"/>
      <c r="J83" s="403"/>
      <c r="K83" s="403"/>
      <c r="L83" s="403"/>
      <c r="M83" s="403"/>
      <c r="N83" s="403"/>
      <c r="O83" s="403"/>
      <c r="P83" s="403"/>
      <c r="Q83" s="403"/>
      <c r="R83" s="403"/>
      <c r="S83" s="403"/>
      <c r="T83" s="403"/>
      <c r="U83" s="403"/>
      <c r="V83" s="403"/>
      <c r="W83" s="403"/>
      <c r="X83" s="403"/>
      <c r="Y83" s="403"/>
      <c r="Z83" s="403"/>
      <c r="AA83" s="403"/>
      <c r="AB83" s="403"/>
      <c r="AC83" s="403"/>
      <c r="AD83" s="403"/>
      <c r="AE83" s="403"/>
      <c r="AF83" s="403"/>
      <c r="AG83" s="403"/>
      <c r="AH83" s="403"/>
      <c r="AI83" s="403"/>
      <c r="AJ83" s="403"/>
      <c r="AK83" s="450"/>
    </row>
    <row r="84" spans="1:37" ht="13.5" customHeight="1" x14ac:dyDescent="0.45">
      <c r="A84" s="618"/>
      <c r="B84" s="400"/>
      <c r="C84" s="404" t="s">
        <v>577</v>
      </c>
      <c r="D84" s="403"/>
      <c r="E84" s="403"/>
      <c r="F84" s="403"/>
      <c r="G84" s="403"/>
      <c r="H84" s="403"/>
      <c r="I84" s="403"/>
      <c r="J84" s="403"/>
      <c r="K84" s="403"/>
      <c r="L84" s="403"/>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50"/>
    </row>
    <row r="85" spans="1:37" ht="13.5" customHeight="1" x14ac:dyDescent="0.45">
      <c r="A85" s="618"/>
      <c r="B85" s="400"/>
      <c r="C85" s="405" t="s">
        <v>567</v>
      </c>
      <c r="D85" s="406">
        <f>'Copia de Emisiones Energía'!D84*0.001</f>
        <v>0.1115</v>
      </c>
      <c r="E85" s="406">
        <f>'Copia de Emisiones Energía'!E84*0.001</f>
        <v>8.9800000000000005E-2</v>
      </c>
      <c r="F85" s="406">
        <f>'Copia de Emisiones Energía'!F84*0.001</f>
        <v>5.4100000000000002E-2</v>
      </c>
      <c r="G85" s="406">
        <f>'Copia de Emisiones Energía'!G84*0.001</f>
        <v>9.4200000000000006E-2</v>
      </c>
      <c r="H85" s="403"/>
      <c r="I85" s="403"/>
      <c r="J85" s="403"/>
      <c r="K85" s="403"/>
      <c r="L85" s="403"/>
      <c r="M85" s="403"/>
      <c r="N85" s="403"/>
      <c r="O85" s="403"/>
      <c r="P85" s="403"/>
      <c r="Q85" s="403"/>
      <c r="R85" s="403"/>
      <c r="S85" s="403"/>
      <c r="T85" s="403"/>
      <c r="U85" s="403"/>
      <c r="V85" s="403"/>
      <c r="W85" s="403"/>
      <c r="X85" s="403"/>
      <c r="Y85" s="403"/>
      <c r="Z85" s="403"/>
      <c r="AA85" s="403"/>
      <c r="AB85" s="403"/>
      <c r="AC85" s="403"/>
      <c r="AD85" s="403"/>
      <c r="AE85" s="403"/>
      <c r="AF85" s="403"/>
      <c r="AG85" s="403"/>
      <c r="AH85" s="403"/>
      <c r="AI85" s="403"/>
      <c r="AJ85" s="403"/>
      <c r="AK85" s="450"/>
    </row>
    <row r="86" spans="1:37" ht="13.5" customHeight="1" x14ac:dyDescent="0.45">
      <c r="A86" s="618"/>
      <c r="B86" s="400"/>
      <c r="C86" s="405" t="s">
        <v>578</v>
      </c>
      <c r="D86" s="406">
        <f>'Copia de Emisiones Energía'!D85*0.001</f>
        <v>1.1982999999999999</v>
      </c>
      <c r="E86" s="406">
        <f>'Copia de Emisiones Energía'!E85*0.001</f>
        <v>1.1757</v>
      </c>
      <c r="F86" s="406">
        <f>'Copia de Emisiones Energía'!F85*0.001</f>
        <v>1.1331</v>
      </c>
      <c r="G86" s="406">
        <f>'Copia de Emisiones Energía'!G85*0.001</f>
        <v>1.0877000000000001</v>
      </c>
      <c r="H86" s="403"/>
      <c r="I86" s="403"/>
      <c r="J86" s="403"/>
      <c r="K86" s="403"/>
      <c r="L86" s="403"/>
      <c r="M86" s="403"/>
      <c r="N86" s="403"/>
      <c r="O86" s="403"/>
      <c r="P86" s="403"/>
      <c r="Q86" s="403"/>
      <c r="R86" s="403"/>
      <c r="S86" s="403"/>
      <c r="T86" s="403"/>
      <c r="U86" s="403"/>
      <c r="V86" s="403"/>
      <c r="W86" s="403"/>
      <c r="X86" s="403"/>
      <c r="Y86" s="403"/>
      <c r="Z86" s="403"/>
      <c r="AA86" s="403"/>
      <c r="AB86" s="403"/>
      <c r="AC86" s="403"/>
      <c r="AD86" s="403"/>
      <c r="AE86" s="403"/>
      <c r="AF86" s="403"/>
      <c r="AG86" s="403"/>
      <c r="AH86" s="403"/>
      <c r="AI86" s="403"/>
      <c r="AJ86" s="403"/>
      <c r="AK86" s="450"/>
    </row>
    <row r="87" spans="1:37" ht="13.5" customHeight="1" x14ac:dyDescent="0.45">
      <c r="A87" s="618"/>
      <c r="B87" s="400"/>
      <c r="C87" s="405" t="s">
        <v>571</v>
      </c>
      <c r="D87" s="406">
        <f>'Copia de Emisiones Energía'!D86*0.001</f>
        <v>0.83679999999999999</v>
      </c>
      <c r="E87" s="406">
        <f>'Copia de Emisiones Energía'!E86*0.001</f>
        <v>0.91279999999999994</v>
      </c>
      <c r="F87" s="406">
        <f>'Copia de Emisiones Energía'!F86*0.001</f>
        <v>0.9264</v>
      </c>
      <c r="G87" s="406">
        <f>'Copia de Emisiones Energía'!G86*0.001</f>
        <v>0.78160000000000007</v>
      </c>
      <c r="H87" s="403"/>
      <c r="I87" s="403"/>
      <c r="J87" s="403"/>
      <c r="K87" s="403"/>
      <c r="L87" s="403"/>
      <c r="M87" s="403"/>
      <c r="N87" s="403"/>
      <c r="O87" s="403"/>
      <c r="P87" s="403"/>
      <c r="Q87" s="403"/>
      <c r="R87" s="403"/>
      <c r="S87" s="403"/>
      <c r="T87" s="403"/>
      <c r="U87" s="403"/>
      <c r="V87" s="403"/>
      <c r="W87" s="403"/>
      <c r="X87" s="403"/>
      <c r="Y87" s="403"/>
      <c r="Z87" s="403"/>
      <c r="AA87" s="403"/>
      <c r="AB87" s="403"/>
      <c r="AC87" s="403"/>
      <c r="AD87" s="403"/>
      <c r="AE87" s="403"/>
      <c r="AF87" s="403"/>
      <c r="AG87" s="403"/>
      <c r="AH87" s="403"/>
      <c r="AI87" s="403"/>
      <c r="AJ87" s="403"/>
      <c r="AK87" s="450"/>
    </row>
    <row r="88" spans="1:37" ht="13.5" customHeight="1" x14ac:dyDescent="0.45">
      <c r="A88" s="618"/>
      <c r="B88" s="400"/>
      <c r="C88" s="405" t="s">
        <v>576</v>
      </c>
      <c r="D88" s="406">
        <f>'Copia de Emisiones Energía'!D87*0.001</f>
        <v>3.2013000000000003</v>
      </c>
      <c r="E88" s="406">
        <f>'Copia de Emisiones Energía'!E87*0.001</f>
        <v>3.4309000000000003</v>
      </c>
      <c r="F88" s="406">
        <f>'Copia de Emisiones Energía'!F87*0.001</f>
        <v>3.4660000000000002</v>
      </c>
      <c r="G88" s="406">
        <f>'Copia de Emisiones Energía'!G87*0.001</f>
        <v>3.5874000000000001</v>
      </c>
      <c r="H88" s="403"/>
      <c r="I88" s="403"/>
      <c r="J88" s="403"/>
      <c r="K88" s="403"/>
      <c r="L88" s="403"/>
      <c r="M88" s="403"/>
      <c r="N88" s="403"/>
      <c r="O88" s="403"/>
      <c r="P88" s="403"/>
      <c r="Q88" s="403"/>
      <c r="R88" s="403"/>
      <c r="S88" s="403"/>
      <c r="T88" s="403"/>
      <c r="U88" s="403"/>
      <c r="V88" s="403"/>
      <c r="W88" s="403"/>
      <c r="X88" s="403"/>
      <c r="Y88" s="403"/>
      <c r="Z88" s="403"/>
      <c r="AA88" s="403"/>
      <c r="AB88" s="403"/>
      <c r="AC88" s="403"/>
      <c r="AD88" s="403"/>
      <c r="AE88" s="403"/>
      <c r="AF88" s="403"/>
      <c r="AG88" s="403"/>
      <c r="AH88" s="403"/>
      <c r="AI88" s="403"/>
      <c r="AJ88" s="403"/>
      <c r="AK88" s="450"/>
    </row>
    <row r="89" spans="1:37" ht="13.5" customHeight="1" x14ac:dyDescent="0.45">
      <c r="A89" s="618"/>
      <c r="B89" s="400"/>
      <c r="C89" s="405" t="s">
        <v>579</v>
      </c>
      <c r="D89" s="406">
        <f>'Copia de Emisiones Energía'!D88*0.001</f>
        <v>11.328899999999999</v>
      </c>
      <c r="E89" s="406">
        <f>'Copia de Emisiones Energía'!E88*0.001</f>
        <v>11.376100000000001</v>
      </c>
      <c r="F89" s="406">
        <f>'Copia de Emisiones Energía'!F88*0.001</f>
        <v>8.934899999999999</v>
      </c>
      <c r="G89" s="406">
        <f>'Copia de Emisiones Energía'!G88*0.001</f>
        <v>10.724299999999999</v>
      </c>
      <c r="H89" s="403"/>
      <c r="I89" s="403"/>
      <c r="J89" s="403"/>
      <c r="K89" s="403"/>
      <c r="L89" s="403"/>
      <c r="M89" s="403"/>
      <c r="N89" s="403"/>
      <c r="O89" s="403"/>
      <c r="P89" s="403"/>
      <c r="Q89" s="403"/>
      <c r="R89" s="403"/>
      <c r="S89" s="403"/>
      <c r="T89" s="403"/>
      <c r="U89" s="403"/>
      <c r="V89" s="403"/>
      <c r="W89" s="403"/>
      <c r="X89" s="403"/>
      <c r="Y89" s="403"/>
      <c r="Z89" s="403"/>
      <c r="AA89" s="403"/>
      <c r="AB89" s="403"/>
      <c r="AC89" s="403"/>
      <c r="AD89" s="403"/>
      <c r="AE89" s="403"/>
      <c r="AF89" s="403"/>
      <c r="AG89" s="403"/>
      <c r="AH89" s="403"/>
      <c r="AI89" s="403"/>
      <c r="AJ89" s="403"/>
      <c r="AK89" s="450"/>
    </row>
    <row r="90" spans="1:37" ht="13.5" customHeight="1" x14ac:dyDescent="0.45">
      <c r="A90" s="618"/>
      <c r="B90" s="400"/>
      <c r="C90" s="405" t="s">
        <v>580</v>
      </c>
      <c r="D90" s="406">
        <f>'Copia de Emisiones Energía'!D89*0.001</f>
        <v>0.37540000000000001</v>
      </c>
      <c r="E90" s="406">
        <f>'Copia de Emisiones Energía'!E89*0.001</f>
        <v>0.35370000000000001</v>
      </c>
      <c r="F90" s="406">
        <f>'Copia de Emisiones Energía'!F89*0.001</f>
        <v>0.24110000000000001</v>
      </c>
      <c r="G90" s="406">
        <f>'Copia de Emisiones Energía'!G89*0.001</f>
        <v>0.3029</v>
      </c>
      <c r="H90" s="403"/>
      <c r="I90" s="403"/>
      <c r="J90" s="403"/>
      <c r="K90" s="403"/>
      <c r="L90" s="403"/>
      <c r="M90" s="403"/>
      <c r="N90" s="403"/>
      <c r="O90" s="403"/>
      <c r="P90" s="403"/>
      <c r="Q90" s="403"/>
      <c r="R90" s="403"/>
      <c r="S90" s="403"/>
      <c r="T90" s="403"/>
      <c r="U90" s="403"/>
      <c r="V90" s="403"/>
      <c r="W90" s="403"/>
      <c r="X90" s="403"/>
      <c r="Y90" s="403"/>
      <c r="Z90" s="403"/>
      <c r="AA90" s="403"/>
      <c r="AB90" s="403"/>
      <c r="AC90" s="403"/>
      <c r="AD90" s="403"/>
      <c r="AE90" s="403"/>
      <c r="AF90" s="403"/>
      <c r="AG90" s="403"/>
      <c r="AH90" s="403"/>
      <c r="AI90" s="403"/>
      <c r="AJ90" s="403"/>
      <c r="AK90" s="450"/>
    </row>
    <row r="91" spans="1:37" ht="13.5" customHeight="1" x14ac:dyDescent="0.45">
      <c r="A91" s="618"/>
      <c r="B91" s="400"/>
      <c r="C91" s="405" t="s">
        <v>572</v>
      </c>
      <c r="D91" s="406">
        <f>'Copia de Emisiones Energía'!D90*0.001</f>
        <v>12.933400000000001</v>
      </c>
      <c r="E91" s="406">
        <f>'Copia de Emisiones Energía'!E90*0.001</f>
        <v>12.778</v>
      </c>
      <c r="F91" s="406">
        <f>'Copia de Emisiones Energía'!F90*0.001</f>
        <v>10.964</v>
      </c>
      <c r="G91" s="406">
        <f>'Copia de Emisiones Energía'!G90*0.001</f>
        <v>12.293900000000001</v>
      </c>
      <c r="H91" s="403"/>
      <c r="I91" s="403"/>
      <c r="J91" s="403"/>
      <c r="K91" s="403"/>
      <c r="L91" s="403"/>
      <c r="M91" s="403"/>
      <c r="N91" s="403"/>
      <c r="O91" s="403"/>
      <c r="P91" s="403"/>
      <c r="Q91" s="403"/>
      <c r="R91" s="403"/>
      <c r="S91" s="403"/>
      <c r="T91" s="403"/>
      <c r="U91" s="403"/>
      <c r="V91" s="403"/>
      <c r="W91" s="403"/>
      <c r="X91" s="403"/>
      <c r="Y91" s="403"/>
      <c r="Z91" s="403"/>
      <c r="AA91" s="403"/>
      <c r="AB91" s="403"/>
      <c r="AC91" s="403"/>
      <c r="AD91" s="403"/>
      <c r="AE91" s="403"/>
      <c r="AF91" s="403"/>
      <c r="AG91" s="403"/>
      <c r="AH91" s="403"/>
      <c r="AI91" s="403"/>
      <c r="AJ91" s="403"/>
      <c r="AK91" s="450"/>
    </row>
    <row r="92" spans="1:37" ht="13.5" customHeight="1" x14ac:dyDescent="0.45">
      <c r="A92" s="618"/>
      <c r="B92" s="400"/>
      <c r="C92" s="405" t="s">
        <v>573</v>
      </c>
      <c r="D92" s="406">
        <f>'Copia de Emisiones Energía'!D91*0.001</f>
        <v>0.78439999999999999</v>
      </c>
      <c r="E92" s="406">
        <f>'Copia de Emisiones Energía'!E91*0.001</f>
        <v>0.80630000000000002</v>
      </c>
      <c r="F92" s="406">
        <f>'Copia de Emisiones Energía'!F91*0.001</f>
        <v>0.75729999999999997</v>
      </c>
      <c r="G92" s="406">
        <f>'Copia de Emisiones Energía'!G91*0.001</f>
        <v>0.86699999999999999</v>
      </c>
      <c r="H92" s="403"/>
      <c r="I92" s="403"/>
      <c r="J92" s="403"/>
      <c r="K92" s="403"/>
      <c r="L92" s="403"/>
      <c r="M92" s="403"/>
      <c r="N92" s="403"/>
      <c r="O92" s="403"/>
      <c r="P92" s="403"/>
      <c r="Q92" s="403"/>
      <c r="R92" s="403"/>
      <c r="S92" s="403"/>
      <c r="T92" s="403"/>
      <c r="U92" s="403"/>
      <c r="V92" s="403"/>
      <c r="W92" s="403"/>
      <c r="X92" s="403"/>
      <c r="Y92" s="403"/>
      <c r="Z92" s="403"/>
      <c r="AA92" s="403"/>
      <c r="AB92" s="403"/>
      <c r="AC92" s="403"/>
      <c r="AD92" s="403"/>
      <c r="AE92" s="403"/>
      <c r="AF92" s="403"/>
      <c r="AG92" s="403"/>
      <c r="AH92" s="403"/>
      <c r="AI92" s="403"/>
      <c r="AJ92" s="403"/>
      <c r="AK92" s="450"/>
    </row>
    <row r="93" spans="1:37" ht="13.5" customHeight="1" x14ac:dyDescent="0.45">
      <c r="A93" s="618"/>
      <c r="B93" s="400"/>
      <c r="C93" s="405" t="s">
        <v>581</v>
      </c>
      <c r="D93" s="406" t="s">
        <v>221</v>
      </c>
      <c r="E93" s="406" t="s">
        <v>221</v>
      </c>
      <c r="F93" s="406" t="s">
        <v>221</v>
      </c>
      <c r="G93" s="406">
        <f>'Copia de Emisiones Energía'!G92*0.001</f>
        <v>0.5544</v>
      </c>
      <c r="H93" s="403"/>
      <c r="I93" s="403"/>
      <c r="J93" s="403"/>
      <c r="K93" s="403"/>
      <c r="L93" s="403"/>
      <c r="M93" s="403"/>
      <c r="N93" s="403"/>
      <c r="O93" s="403"/>
      <c r="P93" s="403"/>
      <c r="Q93" s="403"/>
      <c r="R93" s="403"/>
      <c r="S93" s="403"/>
      <c r="T93" s="403"/>
      <c r="U93" s="403"/>
      <c r="V93" s="403"/>
      <c r="W93" s="403"/>
      <c r="X93" s="403"/>
      <c r="Y93" s="403"/>
      <c r="Z93" s="403"/>
      <c r="AA93" s="403"/>
      <c r="AB93" s="403"/>
      <c r="AC93" s="403"/>
      <c r="AD93" s="403"/>
      <c r="AE93" s="403"/>
      <c r="AF93" s="403"/>
      <c r="AG93" s="403"/>
      <c r="AH93" s="403"/>
      <c r="AI93" s="403"/>
      <c r="AJ93" s="403"/>
      <c r="AK93" s="450"/>
    </row>
    <row r="94" spans="1:37" ht="13.5" customHeight="1" x14ac:dyDescent="0.45">
      <c r="A94" s="618"/>
      <c r="B94" s="400"/>
      <c r="C94" s="405" t="s">
        <v>582</v>
      </c>
      <c r="D94" s="406">
        <f>'Copia de Emisiones Energía'!D93*0.001</f>
        <v>0.65910000000000002</v>
      </c>
      <c r="E94" s="406">
        <f>'Copia de Emisiones Energía'!E93*0.001</f>
        <v>0.63060000000000005</v>
      </c>
      <c r="F94" s="406">
        <f>'Copia de Emisiones Energía'!F93*0.001</f>
        <v>0.48710000000000003</v>
      </c>
      <c r="G94" s="406">
        <f>'Copia de Emisiones Energía'!G93*0.001</f>
        <v>0.58610000000000007</v>
      </c>
      <c r="H94" s="403"/>
      <c r="I94" s="403"/>
      <c r="J94" s="403"/>
      <c r="K94" s="403"/>
      <c r="L94" s="403"/>
      <c r="M94" s="403"/>
      <c r="N94" s="403"/>
      <c r="O94" s="403"/>
      <c r="P94" s="403"/>
      <c r="Q94" s="403"/>
      <c r="R94" s="403"/>
      <c r="S94" s="403"/>
      <c r="T94" s="403"/>
      <c r="U94" s="403"/>
      <c r="V94" s="403"/>
      <c r="W94" s="403"/>
      <c r="X94" s="403"/>
      <c r="Y94" s="403"/>
      <c r="Z94" s="403"/>
      <c r="AA94" s="403"/>
      <c r="AB94" s="403"/>
      <c r="AC94" s="403"/>
      <c r="AD94" s="403"/>
      <c r="AE94" s="403"/>
      <c r="AF94" s="403"/>
      <c r="AG94" s="403"/>
      <c r="AH94" s="403"/>
      <c r="AI94" s="403"/>
      <c r="AJ94" s="403"/>
      <c r="AK94" s="450"/>
    </row>
    <row r="95" spans="1:37" ht="13.5" customHeight="1" x14ac:dyDescent="0.45">
      <c r="A95" s="618"/>
      <c r="B95" s="400"/>
      <c r="C95" s="405"/>
      <c r="D95" s="403"/>
      <c r="E95" s="403"/>
      <c r="F95" s="403"/>
      <c r="G95" s="403"/>
      <c r="H95" s="403"/>
      <c r="I95" s="403"/>
      <c r="J95" s="403"/>
      <c r="K95" s="403"/>
      <c r="L95" s="403"/>
      <c r="M95" s="403"/>
      <c r="N95" s="403"/>
      <c r="O95" s="403"/>
      <c r="P95" s="403"/>
      <c r="Q95" s="403"/>
      <c r="R95" s="403"/>
      <c r="S95" s="403"/>
      <c r="T95" s="403"/>
      <c r="U95" s="403"/>
      <c r="V95" s="403"/>
      <c r="W95" s="403"/>
      <c r="X95" s="403"/>
      <c r="Y95" s="403"/>
      <c r="Z95" s="403"/>
      <c r="AA95" s="403"/>
      <c r="AB95" s="403"/>
      <c r="AC95" s="403"/>
      <c r="AD95" s="403"/>
      <c r="AE95" s="403"/>
      <c r="AF95" s="403"/>
      <c r="AG95" s="403"/>
      <c r="AH95" s="403"/>
      <c r="AI95" s="403"/>
      <c r="AJ95" s="403"/>
      <c r="AK95" s="450"/>
    </row>
    <row r="96" spans="1:37" ht="13.5" customHeight="1" x14ac:dyDescent="0.45">
      <c r="A96" s="618"/>
      <c r="B96" s="400"/>
      <c r="C96" s="92" t="s">
        <v>568</v>
      </c>
      <c r="D96" s="406">
        <f>SUM(D85:D94)</f>
        <v>31.429099999999998</v>
      </c>
      <c r="E96" s="406">
        <f>SUM(E85:E94)</f>
        <v>31.553900000000006</v>
      </c>
      <c r="F96" s="406">
        <f>SUM(F85:F94)</f>
        <v>26.964000000000002</v>
      </c>
      <c r="G96" s="406">
        <f>SUM(G85:G94)</f>
        <v>30.8795</v>
      </c>
      <c r="H96" s="403"/>
      <c r="I96" s="403"/>
      <c r="J96" s="403"/>
      <c r="K96" s="403"/>
      <c r="L96" s="403"/>
      <c r="M96" s="403"/>
      <c r="N96" s="403"/>
      <c r="O96" s="403"/>
      <c r="P96" s="403"/>
      <c r="Q96" s="403"/>
      <c r="R96" s="403"/>
      <c r="S96" s="403"/>
      <c r="T96" s="403"/>
      <c r="U96" s="403"/>
      <c r="V96" s="403"/>
      <c r="W96" s="403"/>
      <c r="X96" s="403"/>
      <c r="Y96" s="403"/>
      <c r="Z96" s="403"/>
      <c r="AA96" s="403"/>
      <c r="AB96" s="403"/>
      <c r="AC96" s="403"/>
      <c r="AD96" s="403"/>
      <c r="AE96" s="403"/>
      <c r="AF96" s="403"/>
      <c r="AG96" s="403"/>
      <c r="AH96" s="403"/>
      <c r="AI96" s="403"/>
      <c r="AJ96" s="403"/>
      <c r="AK96" s="450"/>
    </row>
    <row r="97" spans="1:37" ht="13.5" customHeight="1" x14ac:dyDescent="0.45">
      <c r="A97" s="618"/>
      <c r="B97" s="451"/>
      <c r="C97" s="452"/>
      <c r="D97" s="453"/>
      <c r="E97" s="453"/>
      <c r="F97" s="453"/>
      <c r="G97" s="453"/>
      <c r="H97" s="453"/>
      <c r="I97" s="453"/>
      <c r="J97" s="453"/>
      <c r="K97" s="453"/>
      <c r="L97" s="453"/>
      <c r="M97" s="453"/>
      <c r="N97" s="453"/>
      <c r="O97" s="453"/>
      <c r="P97" s="453"/>
      <c r="Q97" s="453"/>
      <c r="R97" s="453"/>
      <c r="S97" s="453"/>
      <c r="T97" s="453"/>
      <c r="U97" s="453"/>
      <c r="V97" s="453"/>
      <c r="W97" s="453"/>
      <c r="X97" s="453"/>
      <c r="Y97" s="453"/>
      <c r="Z97" s="453"/>
      <c r="AA97" s="453"/>
      <c r="AB97" s="453"/>
      <c r="AC97" s="453"/>
      <c r="AD97" s="453"/>
      <c r="AE97" s="453"/>
      <c r="AF97" s="453"/>
      <c r="AG97" s="453"/>
      <c r="AH97" s="453"/>
      <c r="AI97" s="453"/>
      <c r="AJ97" s="453"/>
      <c r="AK97" s="454"/>
    </row>
    <row r="98" spans="1:37" ht="13.5" customHeight="1" x14ac:dyDescent="0.4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3.5" customHeight="1" x14ac:dyDescent="0.45">
      <c r="A99" s="618"/>
      <c r="B99" s="26"/>
      <c r="C99" s="212"/>
      <c r="D99" s="211"/>
      <c r="E99" s="211"/>
      <c r="F99" s="211"/>
      <c r="G99" s="211"/>
      <c r="H99" s="211"/>
      <c r="I99" s="211"/>
      <c r="J99" s="211"/>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c r="AK99" s="351"/>
    </row>
    <row r="100" spans="1:37" ht="13.5" customHeight="1" x14ac:dyDescent="0.45">
      <c r="A100" s="618"/>
      <c r="B100" s="215"/>
      <c r="C100" s="243" t="s">
        <v>583</v>
      </c>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352"/>
    </row>
    <row r="101" spans="1:37" ht="13.5" customHeight="1" x14ac:dyDescent="0.45">
      <c r="A101" s="618"/>
      <c r="B101" s="215"/>
      <c r="C101" s="221" t="s">
        <v>566</v>
      </c>
      <c r="D101" s="293">
        <f>'Copia de Emisiones Energía'!D100*0.001</f>
        <v>0.31280000000000002</v>
      </c>
      <c r="E101" s="293">
        <f>'Copia de Emisiones Energía'!E100*0.001</f>
        <v>0.34489999999999998</v>
      </c>
      <c r="F101" s="293">
        <f>'Copia de Emisiones Energía'!F100*0.001</f>
        <v>0.30449999999999999</v>
      </c>
      <c r="G101" s="293">
        <f>'Copia de Emisiones Energía'!G100*0.001</f>
        <v>0.32930000000000004</v>
      </c>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352"/>
    </row>
    <row r="102" spans="1:37" ht="13.5" customHeight="1" x14ac:dyDescent="0.45">
      <c r="A102" s="618"/>
      <c r="B102" s="215"/>
      <c r="C102" s="221" t="s">
        <v>567</v>
      </c>
      <c r="D102" s="293">
        <f>'Copia de Emisiones Energía'!D101*0.001</f>
        <v>0.32269999999999999</v>
      </c>
      <c r="E102" s="293">
        <f>'Copia de Emisiones Energía'!E101*0.001</f>
        <v>0.29699999999999999</v>
      </c>
      <c r="F102" s="293">
        <f>'Copia de Emisiones Energía'!F101*0.001</f>
        <v>0.26050000000000001</v>
      </c>
      <c r="G102" s="293">
        <f>'Copia de Emisiones Energía'!G101*0.001</f>
        <v>0.28810000000000002</v>
      </c>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352"/>
    </row>
    <row r="103" spans="1:37" ht="13.5" customHeight="1" x14ac:dyDescent="0.45">
      <c r="A103" s="618"/>
      <c r="B103" s="215"/>
      <c r="C103" s="91" t="s">
        <v>568</v>
      </c>
      <c r="D103" s="455">
        <f>SUM(D101:D102)</f>
        <v>0.63549999999999995</v>
      </c>
      <c r="E103" s="455">
        <f>SUM(E101:E102)</f>
        <v>0.64189999999999992</v>
      </c>
      <c r="F103" s="455">
        <f>SUM(F101:F102)</f>
        <v>0.56499999999999995</v>
      </c>
      <c r="G103" s="455">
        <f>SUM(G101:G102)</f>
        <v>0.61740000000000006</v>
      </c>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352"/>
    </row>
    <row r="104" spans="1:37" ht="13.5" customHeight="1" x14ac:dyDescent="0.45">
      <c r="A104" s="618"/>
      <c r="B104" s="215"/>
      <c r="C104" s="243"/>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352"/>
    </row>
    <row r="105" spans="1:37" ht="13.5" customHeight="1" x14ac:dyDescent="0.45">
      <c r="A105" s="618"/>
      <c r="B105" s="215"/>
      <c r="C105" s="243" t="s">
        <v>584</v>
      </c>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352"/>
    </row>
    <row r="106" spans="1:37" ht="13.5" customHeight="1" x14ac:dyDescent="0.45">
      <c r="A106" s="618"/>
      <c r="B106" s="215"/>
      <c r="C106" s="221" t="s">
        <v>565</v>
      </c>
      <c r="D106" s="293">
        <f>'Copia de Emisiones Energía'!D105*0.001</f>
        <v>0.44900000000000001</v>
      </c>
      <c r="E106" s="293">
        <f>'Copia de Emisiones Energía'!E105*0.001</f>
        <v>0.4854</v>
      </c>
      <c r="F106" s="293">
        <f>'Copia de Emisiones Energía'!F105*0.001</f>
        <v>0.45460000000000006</v>
      </c>
      <c r="G106" s="293">
        <f>'Copia de Emisiones Energía'!G105*0.001</f>
        <v>0.4375</v>
      </c>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352"/>
    </row>
    <row r="107" spans="1:37" ht="13.5" customHeight="1" x14ac:dyDescent="0.45">
      <c r="A107" s="618"/>
      <c r="B107" s="215"/>
      <c r="C107" s="221" t="s">
        <v>576</v>
      </c>
      <c r="D107" s="293">
        <f>'Copia de Emisiones Energía'!D106*0.001</f>
        <v>4.9399999999999999E-2</v>
      </c>
      <c r="E107" s="293">
        <f>'Copia de Emisiones Energía'!E106*0.001</f>
        <v>4.0700000000000007E-2</v>
      </c>
      <c r="F107" s="293">
        <f>'Copia de Emisiones Energía'!F106*0.001</f>
        <v>4.1700000000000001E-2</v>
      </c>
      <c r="G107" s="293">
        <f>'Copia de Emisiones Energía'!G106*0.001</f>
        <v>3.9700000000000006E-2</v>
      </c>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352"/>
    </row>
    <row r="108" spans="1:37" ht="13.5" customHeight="1" x14ac:dyDescent="0.45">
      <c r="A108" s="618"/>
      <c r="B108" s="215"/>
      <c r="C108" s="221" t="s">
        <v>579</v>
      </c>
      <c r="D108" s="293">
        <f>'Copia de Emisiones Energía'!D107*0.001</f>
        <v>4.6300000000000001E-2</v>
      </c>
      <c r="E108" s="293">
        <f>'Copia de Emisiones Energía'!E107*0.001</f>
        <v>5.1400000000000001E-2</v>
      </c>
      <c r="F108" s="293">
        <f>'Copia de Emisiones Energía'!F107*0.001</f>
        <v>4.3700000000000003E-2</v>
      </c>
      <c r="G108" s="293">
        <f>'Copia de Emisiones Energía'!G107*0.001</f>
        <v>4.9100000000000005E-2</v>
      </c>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352"/>
    </row>
    <row r="109" spans="1:37" ht="13.5" customHeight="1" x14ac:dyDescent="0.45">
      <c r="A109" s="618"/>
      <c r="B109" s="215"/>
      <c r="C109" s="221" t="s">
        <v>580</v>
      </c>
      <c r="D109" s="293">
        <f>'Copia de Emisiones Energía'!D108*0.001</f>
        <v>8.8999999999999999E-3</v>
      </c>
      <c r="E109" s="293">
        <f>'Copia de Emisiones Energía'!E108*0.001</f>
        <v>1.0199999999999999E-2</v>
      </c>
      <c r="F109" s="293">
        <f>'Copia de Emisiones Energía'!F108*0.001</f>
        <v>9.300000000000001E-3</v>
      </c>
      <c r="G109" s="293">
        <f>'Copia de Emisiones Energía'!G108*0.001</f>
        <v>1.01E-2</v>
      </c>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352"/>
    </row>
    <row r="110" spans="1:37" ht="13.5" customHeight="1" x14ac:dyDescent="0.45">
      <c r="A110" s="618"/>
      <c r="B110" s="215"/>
      <c r="C110" s="221" t="s">
        <v>572</v>
      </c>
      <c r="D110" s="293">
        <f>'Copia de Emisiones Energía'!D109*0.001</f>
        <v>0.35399999999999998</v>
      </c>
      <c r="E110" s="293">
        <f>'Copia de Emisiones Energía'!E109*0.001</f>
        <v>0.36249999999999999</v>
      </c>
      <c r="F110" s="293">
        <f>'Copia de Emisiones Energía'!F109*0.001</f>
        <v>0.31290000000000001</v>
      </c>
      <c r="G110" s="293">
        <f>'Copia de Emisiones Energía'!G109*0.001</f>
        <v>0.32739999999999997</v>
      </c>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352"/>
    </row>
    <row r="111" spans="1:37" ht="13.5" customHeight="1" x14ac:dyDescent="0.45">
      <c r="A111" s="618"/>
      <c r="B111" s="215"/>
      <c r="C111" s="221" t="s">
        <v>573</v>
      </c>
      <c r="D111" s="293">
        <f>'Copia de Emisiones Energía'!D110*0.001</f>
        <v>0.6431</v>
      </c>
      <c r="E111" s="293">
        <f>'Copia de Emisiones Energía'!E110*0.001</f>
        <v>0.58550000000000002</v>
      </c>
      <c r="F111" s="293">
        <f>'Copia de Emisiones Energía'!F110*0.001</f>
        <v>0.49180000000000001</v>
      </c>
      <c r="G111" s="293">
        <f>'Copia de Emisiones Energía'!G110*0.001</f>
        <v>0.58389999999999997</v>
      </c>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352"/>
    </row>
    <row r="112" spans="1:37" ht="13.5" customHeight="1" x14ac:dyDescent="0.45">
      <c r="A112" s="618"/>
      <c r="B112" s="215"/>
      <c r="C112" s="221" t="s">
        <v>585</v>
      </c>
      <c r="D112" s="293">
        <f>'Copia de Emisiones Energía'!D111*0.001</f>
        <v>9.6500000000000002E-2</v>
      </c>
      <c r="E112" s="293">
        <f>'Copia de Emisiones Energía'!E111*0.001</f>
        <v>9.35E-2</v>
      </c>
      <c r="F112" s="293">
        <f>'Copia de Emisiones Energía'!F111*0.001</f>
        <v>0.192</v>
      </c>
      <c r="G112" s="293">
        <f>'Copia de Emisiones Energía'!G111*0.001</f>
        <v>0.2049</v>
      </c>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352"/>
    </row>
    <row r="113" spans="1:37" ht="13.5" customHeight="1" x14ac:dyDescent="0.45">
      <c r="A113" s="618"/>
      <c r="B113" s="215"/>
      <c r="C113" s="91" t="s">
        <v>568</v>
      </c>
      <c r="D113" s="455">
        <f>SUM(D106:D112)</f>
        <v>1.6472</v>
      </c>
      <c r="E113" s="455">
        <f>SUM(E106:E112)</f>
        <v>1.6291999999999998</v>
      </c>
      <c r="F113" s="455">
        <f>SUM(F106:F112)</f>
        <v>1.546</v>
      </c>
      <c r="G113" s="455">
        <f>SUM(G106:G112)</f>
        <v>1.6525999999999998</v>
      </c>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c r="AJ113" s="285"/>
      <c r="AK113" s="352"/>
    </row>
    <row r="114" spans="1:37" ht="13.5" customHeight="1" x14ac:dyDescent="0.45">
      <c r="A114" s="618"/>
      <c r="B114" s="258"/>
      <c r="C114" s="329"/>
      <c r="D114" s="259"/>
      <c r="E114" s="259"/>
      <c r="F114" s="259"/>
      <c r="G114" s="259"/>
      <c r="H114" s="259"/>
      <c r="I114" s="259"/>
      <c r="J114" s="259"/>
      <c r="K114" s="259"/>
      <c r="L114" s="259"/>
      <c r="M114" s="259"/>
      <c r="N114" s="259"/>
      <c r="O114" s="259"/>
      <c r="P114" s="259"/>
      <c r="Q114" s="259"/>
      <c r="R114" s="259"/>
      <c r="S114" s="259"/>
      <c r="T114" s="259"/>
      <c r="U114" s="259"/>
      <c r="V114" s="259"/>
      <c r="W114" s="259"/>
      <c r="X114" s="259"/>
      <c r="Y114" s="259"/>
      <c r="Z114" s="259"/>
      <c r="AA114" s="259"/>
      <c r="AB114" s="259"/>
      <c r="AC114" s="259"/>
      <c r="AD114" s="259"/>
      <c r="AE114" s="259"/>
      <c r="AF114" s="259"/>
      <c r="AG114" s="259"/>
      <c r="AH114" s="259"/>
      <c r="AI114" s="259"/>
      <c r="AJ114" s="259"/>
      <c r="AK114" s="425"/>
    </row>
    <row r="115" spans="1:37" ht="13.5" customHeight="1" x14ac:dyDescent="0.4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3.5" customHeight="1" x14ac:dyDescent="0.45">
      <c r="A116" s="1"/>
      <c r="B116" s="1"/>
      <c r="C116" s="18" t="s">
        <v>586</v>
      </c>
      <c r="D116" s="93">
        <f>SUM(D113,D103,D96,D79,D69,D57)</f>
        <v>39.720200000000006</v>
      </c>
      <c r="E116" s="93">
        <f>SUM(E113,E103,E96,E79,E69,E57)</f>
        <v>39.057400000000001</v>
      </c>
      <c r="F116" s="93">
        <f>SUM(F113,F103,F96,F79,F69,F57)</f>
        <v>34.075600000000009</v>
      </c>
      <c r="G116" s="93">
        <f>SUM(G113,G103,G96,G79,G69,G57)</f>
        <v>37.993200000000002</v>
      </c>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3.5" customHeight="1" x14ac:dyDescent="0.4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3.5" customHeight="1" x14ac:dyDescent="0.45">
      <c r="A118" s="618"/>
      <c r="B118" s="26"/>
      <c r="C118" s="212"/>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351"/>
    </row>
    <row r="119" spans="1:37" ht="20.25" customHeight="1" x14ac:dyDescent="0.45">
      <c r="A119" s="618"/>
      <c r="B119" s="215"/>
      <c r="C119" s="444" t="s">
        <v>587</v>
      </c>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c r="AA119" s="220"/>
      <c r="AB119" s="220"/>
      <c r="AC119" s="220"/>
      <c r="AD119" s="220"/>
      <c r="AE119" s="220"/>
      <c r="AF119" s="220"/>
      <c r="AG119" s="220"/>
      <c r="AH119" s="220"/>
      <c r="AI119" s="220"/>
      <c r="AJ119" s="220"/>
      <c r="AK119" s="352"/>
    </row>
    <row r="120" spans="1:37" ht="15.75" customHeight="1" x14ac:dyDescent="0.45">
      <c r="A120" s="618"/>
      <c r="B120" s="215"/>
      <c r="C120" s="456" t="s">
        <v>588</v>
      </c>
      <c r="D120" s="293">
        <f>'Copia de Emisiones Energía'!D120*$D$135</f>
        <v>15.490147799316896</v>
      </c>
      <c r="E120" s="293">
        <f>'Copia de Emisiones Energía'!E120*$D$135</f>
        <v>16.326872430228008</v>
      </c>
      <c r="F120" s="293">
        <f>'Copia de Emisiones Energía'!F120*$D$135</f>
        <v>16.451713370995453</v>
      </c>
      <c r="G120" s="293">
        <f>'Copia de Emisiones Energía'!G120*$D$135</f>
        <v>15.71137755946758</v>
      </c>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352"/>
    </row>
    <row r="121" spans="1:37" ht="15.75" customHeight="1" x14ac:dyDescent="0.45">
      <c r="A121" s="618"/>
      <c r="B121" s="215"/>
      <c r="C121" s="457"/>
      <c r="D121" s="293"/>
      <c r="E121" s="293"/>
      <c r="F121" s="293"/>
      <c r="G121" s="293"/>
      <c r="H121" s="285"/>
      <c r="I121" s="285"/>
      <c r="J121" s="285"/>
      <c r="K121" s="285"/>
      <c r="L121" s="285"/>
      <c r="M121" s="285"/>
      <c r="N121" s="285"/>
      <c r="O121" s="285"/>
      <c r="P121" s="285"/>
      <c r="Q121" s="285"/>
      <c r="R121" s="285"/>
      <c r="S121" s="285"/>
      <c r="T121" s="285"/>
      <c r="U121" s="285"/>
      <c r="V121" s="285"/>
      <c r="W121" s="285"/>
      <c r="X121" s="285"/>
      <c r="Y121" s="285"/>
      <c r="Z121" s="285"/>
      <c r="AA121" s="285"/>
      <c r="AB121" s="285"/>
      <c r="AC121" s="285"/>
      <c r="AD121" s="285"/>
      <c r="AE121" s="285"/>
      <c r="AF121" s="285"/>
      <c r="AG121" s="285"/>
      <c r="AH121" s="285"/>
      <c r="AI121" s="285"/>
      <c r="AJ121" s="285"/>
      <c r="AK121" s="352"/>
    </row>
    <row r="122" spans="1:37" ht="15.75" customHeight="1" x14ac:dyDescent="0.45">
      <c r="A122" s="618"/>
      <c r="B122" s="215"/>
      <c r="C122" s="457" t="s">
        <v>589</v>
      </c>
      <c r="D122" s="458">
        <f>D72/D120</f>
        <v>7.3549976072548665E-2</v>
      </c>
      <c r="E122" s="458">
        <f>E72/E120</f>
        <v>7.3541335312756653E-2</v>
      </c>
      <c r="F122" s="458">
        <f>F72/F120</f>
        <v>7.3542492062441775E-2</v>
      </c>
      <c r="G122" s="458">
        <f>G72/G120</f>
        <v>7.3545428822293354E-2</v>
      </c>
      <c r="H122" s="640" t="s">
        <v>590</v>
      </c>
      <c r="I122" s="640"/>
      <c r="J122" s="640"/>
      <c r="K122" s="285"/>
      <c r="L122" s="285"/>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352"/>
    </row>
    <row r="123" spans="1:37" ht="15.75" customHeight="1" x14ac:dyDescent="0.45">
      <c r="A123" s="618"/>
      <c r="B123" s="215"/>
      <c r="C123" s="457"/>
      <c r="D123" s="293"/>
      <c r="E123" s="293"/>
      <c r="F123" s="293"/>
      <c r="G123" s="293"/>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c r="AE123" s="285"/>
      <c r="AF123" s="285"/>
      <c r="AG123" s="285"/>
      <c r="AH123" s="285"/>
      <c r="AI123" s="285"/>
      <c r="AJ123" s="285"/>
      <c r="AK123" s="352"/>
    </row>
    <row r="124" spans="1:37" ht="15.75" customHeight="1" x14ac:dyDescent="0.45">
      <c r="A124" s="618"/>
      <c r="B124" s="215"/>
      <c r="C124" s="457" t="s">
        <v>591</v>
      </c>
      <c r="D124" s="459">
        <f>'Copia de Emisiones Energía'!D122*$D$141</f>
        <v>7.329999999999999E-2</v>
      </c>
      <c r="E124" s="293"/>
      <c r="F124" s="293"/>
      <c r="G124" s="293"/>
      <c r="H124" s="285"/>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c r="AE124" s="285"/>
      <c r="AF124" s="285"/>
      <c r="AG124" s="285"/>
      <c r="AH124" s="285"/>
      <c r="AI124" s="285"/>
      <c r="AJ124" s="285"/>
      <c r="AK124" s="352"/>
    </row>
    <row r="125" spans="1:37" ht="15.75" customHeight="1" x14ac:dyDescent="0.45">
      <c r="A125" s="618"/>
      <c r="B125" s="215"/>
      <c r="C125" s="456" t="s">
        <v>592</v>
      </c>
      <c r="D125" s="570">
        <f>'Copia de Emisiones Energía'!D125/1000</f>
        <v>6.081900000000001</v>
      </c>
      <c r="E125" s="570">
        <f>'Copia de Emisiones Energía'!E125/1000</f>
        <v>6.6057000000000006</v>
      </c>
      <c r="F125" s="570">
        <f>'Copia de Emisiones Energía'!F125/1000</f>
        <v>6.1866599999999998</v>
      </c>
      <c r="G125" s="570">
        <f>'Copia de Emisiones Energía'!G125/1000</f>
        <v>5.9538600000000006</v>
      </c>
      <c r="H125" s="285">
        <f>AVERAGE(D125:G125)</f>
        <v>6.2070299999999996</v>
      </c>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c r="AE125" s="285"/>
      <c r="AF125" s="285"/>
      <c r="AG125" s="285"/>
      <c r="AH125" s="285"/>
      <c r="AI125" s="285"/>
      <c r="AJ125" s="285"/>
      <c r="AK125" s="352"/>
    </row>
    <row r="126" spans="1:37" ht="15.75" customHeight="1" x14ac:dyDescent="0.45">
      <c r="A126" s="618"/>
      <c r="B126" s="215"/>
      <c r="C126" s="456"/>
      <c r="D126" s="531">
        <v>7.5185926438895478</v>
      </c>
      <c r="E126" s="531">
        <v>7.9747930302909396</v>
      </c>
      <c r="F126" s="531">
        <v>7.4680847183598091</v>
      </c>
      <c r="G126" s="531">
        <v>7.2829706374987397</v>
      </c>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352"/>
    </row>
    <row r="127" spans="1:37" ht="15.75" customHeight="1" x14ac:dyDescent="0.45">
      <c r="A127" s="618"/>
      <c r="B127" s="215"/>
      <c r="C127" s="457" t="s">
        <v>593</v>
      </c>
      <c r="D127" s="362">
        <f>'Copia de Emisiones Energía'!D128*0.001</f>
        <v>0.44580327000000008</v>
      </c>
      <c r="E127" s="362">
        <f>'Copia de Emisiones Energía'!E128*0.001</f>
        <v>0.48419781000000006</v>
      </c>
      <c r="F127" s="362">
        <f>'Copia de Emisiones Energía'!F128*0.001</f>
        <v>0.45348217799999996</v>
      </c>
      <c r="G127" s="362">
        <f>'Copia de Emisiones Energía'!G128*0.001</f>
        <v>0.43641793800000006</v>
      </c>
      <c r="H127" s="285"/>
      <c r="I127" s="285"/>
      <c r="J127" s="285"/>
      <c r="K127" s="285"/>
      <c r="L127" s="285"/>
      <c r="M127" s="285"/>
      <c r="N127" s="285"/>
      <c r="O127" s="285"/>
      <c r="P127" s="285"/>
      <c r="Q127" s="285"/>
      <c r="R127" s="285"/>
      <c r="S127" s="285"/>
      <c r="T127" s="285"/>
      <c r="U127" s="285"/>
      <c r="V127" s="285"/>
      <c r="W127" s="285"/>
      <c r="X127" s="285"/>
      <c r="Y127" s="285"/>
      <c r="Z127" s="285"/>
      <c r="AA127" s="285"/>
      <c r="AB127" s="285"/>
      <c r="AC127" s="285"/>
      <c r="AD127" s="285"/>
      <c r="AE127" s="285"/>
      <c r="AF127" s="285"/>
      <c r="AG127" s="285"/>
      <c r="AH127" s="285"/>
      <c r="AI127" s="285"/>
      <c r="AJ127" s="285"/>
      <c r="AK127" s="352"/>
    </row>
    <row r="128" spans="1:37" ht="13.5" customHeight="1" x14ac:dyDescent="0.45">
      <c r="A128" s="618"/>
      <c r="B128" s="258"/>
      <c r="C128" s="329"/>
      <c r="D128" s="329"/>
      <c r="E128" s="329"/>
      <c r="F128" s="329"/>
      <c r="G128" s="329"/>
      <c r="H128" s="259"/>
      <c r="I128" s="259"/>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c r="AH128" s="259"/>
      <c r="AI128" s="259"/>
      <c r="AJ128" s="259"/>
      <c r="AK128" s="425"/>
    </row>
    <row r="129" spans="1:37" ht="13.5" customHeight="1" x14ac:dyDescent="0.45">
      <c r="A129" s="1"/>
      <c r="B129" s="1"/>
      <c r="C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3.5" customHeight="1" x14ac:dyDescent="0.45">
      <c r="A130" s="1"/>
      <c r="B130" s="1"/>
      <c r="C130" s="14" t="s">
        <v>138</v>
      </c>
      <c r="D130" s="6"/>
      <c r="E130" s="6"/>
      <c r="F130" s="6"/>
      <c r="G130" s="6"/>
      <c r="H130" s="618"/>
      <c r="I130" s="618"/>
      <c r="J130" s="618"/>
      <c r="K130" s="618"/>
      <c r="L130" s="618"/>
      <c r="M130" s="618"/>
      <c r="N130" s="618"/>
      <c r="O130" s="618"/>
      <c r="P130" s="1"/>
      <c r="Q130" s="1"/>
      <c r="R130" s="1"/>
      <c r="S130" s="1"/>
      <c r="T130" s="1"/>
      <c r="U130" s="1"/>
      <c r="V130" s="1"/>
      <c r="W130" s="1"/>
      <c r="X130" s="1"/>
      <c r="Y130" s="1"/>
      <c r="Z130" s="1"/>
      <c r="AA130" s="1"/>
      <c r="AB130" s="1"/>
      <c r="AC130" s="1"/>
      <c r="AD130" s="1"/>
      <c r="AE130" s="1"/>
      <c r="AF130" s="1"/>
      <c r="AG130" s="1"/>
      <c r="AH130" s="1"/>
      <c r="AI130" s="1"/>
      <c r="AJ130" s="1"/>
      <c r="AK130" s="1"/>
    </row>
    <row r="131" spans="1:37" ht="13.5" customHeight="1" x14ac:dyDescent="0.45">
      <c r="A131" s="1"/>
      <c r="B131" s="1"/>
      <c r="C131" s="5"/>
      <c r="D131" s="24"/>
      <c r="E131" s="24"/>
      <c r="F131" s="24"/>
      <c r="G131" s="25"/>
      <c r="H131" s="618"/>
      <c r="I131" s="618"/>
      <c r="J131" s="618"/>
      <c r="K131" s="618"/>
      <c r="L131" s="618"/>
      <c r="M131" s="618"/>
      <c r="N131" s="618"/>
      <c r="O131" s="618"/>
      <c r="P131" s="1"/>
      <c r="Q131" s="1"/>
      <c r="R131" s="1"/>
      <c r="S131" s="1"/>
      <c r="T131" s="1"/>
      <c r="U131" s="1"/>
      <c r="V131" s="1"/>
      <c r="W131" s="1"/>
      <c r="X131" s="1"/>
      <c r="Y131" s="1"/>
      <c r="Z131" s="1"/>
      <c r="AA131" s="1"/>
      <c r="AB131" s="1"/>
      <c r="AC131" s="1"/>
      <c r="AD131" s="1"/>
      <c r="AE131" s="1"/>
      <c r="AF131" s="1"/>
      <c r="AG131" s="1"/>
      <c r="AH131" s="1"/>
      <c r="AI131" s="1"/>
      <c r="AJ131" s="1"/>
      <c r="AK131" s="1"/>
    </row>
    <row r="132" spans="1:37" ht="18.75" customHeight="1" x14ac:dyDescent="0.45">
      <c r="A132" s="1"/>
      <c r="B132" s="1"/>
      <c r="C132" s="198" t="s">
        <v>594</v>
      </c>
      <c r="D132" s="202">
        <f>(F132*H132*J132*L132*N132*P132)/(H133*J133*L133*N133*P133)</f>
        <v>2.738070278219731E-2</v>
      </c>
      <c r="E132" s="200" t="s">
        <v>595</v>
      </c>
      <c r="F132" s="16">
        <v>1</v>
      </c>
      <c r="G132" s="201" t="s">
        <v>596</v>
      </c>
      <c r="H132" s="16">
        <v>1</v>
      </c>
      <c r="I132" s="201" t="s">
        <v>597</v>
      </c>
      <c r="J132" s="16">
        <v>1</v>
      </c>
      <c r="K132" s="201" t="s">
        <v>149</v>
      </c>
      <c r="L132" s="16">
        <v>1000</v>
      </c>
      <c r="M132" s="201" t="s">
        <v>150</v>
      </c>
      <c r="N132" s="16">
        <v>1</v>
      </c>
      <c r="O132" s="201" t="s">
        <v>140</v>
      </c>
      <c r="P132" s="1">
        <v>1</v>
      </c>
      <c r="Q132" s="201" t="s">
        <v>598</v>
      </c>
      <c r="R132" s="1"/>
      <c r="S132" s="1"/>
      <c r="T132" s="1"/>
      <c r="U132" s="1"/>
      <c r="V132" s="1"/>
      <c r="W132" s="1"/>
      <c r="X132" s="1"/>
      <c r="Y132" s="1"/>
      <c r="Z132" s="1"/>
      <c r="AA132" s="1"/>
      <c r="AB132" s="1"/>
      <c r="AC132" s="1"/>
      <c r="AD132" s="1"/>
      <c r="AE132" s="1"/>
      <c r="AF132" s="1"/>
      <c r="AG132" s="1"/>
      <c r="AH132" s="1"/>
      <c r="AI132" s="1"/>
      <c r="AJ132" s="1"/>
      <c r="AK132" s="1"/>
    </row>
    <row r="133" spans="1:37" ht="13.5" customHeight="1" x14ac:dyDescent="0.45">
      <c r="A133" s="1"/>
      <c r="B133" s="1"/>
      <c r="C133" s="5"/>
      <c r="D133" s="3"/>
      <c r="E133" s="3"/>
      <c r="F133" s="3"/>
      <c r="G133" s="201" t="s">
        <v>597</v>
      </c>
      <c r="H133" s="16">
        <v>1000</v>
      </c>
      <c r="I133" s="201" t="s">
        <v>149</v>
      </c>
      <c r="J133" s="460">
        <v>6.2897999999999996</v>
      </c>
      <c r="K133" s="201" t="s">
        <v>150</v>
      </c>
      <c r="L133" s="16">
        <v>1</v>
      </c>
      <c r="M133" s="201" t="s">
        <v>140</v>
      </c>
      <c r="N133" s="94">
        <f>D135</f>
        <v>5.8065553845323302E-3</v>
      </c>
      <c r="O133" s="201" t="s">
        <v>152</v>
      </c>
      <c r="P133" s="1">
        <v>1000</v>
      </c>
      <c r="Q133" s="201" t="s">
        <v>596</v>
      </c>
      <c r="R133" s="1"/>
      <c r="S133" s="1"/>
      <c r="T133" s="1"/>
      <c r="U133" s="1"/>
      <c r="V133" s="1"/>
      <c r="W133" s="1"/>
      <c r="X133" s="1"/>
      <c r="Y133" s="1"/>
      <c r="Z133" s="1"/>
      <c r="AA133" s="1"/>
      <c r="AB133" s="1"/>
      <c r="AC133" s="1"/>
      <c r="AD133" s="1"/>
      <c r="AE133" s="1"/>
      <c r="AF133" s="1"/>
      <c r="AG133" s="1"/>
      <c r="AH133" s="1"/>
      <c r="AI133" s="1"/>
      <c r="AJ133" s="1"/>
      <c r="AK133" s="1"/>
    </row>
    <row r="134" spans="1:37" ht="13.5"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22.5" customHeight="1" x14ac:dyDescent="0.45">
      <c r="A135" s="1"/>
      <c r="B135" s="1"/>
      <c r="C135" s="198" t="s">
        <v>151</v>
      </c>
      <c r="D135" s="202">
        <f>(F135*H135*J135*L135*N135)/(H136*J136*L136*N136)</f>
        <v>5.8065553845323302E-3</v>
      </c>
      <c r="E135" s="461" t="s">
        <v>152</v>
      </c>
      <c r="F135" s="16">
        <v>1</v>
      </c>
      <c r="G135" s="201" t="s">
        <v>140</v>
      </c>
      <c r="H135" s="16">
        <v>1000</v>
      </c>
      <c r="I135" s="201" t="s">
        <v>150</v>
      </c>
      <c r="J135" s="16">
        <v>1</v>
      </c>
      <c r="K135" s="201" t="s">
        <v>153</v>
      </c>
      <c r="L135" s="203">
        <v>41.84</v>
      </c>
      <c r="M135" s="201" t="s">
        <v>154</v>
      </c>
      <c r="N135" s="16">
        <v>1</v>
      </c>
      <c r="O135" s="201" t="s">
        <v>152</v>
      </c>
      <c r="P135" s="1"/>
      <c r="Q135" s="1"/>
      <c r="R135" s="1"/>
      <c r="S135" s="1"/>
      <c r="T135" s="1"/>
      <c r="U135" s="1"/>
      <c r="V135" s="1"/>
      <c r="W135" s="1"/>
      <c r="X135" s="1"/>
      <c r="Y135" s="1"/>
      <c r="Z135" s="1"/>
      <c r="AA135" s="1"/>
      <c r="AB135" s="1"/>
      <c r="AC135" s="1"/>
      <c r="AD135" s="1"/>
      <c r="AE135" s="1"/>
      <c r="AF135" s="1"/>
      <c r="AG135" s="1"/>
      <c r="AH135" s="1"/>
      <c r="AI135" s="1"/>
      <c r="AJ135" s="1"/>
      <c r="AK135" s="1"/>
    </row>
    <row r="136" spans="1:37" ht="13.5" customHeight="1" x14ac:dyDescent="0.45">
      <c r="A136" s="1"/>
      <c r="B136" s="1"/>
      <c r="C136" s="5"/>
      <c r="D136" s="3"/>
      <c r="E136" s="3"/>
      <c r="F136" s="3"/>
      <c r="G136" s="3"/>
      <c r="H136" s="16">
        <v>1</v>
      </c>
      <c r="I136" s="201" t="s">
        <v>140</v>
      </c>
      <c r="J136" s="204">
        <v>7.2056490000000002</v>
      </c>
      <c r="K136" s="201" t="s">
        <v>150</v>
      </c>
      <c r="L136" s="16">
        <v>1000</v>
      </c>
      <c r="M136" s="201" t="s">
        <v>153</v>
      </c>
      <c r="N136" s="16">
        <v>1000</v>
      </c>
      <c r="O136" s="201" t="s">
        <v>154</v>
      </c>
      <c r="P136" s="1"/>
      <c r="Q136" s="1"/>
      <c r="R136" s="1"/>
      <c r="S136" s="1"/>
      <c r="T136" s="1"/>
      <c r="U136" s="1"/>
      <c r="V136" s="1"/>
      <c r="W136" s="1"/>
      <c r="X136" s="1"/>
      <c r="Y136" s="1"/>
      <c r="Z136" s="1"/>
      <c r="AA136" s="1"/>
      <c r="AB136" s="1"/>
      <c r="AC136" s="1"/>
      <c r="AD136" s="1"/>
      <c r="AE136" s="1"/>
      <c r="AF136" s="1"/>
      <c r="AG136" s="1"/>
      <c r="AH136" s="1"/>
      <c r="AI136" s="1"/>
      <c r="AJ136" s="1"/>
      <c r="AK136" s="1"/>
    </row>
    <row r="137" spans="1:37" ht="13.5" customHeight="1" x14ac:dyDescent="0.4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75" customHeight="1" x14ac:dyDescent="0.45">
      <c r="A138" s="1"/>
      <c r="B138" s="1"/>
      <c r="C138" s="198" t="s">
        <v>636</v>
      </c>
      <c r="D138" s="462">
        <f>(F138*H138*J138*L138*N138*P138)/(H139*J139*L139*N139*P139)</f>
        <v>28.796298759232286</v>
      </c>
      <c r="E138" s="200" t="s">
        <v>595</v>
      </c>
      <c r="F138" s="16">
        <v>1</v>
      </c>
      <c r="G138" s="201" t="s">
        <v>596</v>
      </c>
      <c r="H138" s="16">
        <v>1</v>
      </c>
      <c r="I138" s="201" t="s">
        <v>597</v>
      </c>
      <c r="J138" s="16">
        <v>1000</v>
      </c>
      <c r="K138" s="201" t="s">
        <v>149</v>
      </c>
      <c r="L138" s="16">
        <v>1000</v>
      </c>
      <c r="M138" s="201" t="s">
        <v>150</v>
      </c>
      <c r="N138" s="16">
        <v>1</v>
      </c>
      <c r="O138" s="201" t="s">
        <v>140</v>
      </c>
      <c r="P138" s="1">
        <v>1</v>
      </c>
      <c r="Q138" s="201" t="s">
        <v>598</v>
      </c>
      <c r="R138" s="1"/>
      <c r="S138" s="1"/>
      <c r="T138" s="1"/>
      <c r="U138" s="1"/>
      <c r="V138" s="1"/>
      <c r="W138" s="1"/>
      <c r="X138" s="1"/>
      <c r="Y138" s="1"/>
      <c r="Z138" s="1"/>
      <c r="AA138" s="1"/>
      <c r="AB138" s="1"/>
      <c r="AC138" s="1"/>
      <c r="AD138" s="1"/>
      <c r="AE138" s="1"/>
      <c r="AF138" s="1"/>
      <c r="AG138" s="1"/>
      <c r="AH138" s="1"/>
      <c r="AI138" s="1"/>
      <c r="AJ138" s="1"/>
      <c r="AK138" s="1"/>
    </row>
    <row r="139" spans="1:37" ht="13.5" customHeight="1" x14ac:dyDescent="0.45">
      <c r="A139" s="1"/>
      <c r="B139" s="1"/>
      <c r="C139" s="5"/>
      <c r="D139" s="3"/>
      <c r="E139" s="3"/>
      <c r="F139" s="3"/>
      <c r="G139" s="201" t="s">
        <v>597</v>
      </c>
      <c r="H139" s="16">
        <v>1000</v>
      </c>
      <c r="I139" s="201" t="s">
        <v>149</v>
      </c>
      <c r="J139" s="17">
        <v>5.9805999999999999</v>
      </c>
      <c r="K139" s="201" t="s">
        <v>150</v>
      </c>
      <c r="L139" s="16">
        <v>1</v>
      </c>
      <c r="M139" s="201" t="s">
        <v>140</v>
      </c>
      <c r="N139" s="94">
        <f>D135</f>
        <v>5.8065553845323302E-3</v>
      </c>
      <c r="O139" s="201" t="s">
        <v>152</v>
      </c>
      <c r="P139" s="1">
        <v>1000</v>
      </c>
      <c r="Q139" s="201" t="s">
        <v>596</v>
      </c>
      <c r="R139" s="1"/>
      <c r="S139" s="1"/>
      <c r="T139" s="1"/>
      <c r="U139" s="1"/>
      <c r="V139" s="1"/>
      <c r="W139" s="1"/>
      <c r="X139" s="1"/>
      <c r="Y139" s="1"/>
      <c r="Z139" s="1"/>
      <c r="AA139" s="1"/>
      <c r="AB139" s="1"/>
      <c r="AC139" s="1"/>
      <c r="AD139" s="1"/>
      <c r="AE139" s="1"/>
      <c r="AF139" s="1"/>
      <c r="AG139" s="1"/>
      <c r="AH139" s="1"/>
      <c r="AI139" s="1"/>
      <c r="AJ139" s="1"/>
      <c r="AK139" s="1"/>
    </row>
    <row r="140" spans="1:37" ht="13.5" customHeight="1" x14ac:dyDescent="0.4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21" customHeight="1" x14ac:dyDescent="0.45">
      <c r="A141" s="1"/>
      <c r="B141" s="1"/>
      <c r="C141" s="198" t="s">
        <v>601</v>
      </c>
      <c r="D141" s="202">
        <f>(F141*H141*J141*L141)/(H142*J142*L142)</f>
        <v>9.9999999999999995E-7</v>
      </c>
      <c r="E141" s="461" t="s">
        <v>595</v>
      </c>
      <c r="F141" s="16">
        <v>1</v>
      </c>
      <c r="G141" s="201" t="s">
        <v>602</v>
      </c>
      <c r="H141" s="16">
        <v>1000</v>
      </c>
      <c r="I141" s="201" t="s">
        <v>154</v>
      </c>
      <c r="J141" s="16">
        <v>1</v>
      </c>
      <c r="K141" s="201" t="s">
        <v>596</v>
      </c>
      <c r="L141" s="1">
        <v>1</v>
      </c>
      <c r="M141" s="201" t="s">
        <v>598</v>
      </c>
      <c r="N141" s="16"/>
      <c r="O141" s="6"/>
      <c r="P141" s="1"/>
      <c r="Q141" s="6"/>
      <c r="R141" s="1"/>
      <c r="S141" s="1"/>
      <c r="T141" s="1"/>
      <c r="U141" s="1"/>
      <c r="V141" s="1"/>
      <c r="W141" s="1"/>
      <c r="X141" s="1"/>
      <c r="Y141" s="1"/>
      <c r="Z141" s="1"/>
      <c r="AA141" s="1"/>
      <c r="AB141" s="1"/>
      <c r="AC141" s="1"/>
      <c r="AD141" s="1"/>
      <c r="AE141" s="1"/>
      <c r="AF141" s="1"/>
      <c r="AG141" s="1"/>
      <c r="AH141" s="1"/>
      <c r="AI141" s="1"/>
      <c r="AJ141" s="1"/>
      <c r="AK141" s="1"/>
    </row>
    <row r="142" spans="1:37" ht="13.5" customHeight="1" x14ac:dyDescent="0.45">
      <c r="A142" s="1"/>
      <c r="B142" s="1"/>
      <c r="C142" s="5"/>
      <c r="D142" s="3"/>
      <c r="E142" s="3"/>
      <c r="F142" s="3"/>
      <c r="G142" s="201" t="s">
        <v>154</v>
      </c>
      <c r="H142" s="16">
        <v>1</v>
      </c>
      <c r="I142" s="201" t="s">
        <v>152</v>
      </c>
      <c r="J142" s="13">
        <v>1000000</v>
      </c>
      <c r="K142" s="201" t="s">
        <v>602</v>
      </c>
      <c r="L142" s="1">
        <v>1000</v>
      </c>
      <c r="M142" s="201" t="s">
        <v>596</v>
      </c>
      <c r="N142" s="94"/>
      <c r="O142" s="6"/>
      <c r="P142" s="1"/>
      <c r="Q142" s="6"/>
      <c r="R142" s="1"/>
      <c r="S142" s="1"/>
      <c r="T142" s="1"/>
      <c r="U142" s="1"/>
      <c r="V142" s="1"/>
      <c r="W142" s="1"/>
      <c r="X142" s="1"/>
      <c r="Y142" s="1"/>
      <c r="Z142" s="1"/>
      <c r="AA142" s="1"/>
      <c r="AB142" s="1"/>
      <c r="AC142" s="1"/>
      <c r="AD142" s="1"/>
      <c r="AE142" s="1"/>
      <c r="AF142" s="1"/>
      <c r="AG142" s="1"/>
      <c r="AH142" s="1"/>
      <c r="AI142" s="1"/>
      <c r="AJ142" s="1"/>
      <c r="AK142" s="1"/>
    </row>
    <row r="143" spans="1:37" ht="13.5"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3.5"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3.5"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3.5"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3.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3.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3.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3.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3.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3.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3.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3.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3.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3.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3.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3.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3.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3.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3.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3.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3.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3.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3.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3.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3.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3.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3.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3.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3.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3.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3.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3.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3.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3.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3.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3.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3.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3.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3.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3.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3.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3.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3.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3.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3.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3.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3.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3.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3.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3.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3.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3.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3.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3.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3.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3.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3.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3.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3.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3.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3.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3.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3.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3.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3.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3.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3.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3.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3.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3.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3.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3.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3.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3.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3.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3.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3.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3.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3.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3.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3.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3.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3.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3.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3.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3.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3.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3.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3.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3.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3.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3.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3.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3.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3.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3.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3.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3.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3.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3.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3.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3.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3.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3.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3.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3.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3.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3.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3.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3.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3.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3.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3.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3.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3.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3.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3.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3.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3.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3.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3.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3.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3.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3.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3.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3.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3.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3.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3.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3.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3.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3.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3.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3.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3.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3.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3.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3.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3.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3.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3.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3.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3.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3.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3.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3.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3.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3.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3.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3.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3.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3.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3.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3.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3.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3.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3.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3.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3.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3.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3.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3.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3.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3.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3.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3.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3.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3.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3.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3.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3.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3.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3.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3.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3.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3.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3.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3.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3.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3.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3.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3.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3.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4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spans="1:37" ht="15.75" customHeight="1" x14ac:dyDescent="0.4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spans="1:37" ht="15.75" customHeight="1" x14ac:dyDescent="0.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spans="1:37" ht="15.75" customHeight="1" x14ac:dyDescent="0.4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spans="1:37" ht="15.75" customHeight="1" x14ac:dyDescent="0.4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spans="1:37" ht="15.75" customHeight="1" x14ac:dyDescent="0.4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spans="1:37" ht="15.75" customHeight="1" x14ac:dyDescent="0.4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spans="1:37" ht="15.75" customHeight="1" x14ac:dyDescent="0.4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spans="1:37" ht="15.75" customHeight="1" x14ac:dyDescent="0.4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spans="1:37" ht="15.75" customHeight="1" x14ac:dyDescent="0.4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spans="1:37" ht="15.75" customHeight="1" x14ac:dyDescent="0.4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row>
    <row r="354" spans="1:37" ht="15.75" customHeight="1" x14ac:dyDescent="0.4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row>
    <row r="355" spans="1:37" ht="15.75" customHeight="1" x14ac:dyDescent="0.45"/>
    <row r="356" spans="1:37" ht="15.75" customHeight="1" x14ac:dyDescent="0.45"/>
    <row r="357" spans="1:37" ht="15.75" customHeight="1" x14ac:dyDescent="0.45"/>
    <row r="358" spans="1:37" ht="15.75" customHeight="1" x14ac:dyDescent="0.45"/>
    <row r="359" spans="1:37" ht="15.75" customHeight="1" x14ac:dyDescent="0.45"/>
    <row r="360" spans="1:37" ht="15.75" customHeight="1" x14ac:dyDescent="0.45"/>
    <row r="361" spans="1:37" ht="15.75" customHeight="1" x14ac:dyDescent="0.45"/>
    <row r="362" spans="1:37" ht="15.75" customHeight="1" x14ac:dyDescent="0.45"/>
    <row r="363" spans="1:37" ht="15.75" customHeight="1" x14ac:dyDescent="0.45"/>
    <row r="364" spans="1:37" ht="15.75" customHeight="1" x14ac:dyDescent="0.45"/>
    <row r="365" spans="1:37" ht="15.75" customHeight="1" x14ac:dyDescent="0.45"/>
    <row r="366" spans="1:37" ht="15.75" customHeight="1" x14ac:dyDescent="0.45"/>
    <row r="367" spans="1:37" ht="15.75" customHeight="1" x14ac:dyDescent="0.45"/>
    <row r="368" spans="1:37"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sheetData>
  <mergeCells count="2">
    <mergeCell ref="E31:E35"/>
    <mergeCell ref="H122:J122"/>
  </mergeCells>
  <hyperlinks>
    <hyperlink ref="J133" r:id="rId1" display="https://biblioteca.olade.org/opac-tmpl/Documentos/old0380.pdf" xr:uid="{00000000-0004-0000-0800-000000000000}"/>
    <hyperlink ref="L135" r:id="rId2" display="https://biblioteca.olade.org/opac-tmpl/Documentos/old0380.pdf" xr:uid="{00000000-0004-0000-0800-000001000000}"/>
    <hyperlink ref="J136" r:id="rId3" display="https://biblioteca.olade.org/opac-tmpl/Documentos/old0380.pdf" xr:uid="{00000000-0004-0000-0800-000002000000}"/>
    <hyperlink ref="J139" r:id="rId4" display="https://biblioteca.olade.org/opac-tmpl/Documentos/old0380.pdf" xr:uid="{00000000-0004-0000-0800-000003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000"/>
  <sheetViews>
    <sheetView workbookViewId="0"/>
  </sheetViews>
  <sheetFormatPr defaultColWidth="12.69140625" defaultRowHeight="15" customHeight="1" x14ac:dyDescent="0.45"/>
  <cols>
    <col min="1" max="1" width="8.3828125" customWidth="1"/>
    <col min="2" max="2" width="2.3828125" customWidth="1"/>
    <col min="3" max="3" width="47.23046875" customWidth="1"/>
    <col min="4" max="37" width="8.3828125" customWidth="1"/>
  </cols>
  <sheetData>
    <row r="1" spans="1:37" ht="13.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3.5" customHeight="1" x14ac:dyDescent="0.45">
      <c r="A2" s="618"/>
      <c r="B2" s="618"/>
      <c r="C2" s="5"/>
      <c r="D2" s="618"/>
      <c r="E2" s="618"/>
      <c r="F2" s="618"/>
      <c r="G2" s="618"/>
      <c r="H2" s="618"/>
      <c r="I2" s="618"/>
      <c r="J2" s="618"/>
      <c r="K2" s="618"/>
      <c r="L2" s="618"/>
      <c r="M2" s="618"/>
      <c r="N2" s="618"/>
      <c r="O2" s="618"/>
      <c r="P2" s="618"/>
      <c r="Q2" s="618"/>
      <c r="R2" s="618"/>
      <c r="S2" s="618"/>
      <c r="T2" s="618"/>
      <c r="U2" s="618"/>
      <c r="V2" s="618"/>
      <c r="W2" s="618"/>
      <c r="X2" s="618"/>
      <c r="Y2" s="618"/>
      <c r="Z2" s="618"/>
      <c r="AA2" s="618"/>
      <c r="AB2" s="618"/>
      <c r="AC2" s="618"/>
      <c r="AD2" s="618"/>
      <c r="AE2" s="618"/>
      <c r="AF2" s="618"/>
      <c r="AG2" s="618"/>
      <c r="AH2" s="618"/>
      <c r="AI2" s="618"/>
      <c r="AJ2" s="618"/>
      <c r="AK2" s="618"/>
    </row>
    <row r="3" spans="1:37" ht="13.5" customHeight="1" x14ac:dyDescent="0.45">
      <c r="A3" s="618"/>
      <c r="B3" s="7"/>
      <c r="C3" s="103"/>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9"/>
    </row>
    <row r="4" spans="1:37" ht="13.5" customHeight="1" x14ac:dyDescent="0.45">
      <c r="A4" s="618"/>
      <c r="B4" s="106"/>
      <c r="C4" s="107" t="s">
        <v>20</v>
      </c>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4"/>
    </row>
    <row r="5" spans="1:37" ht="13.5" customHeight="1" x14ac:dyDescent="0.45">
      <c r="A5" s="618"/>
      <c r="B5" s="106"/>
      <c r="C5" s="419" t="s">
        <v>637</v>
      </c>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4"/>
    </row>
    <row r="6" spans="1:37" ht="13.5" customHeight="1" x14ac:dyDescent="0.45">
      <c r="A6" s="642">
        <v>1</v>
      </c>
      <c r="B6" s="106"/>
      <c r="C6" s="115" t="s">
        <v>638</v>
      </c>
      <c r="D6" s="116">
        <v>12.063902130000001</v>
      </c>
      <c r="E6" s="116">
        <v>13.0199</v>
      </c>
      <c r="F6" s="116">
        <v>10.093</v>
      </c>
      <c r="G6" s="116">
        <f t="shared" ref="G6:AJ6" si="0">AVERAGE(D6:F6)</f>
        <v>11.72560071</v>
      </c>
      <c r="H6" s="116">
        <f t="shared" si="0"/>
        <v>11.612833569999999</v>
      </c>
      <c r="I6" s="116">
        <f t="shared" si="0"/>
        <v>11.143811426666666</v>
      </c>
      <c r="J6" s="116">
        <f t="shared" si="0"/>
        <v>11.494081902222222</v>
      </c>
      <c r="K6" s="116">
        <f t="shared" si="0"/>
        <v>11.416908966296296</v>
      </c>
      <c r="L6" s="116">
        <f t="shared" si="0"/>
        <v>11.351600765061727</v>
      </c>
      <c r="M6" s="116">
        <f t="shared" si="0"/>
        <v>11.42086387786008</v>
      </c>
      <c r="N6" s="116">
        <f t="shared" si="0"/>
        <v>11.396457869739367</v>
      </c>
      <c r="O6" s="116">
        <f t="shared" si="0"/>
        <v>11.389640837553726</v>
      </c>
      <c r="P6" s="116">
        <f t="shared" si="0"/>
        <v>11.402320861717724</v>
      </c>
      <c r="Q6" s="116">
        <f t="shared" si="0"/>
        <v>11.396139856336939</v>
      </c>
      <c r="R6" s="116">
        <f t="shared" si="0"/>
        <v>11.396033851869463</v>
      </c>
      <c r="S6" s="116">
        <f t="shared" si="0"/>
        <v>11.398164856641374</v>
      </c>
      <c r="T6" s="116">
        <f t="shared" si="0"/>
        <v>11.396779521615926</v>
      </c>
      <c r="U6" s="116">
        <f t="shared" si="0"/>
        <v>11.396992743375586</v>
      </c>
      <c r="V6" s="116">
        <f t="shared" si="0"/>
        <v>11.397312373877627</v>
      </c>
      <c r="W6" s="116">
        <f t="shared" si="0"/>
        <v>11.397028212956378</v>
      </c>
      <c r="X6" s="116">
        <f t="shared" si="0"/>
        <v>11.397111110069863</v>
      </c>
      <c r="Y6" s="116">
        <f t="shared" si="0"/>
        <v>11.397150565634623</v>
      </c>
      <c r="Z6" s="116">
        <f t="shared" si="0"/>
        <v>11.397096629553623</v>
      </c>
      <c r="AA6" s="116">
        <f t="shared" si="0"/>
        <v>11.397119435086035</v>
      </c>
      <c r="AB6" s="116">
        <f t="shared" si="0"/>
        <v>11.397122210091426</v>
      </c>
      <c r="AC6" s="116">
        <f t="shared" si="0"/>
        <v>11.397112758243694</v>
      </c>
      <c r="AD6" s="116">
        <f t="shared" si="0"/>
        <v>11.39711813447372</v>
      </c>
      <c r="AE6" s="116">
        <f t="shared" si="0"/>
        <v>11.397117700936279</v>
      </c>
      <c r="AF6" s="116">
        <f t="shared" si="0"/>
        <v>11.397116197884564</v>
      </c>
      <c r="AG6" s="116">
        <f t="shared" si="0"/>
        <v>11.397117344431521</v>
      </c>
      <c r="AH6" s="116">
        <f t="shared" si="0"/>
        <v>11.39711708108412</v>
      </c>
      <c r="AI6" s="116">
        <f t="shared" si="0"/>
        <v>11.397116874466734</v>
      </c>
      <c r="AJ6" s="116">
        <f t="shared" si="0"/>
        <v>11.397117099994125</v>
      </c>
      <c r="AK6" s="184"/>
    </row>
    <row r="7" spans="1:37" ht="13.5" customHeight="1" x14ac:dyDescent="0.45">
      <c r="A7" s="622"/>
      <c r="B7" s="106"/>
      <c r="C7" s="115" t="s">
        <v>639</v>
      </c>
      <c r="D7" s="116">
        <v>10.98401215</v>
      </c>
      <c r="E7" s="116">
        <v>13.8933</v>
      </c>
      <c r="F7" s="116">
        <v>13.0825</v>
      </c>
      <c r="G7" s="116">
        <f t="shared" ref="G7:AJ7" si="1">AVERAGE(D7:F7)</f>
        <v>12.653270716666668</v>
      </c>
      <c r="H7" s="116">
        <f t="shared" si="1"/>
        <v>13.209690238888889</v>
      </c>
      <c r="I7" s="116">
        <f t="shared" si="1"/>
        <v>12.981820318518521</v>
      </c>
      <c r="J7" s="116">
        <f t="shared" si="1"/>
        <v>12.948260424691361</v>
      </c>
      <c r="K7" s="116">
        <f t="shared" si="1"/>
        <v>13.046590327366259</v>
      </c>
      <c r="L7" s="116">
        <f t="shared" si="1"/>
        <v>12.992223690192047</v>
      </c>
      <c r="M7" s="116">
        <f t="shared" si="1"/>
        <v>12.995691480749889</v>
      </c>
      <c r="N7" s="116">
        <f t="shared" si="1"/>
        <v>13.011501832769397</v>
      </c>
      <c r="O7" s="116">
        <f t="shared" si="1"/>
        <v>12.999805667903777</v>
      </c>
      <c r="P7" s="116">
        <f t="shared" si="1"/>
        <v>13.002332993807689</v>
      </c>
      <c r="Q7" s="116">
        <f t="shared" si="1"/>
        <v>13.004546831493622</v>
      </c>
      <c r="R7" s="116">
        <f t="shared" si="1"/>
        <v>13.002228497735031</v>
      </c>
      <c r="S7" s="116">
        <f t="shared" si="1"/>
        <v>13.003036107678781</v>
      </c>
      <c r="T7" s="116">
        <f t="shared" si="1"/>
        <v>13.003270478969144</v>
      </c>
      <c r="U7" s="116">
        <f t="shared" si="1"/>
        <v>13.002845028127652</v>
      </c>
      <c r="V7" s="116">
        <f t="shared" si="1"/>
        <v>13.003050538258526</v>
      </c>
      <c r="W7" s="116">
        <f t="shared" si="1"/>
        <v>13.003055348451774</v>
      </c>
      <c r="X7" s="116">
        <f t="shared" si="1"/>
        <v>13.002983638279318</v>
      </c>
      <c r="Y7" s="116">
        <f t="shared" si="1"/>
        <v>13.003029841663206</v>
      </c>
      <c r="Z7" s="116">
        <f t="shared" si="1"/>
        <v>13.003022942798099</v>
      </c>
      <c r="AA7" s="116">
        <f t="shared" si="1"/>
        <v>13.00301214091354</v>
      </c>
      <c r="AB7" s="116">
        <f t="shared" si="1"/>
        <v>13.003021641791614</v>
      </c>
      <c r="AC7" s="116">
        <f t="shared" si="1"/>
        <v>13.003018908501083</v>
      </c>
      <c r="AD7" s="116">
        <f t="shared" si="1"/>
        <v>13.003017563735412</v>
      </c>
      <c r="AE7" s="116">
        <f t="shared" si="1"/>
        <v>13.003019371342702</v>
      </c>
      <c r="AF7" s="116">
        <f t="shared" si="1"/>
        <v>13.003018614526399</v>
      </c>
      <c r="AG7" s="116">
        <f t="shared" si="1"/>
        <v>13.003018516534837</v>
      </c>
      <c r="AH7" s="116">
        <f t="shared" si="1"/>
        <v>13.003018834134645</v>
      </c>
      <c r="AI7" s="116">
        <f t="shared" si="1"/>
        <v>13.003018655065292</v>
      </c>
      <c r="AJ7" s="116">
        <f t="shared" si="1"/>
        <v>13.003018668578257</v>
      </c>
      <c r="AK7" s="184"/>
    </row>
    <row r="8" spans="1:37" ht="13.5" customHeight="1" x14ac:dyDescent="0.45">
      <c r="A8" s="622"/>
      <c r="B8" s="106"/>
      <c r="C8" s="115" t="s">
        <v>640</v>
      </c>
      <c r="D8" s="116">
        <v>3.4628884389999999</v>
      </c>
      <c r="E8" s="116">
        <v>3.3956900000000001</v>
      </c>
      <c r="F8" s="116">
        <v>3.0583999999999998</v>
      </c>
      <c r="G8" s="116">
        <f t="shared" ref="G8:AJ8" si="2">AVERAGE(D8:F8)</f>
        <v>3.3056594796666672</v>
      </c>
      <c r="H8" s="116">
        <f t="shared" si="2"/>
        <v>3.2532498265555554</v>
      </c>
      <c r="I8" s="116">
        <f t="shared" si="2"/>
        <v>3.2057697687407405</v>
      </c>
      <c r="J8" s="116">
        <f t="shared" si="2"/>
        <v>3.2548930249876542</v>
      </c>
      <c r="K8" s="116">
        <f t="shared" si="2"/>
        <v>3.2379708734279831</v>
      </c>
      <c r="L8" s="116">
        <f t="shared" si="2"/>
        <v>3.2328778890521259</v>
      </c>
      <c r="M8" s="116">
        <f t="shared" si="2"/>
        <v>3.2419139291559209</v>
      </c>
      <c r="N8" s="116">
        <f t="shared" si="2"/>
        <v>3.2375875638786766</v>
      </c>
      <c r="O8" s="116">
        <f t="shared" si="2"/>
        <v>3.2374597940289078</v>
      </c>
      <c r="P8" s="116">
        <f t="shared" si="2"/>
        <v>3.2389870956878348</v>
      </c>
      <c r="Q8" s="116">
        <f t="shared" si="2"/>
        <v>3.2380114845318064</v>
      </c>
      <c r="R8" s="116">
        <f t="shared" si="2"/>
        <v>3.2381527914161832</v>
      </c>
      <c r="S8" s="116">
        <f t="shared" si="2"/>
        <v>3.2383837905452748</v>
      </c>
      <c r="T8" s="116">
        <f t="shared" si="2"/>
        <v>3.2381826888310883</v>
      </c>
      <c r="U8" s="116">
        <f t="shared" si="2"/>
        <v>3.2382397569308488</v>
      </c>
      <c r="V8" s="116">
        <f t="shared" si="2"/>
        <v>3.2382687454357373</v>
      </c>
      <c r="W8" s="116">
        <f t="shared" si="2"/>
        <v>3.2382303970658914</v>
      </c>
      <c r="X8" s="116">
        <f t="shared" si="2"/>
        <v>3.2382462998108257</v>
      </c>
      <c r="Y8" s="116">
        <f t="shared" si="2"/>
        <v>3.2382484807708178</v>
      </c>
      <c r="Z8" s="116">
        <f t="shared" si="2"/>
        <v>3.2382417258825118</v>
      </c>
      <c r="AA8" s="116">
        <f t="shared" si="2"/>
        <v>3.2382455021547187</v>
      </c>
      <c r="AB8" s="116">
        <f t="shared" si="2"/>
        <v>3.2382452362693495</v>
      </c>
      <c r="AC8" s="116">
        <f t="shared" si="2"/>
        <v>3.2382441547688603</v>
      </c>
      <c r="AD8" s="116">
        <f t="shared" si="2"/>
        <v>3.238244964397643</v>
      </c>
      <c r="AE8" s="116">
        <f t="shared" si="2"/>
        <v>3.2382447851452842</v>
      </c>
      <c r="AF8" s="116">
        <f t="shared" si="2"/>
        <v>3.2382446347705955</v>
      </c>
      <c r="AG8" s="116">
        <f t="shared" si="2"/>
        <v>3.2382447947711746</v>
      </c>
      <c r="AH8" s="116">
        <f t="shared" si="2"/>
        <v>3.2382447382290178</v>
      </c>
      <c r="AI8" s="116">
        <f t="shared" si="2"/>
        <v>3.2382447225902626</v>
      </c>
      <c r="AJ8" s="116">
        <f t="shared" si="2"/>
        <v>3.2382447518634851</v>
      </c>
      <c r="AK8" s="184"/>
    </row>
    <row r="9" spans="1:37" ht="13.5" customHeight="1" x14ac:dyDescent="0.45">
      <c r="A9" s="622"/>
      <c r="B9" s="106"/>
      <c r="C9" s="115" t="s">
        <v>641</v>
      </c>
      <c r="D9" s="116">
        <v>0.80418051499999998</v>
      </c>
      <c r="E9" s="116">
        <v>0.78913</v>
      </c>
      <c r="F9" s="116">
        <v>0.55557000000000001</v>
      </c>
      <c r="G9" s="116">
        <f t="shared" ref="G9:AJ9" si="3">AVERAGE(D9:F9)</f>
        <v>0.716293505</v>
      </c>
      <c r="H9" s="116">
        <f t="shared" si="3"/>
        <v>0.686997835</v>
      </c>
      <c r="I9" s="116">
        <f t="shared" si="3"/>
        <v>0.65295377999999993</v>
      </c>
      <c r="J9" s="116">
        <f t="shared" si="3"/>
        <v>0.68541503999999998</v>
      </c>
      <c r="K9" s="116">
        <f t="shared" si="3"/>
        <v>0.6751222183333333</v>
      </c>
      <c r="L9" s="116">
        <f t="shared" si="3"/>
        <v>0.67116367944444433</v>
      </c>
      <c r="M9" s="116">
        <f t="shared" si="3"/>
        <v>0.67723364592592583</v>
      </c>
      <c r="N9" s="116">
        <f t="shared" si="3"/>
        <v>0.67450651456790123</v>
      </c>
      <c r="O9" s="116">
        <f t="shared" si="3"/>
        <v>0.6743012799794238</v>
      </c>
      <c r="P9" s="116">
        <f t="shared" si="3"/>
        <v>0.67534714682441699</v>
      </c>
      <c r="Q9" s="116">
        <f t="shared" si="3"/>
        <v>0.67471831379058067</v>
      </c>
      <c r="R9" s="116">
        <f t="shared" si="3"/>
        <v>0.67478891353147386</v>
      </c>
      <c r="S9" s="116">
        <f t="shared" si="3"/>
        <v>0.67495145804882384</v>
      </c>
      <c r="T9" s="116">
        <f t="shared" si="3"/>
        <v>0.67481956179029279</v>
      </c>
      <c r="U9" s="116">
        <f t="shared" si="3"/>
        <v>0.6748533111235302</v>
      </c>
      <c r="V9" s="116">
        <f t="shared" si="3"/>
        <v>0.67487477698754894</v>
      </c>
      <c r="W9" s="116">
        <f t="shared" si="3"/>
        <v>0.67484921663379061</v>
      </c>
      <c r="X9" s="116">
        <f t="shared" si="3"/>
        <v>0.67485910158162321</v>
      </c>
      <c r="Y9" s="116">
        <f t="shared" si="3"/>
        <v>0.67486103173432088</v>
      </c>
      <c r="Z9" s="116">
        <f t="shared" si="3"/>
        <v>0.6748564499832449</v>
      </c>
      <c r="AA9" s="116">
        <f t="shared" si="3"/>
        <v>0.6748588610997297</v>
      </c>
      <c r="AB9" s="116">
        <f t="shared" si="3"/>
        <v>0.67485878093909857</v>
      </c>
      <c r="AC9" s="116">
        <f t="shared" si="3"/>
        <v>0.6748580306740245</v>
      </c>
      <c r="AD9" s="116">
        <f t="shared" si="3"/>
        <v>0.67485855757095103</v>
      </c>
      <c r="AE9" s="116">
        <f t="shared" si="3"/>
        <v>0.67485845639469133</v>
      </c>
      <c r="AF9" s="116">
        <f t="shared" si="3"/>
        <v>0.67485834821322221</v>
      </c>
      <c r="AG9" s="116">
        <f t="shared" si="3"/>
        <v>0.67485845405962153</v>
      </c>
      <c r="AH9" s="116">
        <f t="shared" si="3"/>
        <v>0.67485841955584502</v>
      </c>
      <c r="AI9" s="116">
        <f t="shared" si="3"/>
        <v>0.67485840727622959</v>
      </c>
      <c r="AJ9" s="116">
        <f t="shared" si="3"/>
        <v>0.67485842696389875</v>
      </c>
      <c r="AK9" s="184"/>
    </row>
    <row r="10" spans="1:37" ht="13.5" customHeight="1" x14ac:dyDescent="0.45">
      <c r="A10" s="622"/>
      <c r="B10" s="106"/>
      <c r="C10" s="115" t="s">
        <v>642</v>
      </c>
      <c r="D10" s="116">
        <v>16.109515869999999</v>
      </c>
      <c r="E10" s="116">
        <v>16.086500000000001</v>
      </c>
      <c r="F10" s="116">
        <v>12.6517</v>
      </c>
      <c r="G10" s="116">
        <f t="shared" ref="G10:AJ10" si="4">AVERAGE(D10:F10)</f>
        <v>14.949238623333331</v>
      </c>
      <c r="H10" s="116">
        <f t="shared" si="4"/>
        <v>14.562479541111109</v>
      </c>
      <c r="I10" s="116">
        <f t="shared" si="4"/>
        <v>14.05447272148148</v>
      </c>
      <c r="J10" s="116">
        <f t="shared" si="4"/>
        <v>14.522063628641973</v>
      </c>
      <c r="K10" s="116">
        <f t="shared" si="4"/>
        <v>14.379671963744855</v>
      </c>
      <c r="L10" s="116">
        <f t="shared" si="4"/>
        <v>14.31873610462277</v>
      </c>
      <c r="M10" s="116">
        <f t="shared" si="4"/>
        <v>14.4068238990032</v>
      </c>
      <c r="N10" s="116">
        <f t="shared" si="4"/>
        <v>14.368410655790276</v>
      </c>
      <c r="O10" s="116">
        <f t="shared" si="4"/>
        <v>14.364656886472083</v>
      </c>
      <c r="P10" s="116">
        <f t="shared" si="4"/>
        <v>14.379963813755188</v>
      </c>
      <c r="Q10" s="116">
        <f t="shared" si="4"/>
        <v>14.37101045200585</v>
      </c>
      <c r="R10" s="116">
        <f t="shared" si="4"/>
        <v>14.371877050744374</v>
      </c>
      <c r="S10" s="116">
        <f t="shared" si="4"/>
        <v>14.37428377216847</v>
      </c>
      <c r="T10" s="116">
        <f t="shared" si="4"/>
        <v>14.372390424972897</v>
      </c>
      <c r="U10" s="116">
        <f t="shared" si="4"/>
        <v>14.372850415961913</v>
      </c>
      <c r="V10" s="116">
        <f t="shared" si="4"/>
        <v>14.373174871034427</v>
      </c>
      <c r="W10" s="116">
        <f t="shared" si="4"/>
        <v>14.37280523732308</v>
      </c>
      <c r="X10" s="116">
        <f t="shared" si="4"/>
        <v>14.372943508106474</v>
      </c>
      <c r="Y10" s="116">
        <f t="shared" si="4"/>
        <v>14.372974538821326</v>
      </c>
      <c r="Z10" s="116">
        <f t="shared" si="4"/>
        <v>14.372907761416959</v>
      </c>
      <c r="AA10" s="116">
        <f t="shared" si="4"/>
        <v>14.37294193611492</v>
      </c>
      <c r="AB10" s="116">
        <f t="shared" si="4"/>
        <v>14.372941412117735</v>
      </c>
      <c r="AC10" s="116">
        <f t="shared" si="4"/>
        <v>14.372930369883205</v>
      </c>
      <c r="AD10" s="116">
        <f t="shared" si="4"/>
        <v>14.37293790603862</v>
      </c>
      <c r="AE10" s="116">
        <f t="shared" si="4"/>
        <v>14.372936562679854</v>
      </c>
      <c r="AF10" s="116">
        <f t="shared" si="4"/>
        <v>14.372934946200559</v>
      </c>
      <c r="AG10" s="116">
        <f t="shared" si="4"/>
        <v>14.372936471639678</v>
      </c>
      <c r="AH10" s="116">
        <f t="shared" si="4"/>
        <v>14.372935993506696</v>
      </c>
      <c r="AI10" s="116">
        <f t="shared" si="4"/>
        <v>14.37293580378231</v>
      </c>
      <c r="AJ10" s="116">
        <f t="shared" si="4"/>
        <v>14.372936089642893</v>
      </c>
      <c r="AK10" s="184"/>
    </row>
    <row r="11" spans="1:37" ht="13.5" customHeight="1" x14ac:dyDescent="0.45">
      <c r="A11" s="618"/>
      <c r="B11" s="106"/>
      <c r="C11" s="115" t="s">
        <v>643</v>
      </c>
      <c r="D11" s="162"/>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84"/>
    </row>
    <row r="12" spans="1:37" ht="13.5" customHeight="1" x14ac:dyDescent="0.45">
      <c r="A12" s="618"/>
      <c r="B12" s="106"/>
      <c r="C12" s="115" t="s">
        <v>98</v>
      </c>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84"/>
    </row>
    <row r="13" spans="1:37" ht="13.5" customHeight="1" x14ac:dyDescent="0.45">
      <c r="A13" s="618"/>
      <c r="B13" s="106"/>
      <c r="C13" s="115" t="s">
        <v>644</v>
      </c>
      <c r="D13" s="116">
        <f t="shared" ref="D13:AJ13" si="5">SUM(D6:D10)</f>
        <v>43.424499103999999</v>
      </c>
      <c r="E13" s="116">
        <f t="shared" si="5"/>
        <v>47.184519999999999</v>
      </c>
      <c r="F13" s="116">
        <f t="shared" si="5"/>
        <v>39.44117</v>
      </c>
      <c r="G13" s="116">
        <f t="shared" si="5"/>
        <v>43.350063034666668</v>
      </c>
      <c r="H13" s="116">
        <f t="shared" si="5"/>
        <v>43.325251011555551</v>
      </c>
      <c r="I13" s="116">
        <f t="shared" si="5"/>
        <v>42.038828015407411</v>
      </c>
      <c r="J13" s="116">
        <f t="shared" si="5"/>
        <v>42.90471402054321</v>
      </c>
      <c r="K13" s="116">
        <f t="shared" si="5"/>
        <v>42.756264349168724</v>
      </c>
      <c r="L13" s="116">
        <f t="shared" si="5"/>
        <v>42.566602128373113</v>
      </c>
      <c r="M13" s="116">
        <f t="shared" si="5"/>
        <v>42.74252683269502</v>
      </c>
      <c r="N13" s="116">
        <f t="shared" si="5"/>
        <v>42.688464436745619</v>
      </c>
      <c r="O13" s="116">
        <f t="shared" si="5"/>
        <v>42.665864465937915</v>
      </c>
      <c r="P13" s="116">
        <f t="shared" si="5"/>
        <v>42.698951911792854</v>
      </c>
      <c r="Q13" s="116">
        <f t="shared" si="5"/>
        <v>42.684426938158801</v>
      </c>
      <c r="R13" s="116">
        <f t="shared" si="5"/>
        <v>42.683081105296523</v>
      </c>
      <c r="S13" s="116">
        <f t="shared" si="5"/>
        <v>42.688819985082723</v>
      </c>
      <c r="T13" s="116">
        <f t="shared" si="5"/>
        <v>42.685442676179349</v>
      </c>
      <c r="U13" s="116">
        <f t="shared" si="5"/>
        <v>42.68578125551953</v>
      </c>
      <c r="V13" s="116">
        <f t="shared" si="5"/>
        <v>42.686681305593865</v>
      </c>
      <c r="W13" s="116">
        <f t="shared" si="5"/>
        <v>42.685968412430917</v>
      </c>
      <c r="X13" s="116">
        <f t="shared" si="5"/>
        <v>42.686143657848106</v>
      </c>
      <c r="Y13" s="116">
        <f t="shared" si="5"/>
        <v>42.686264458624294</v>
      </c>
      <c r="Z13" s="116">
        <f t="shared" si="5"/>
        <v>42.686125509634437</v>
      </c>
      <c r="AA13" s="116">
        <f t="shared" si="5"/>
        <v>42.686177875368941</v>
      </c>
      <c r="AB13" s="116">
        <f t="shared" si="5"/>
        <v>42.686189281209224</v>
      </c>
      <c r="AC13" s="116">
        <f t="shared" si="5"/>
        <v>42.686164222070865</v>
      </c>
      <c r="AD13" s="116">
        <f t="shared" si="5"/>
        <v>42.68617712621635</v>
      </c>
      <c r="AE13" s="116">
        <f t="shared" si="5"/>
        <v>42.686176876498806</v>
      </c>
      <c r="AF13" s="116">
        <f t="shared" si="5"/>
        <v>42.686172741595335</v>
      </c>
      <c r="AG13" s="116">
        <f t="shared" si="5"/>
        <v>42.686175581436828</v>
      </c>
      <c r="AH13" s="116">
        <f t="shared" si="5"/>
        <v>42.686175066510323</v>
      </c>
      <c r="AI13" s="116">
        <f t="shared" si="5"/>
        <v>42.686174463180826</v>
      </c>
      <c r="AJ13" s="116">
        <f t="shared" si="5"/>
        <v>42.686175037042659</v>
      </c>
      <c r="AK13" s="184"/>
    </row>
    <row r="14" spans="1:37" ht="13.5" customHeight="1" x14ac:dyDescent="0.45">
      <c r="A14" s="618"/>
      <c r="B14" s="106"/>
      <c r="C14" s="32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4"/>
    </row>
    <row r="15" spans="1:37" ht="13.5" customHeight="1" x14ac:dyDescent="0.45">
      <c r="A15" s="618"/>
      <c r="B15" s="106"/>
      <c r="C15" s="419" t="s">
        <v>645</v>
      </c>
      <c r="D15" s="183"/>
      <c r="E15" s="183"/>
      <c r="F15" s="183"/>
      <c r="G15" s="183"/>
      <c r="H15" s="183"/>
      <c r="I15" s="183"/>
      <c r="J15" s="183"/>
      <c r="K15" s="183"/>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AJ15" s="183"/>
      <c r="AK15" s="184"/>
    </row>
    <row r="16" spans="1:37" ht="13.5" customHeight="1" x14ac:dyDescent="0.45">
      <c r="A16" s="618"/>
      <c r="B16" s="106"/>
      <c r="C16" s="115" t="s">
        <v>638</v>
      </c>
      <c r="D16" s="162"/>
      <c r="E16" s="162"/>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84"/>
    </row>
    <row r="17" spans="1:37" ht="13.5" customHeight="1" x14ac:dyDescent="0.45">
      <c r="A17" s="618"/>
      <c r="B17" s="106"/>
      <c r="C17" s="115" t="s">
        <v>639</v>
      </c>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84"/>
    </row>
    <row r="18" spans="1:37" ht="13.5" customHeight="1" x14ac:dyDescent="0.45">
      <c r="A18" s="618"/>
      <c r="B18" s="106"/>
      <c r="C18" s="115" t="s">
        <v>640</v>
      </c>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84"/>
    </row>
    <row r="19" spans="1:37" ht="13.5" customHeight="1" x14ac:dyDescent="0.45">
      <c r="A19" s="618"/>
      <c r="B19" s="106"/>
      <c r="C19" s="115" t="s">
        <v>641</v>
      </c>
      <c r="D19" s="162"/>
      <c r="E19" s="162"/>
      <c r="F19" s="162"/>
      <c r="G19" s="162"/>
      <c r="H19" s="162"/>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84"/>
    </row>
    <row r="20" spans="1:37" ht="13.5" customHeight="1" x14ac:dyDescent="0.45">
      <c r="A20" s="618"/>
      <c r="B20" s="106"/>
      <c r="C20" s="115" t="s">
        <v>642</v>
      </c>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84"/>
    </row>
    <row r="21" spans="1:37" ht="13.5" customHeight="1" x14ac:dyDescent="0.45">
      <c r="A21" s="618"/>
      <c r="B21" s="106"/>
      <c r="C21" s="115" t="s">
        <v>643</v>
      </c>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84"/>
    </row>
    <row r="22" spans="1:37" ht="13.5" customHeight="1" x14ac:dyDescent="0.45">
      <c r="A22" s="618"/>
      <c r="B22" s="106"/>
      <c r="C22" s="115" t="s">
        <v>98</v>
      </c>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84"/>
    </row>
    <row r="23" spans="1:37" ht="13.5" customHeight="1" x14ac:dyDescent="0.45">
      <c r="A23" s="618"/>
      <c r="B23" s="106"/>
      <c r="C23" s="115" t="s">
        <v>644</v>
      </c>
      <c r="D23" s="162">
        <f t="shared" ref="D23:AJ23" si="6">SUM(D16:D20)</f>
        <v>0</v>
      </c>
      <c r="E23" s="162">
        <f t="shared" si="6"/>
        <v>0</v>
      </c>
      <c r="F23" s="162">
        <f t="shared" si="6"/>
        <v>0</v>
      </c>
      <c r="G23" s="162">
        <f t="shared" si="6"/>
        <v>0</v>
      </c>
      <c r="H23" s="162">
        <f t="shared" si="6"/>
        <v>0</v>
      </c>
      <c r="I23" s="162">
        <f t="shared" si="6"/>
        <v>0</v>
      </c>
      <c r="J23" s="162">
        <f t="shared" si="6"/>
        <v>0</v>
      </c>
      <c r="K23" s="162">
        <f t="shared" si="6"/>
        <v>0</v>
      </c>
      <c r="L23" s="162">
        <f t="shared" si="6"/>
        <v>0</v>
      </c>
      <c r="M23" s="162">
        <f t="shared" si="6"/>
        <v>0</v>
      </c>
      <c r="N23" s="162">
        <f t="shared" si="6"/>
        <v>0</v>
      </c>
      <c r="O23" s="162">
        <f t="shared" si="6"/>
        <v>0</v>
      </c>
      <c r="P23" s="162">
        <f t="shared" si="6"/>
        <v>0</v>
      </c>
      <c r="Q23" s="162">
        <f t="shared" si="6"/>
        <v>0</v>
      </c>
      <c r="R23" s="162">
        <f t="shared" si="6"/>
        <v>0</v>
      </c>
      <c r="S23" s="162">
        <f t="shared" si="6"/>
        <v>0</v>
      </c>
      <c r="T23" s="162">
        <f t="shared" si="6"/>
        <v>0</v>
      </c>
      <c r="U23" s="162">
        <f t="shared" si="6"/>
        <v>0</v>
      </c>
      <c r="V23" s="162">
        <f t="shared" si="6"/>
        <v>0</v>
      </c>
      <c r="W23" s="162">
        <f t="shared" si="6"/>
        <v>0</v>
      </c>
      <c r="X23" s="162">
        <f t="shared" si="6"/>
        <v>0</v>
      </c>
      <c r="Y23" s="162">
        <f t="shared" si="6"/>
        <v>0</v>
      </c>
      <c r="Z23" s="162">
        <f t="shared" si="6"/>
        <v>0</v>
      </c>
      <c r="AA23" s="162">
        <f t="shared" si="6"/>
        <v>0</v>
      </c>
      <c r="AB23" s="162">
        <f t="shared" si="6"/>
        <v>0</v>
      </c>
      <c r="AC23" s="162">
        <f t="shared" si="6"/>
        <v>0</v>
      </c>
      <c r="AD23" s="162">
        <f t="shared" si="6"/>
        <v>0</v>
      </c>
      <c r="AE23" s="162">
        <f t="shared" si="6"/>
        <v>0</v>
      </c>
      <c r="AF23" s="162">
        <f t="shared" si="6"/>
        <v>0</v>
      </c>
      <c r="AG23" s="162">
        <f t="shared" si="6"/>
        <v>0</v>
      </c>
      <c r="AH23" s="162">
        <f t="shared" si="6"/>
        <v>0</v>
      </c>
      <c r="AI23" s="162">
        <f t="shared" si="6"/>
        <v>0</v>
      </c>
      <c r="AJ23" s="162">
        <f t="shared" si="6"/>
        <v>0</v>
      </c>
      <c r="AK23" s="184"/>
    </row>
    <row r="24" spans="1:37" ht="13.5" customHeight="1" x14ac:dyDescent="0.45">
      <c r="A24" s="618"/>
      <c r="B24" s="106"/>
      <c r="C24" s="323"/>
      <c r="D24" s="183"/>
      <c r="E24" s="183"/>
      <c r="F24" s="183"/>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4"/>
    </row>
    <row r="25" spans="1:37" ht="13.5" customHeight="1" x14ac:dyDescent="0.45">
      <c r="A25" s="618"/>
      <c r="B25" s="106"/>
      <c r="C25" s="419" t="s">
        <v>646</v>
      </c>
      <c r="D25" s="183"/>
      <c r="E25" s="183"/>
      <c r="F25" s="183"/>
      <c r="G25" s="183"/>
      <c r="H25" s="183"/>
      <c r="I25" s="183"/>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4"/>
    </row>
    <row r="26" spans="1:37" ht="13.5" customHeight="1" x14ac:dyDescent="0.45">
      <c r="A26" s="618"/>
      <c r="B26" s="106"/>
      <c r="C26" s="115" t="s">
        <v>638</v>
      </c>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84"/>
    </row>
    <row r="27" spans="1:37" ht="13.5" customHeight="1" x14ac:dyDescent="0.45">
      <c r="A27" s="618"/>
      <c r="B27" s="106"/>
      <c r="C27" s="115" t="s">
        <v>639</v>
      </c>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84"/>
    </row>
    <row r="28" spans="1:37" ht="13.5" customHeight="1" x14ac:dyDescent="0.45">
      <c r="A28" s="618"/>
      <c r="B28" s="106"/>
      <c r="C28" s="115" t="s">
        <v>640</v>
      </c>
      <c r="D28" s="162"/>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84"/>
    </row>
    <row r="29" spans="1:37" ht="13.5" customHeight="1" x14ac:dyDescent="0.45">
      <c r="A29" s="618"/>
      <c r="B29" s="106"/>
      <c r="C29" s="115" t="s">
        <v>641</v>
      </c>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84"/>
    </row>
    <row r="30" spans="1:37" ht="13.5" customHeight="1" x14ac:dyDescent="0.45">
      <c r="A30" s="618"/>
      <c r="B30" s="106"/>
      <c r="C30" s="115" t="s">
        <v>642</v>
      </c>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84"/>
    </row>
    <row r="31" spans="1:37" ht="13.5" customHeight="1" x14ac:dyDescent="0.45">
      <c r="A31" s="618"/>
      <c r="B31" s="106"/>
      <c r="C31" s="115" t="s">
        <v>643</v>
      </c>
      <c r="D31" s="162"/>
      <c r="E31" s="162"/>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84"/>
    </row>
    <row r="32" spans="1:37" ht="13.5" customHeight="1" x14ac:dyDescent="0.45">
      <c r="A32" s="618"/>
      <c r="B32" s="106"/>
      <c r="C32" s="115" t="s">
        <v>98</v>
      </c>
      <c r="D32" s="162"/>
      <c r="E32" s="162"/>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84"/>
    </row>
    <row r="33" spans="1:37" ht="13.5" customHeight="1" x14ac:dyDescent="0.45">
      <c r="A33" s="618"/>
      <c r="B33" s="106"/>
      <c r="C33" s="115" t="s">
        <v>644</v>
      </c>
      <c r="D33" s="162">
        <f t="shared" ref="D33:AJ33" si="7">SUM(D26:D30)</f>
        <v>0</v>
      </c>
      <c r="E33" s="162">
        <f t="shared" si="7"/>
        <v>0</v>
      </c>
      <c r="F33" s="162">
        <f t="shared" si="7"/>
        <v>0</v>
      </c>
      <c r="G33" s="162">
        <f t="shared" si="7"/>
        <v>0</v>
      </c>
      <c r="H33" s="162">
        <f t="shared" si="7"/>
        <v>0</v>
      </c>
      <c r="I33" s="162">
        <f t="shared" si="7"/>
        <v>0</v>
      </c>
      <c r="J33" s="162">
        <f t="shared" si="7"/>
        <v>0</v>
      </c>
      <c r="K33" s="162">
        <f t="shared" si="7"/>
        <v>0</v>
      </c>
      <c r="L33" s="162">
        <f t="shared" si="7"/>
        <v>0</v>
      </c>
      <c r="M33" s="162">
        <f t="shared" si="7"/>
        <v>0</v>
      </c>
      <c r="N33" s="162">
        <f t="shared" si="7"/>
        <v>0</v>
      </c>
      <c r="O33" s="162">
        <f t="shared" si="7"/>
        <v>0</v>
      </c>
      <c r="P33" s="162">
        <f t="shared" si="7"/>
        <v>0</v>
      </c>
      <c r="Q33" s="162">
        <f t="shared" si="7"/>
        <v>0</v>
      </c>
      <c r="R33" s="162">
        <f t="shared" si="7"/>
        <v>0</v>
      </c>
      <c r="S33" s="162">
        <f t="shared" si="7"/>
        <v>0</v>
      </c>
      <c r="T33" s="162">
        <f t="shared" si="7"/>
        <v>0</v>
      </c>
      <c r="U33" s="162">
        <f t="shared" si="7"/>
        <v>0</v>
      </c>
      <c r="V33" s="162">
        <f t="shared" si="7"/>
        <v>0</v>
      </c>
      <c r="W33" s="162">
        <f t="shared" si="7"/>
        <v>0</v>
      </c>
      <c r="X33" s="162">
        <f t="shared" si="7"/>
        <v>0</v>
      </c>
      <c r="Y33" s="162">
        <f t="shared" si="7"/>
        <v>0</v>
      </c>
      <c r="Z33" s="162">
        <f t="shared" si="7"/>
        <v>0</v>
      </c>
      <c r="AA33" s="162">
        <f t="shared" si="7"/>
        <v>0</v>
      </c>
      <c r="AB33" s="162">
        <f t="shared" si="7"/>
        <v>0</v>
      </c>
      <c r="AC33" s="162">
        <f t="shared" si="7"/>
        <v>0</v>
      </c>
      <c r="AD33" s="162">
        <f t="shared" si="7"/>
        <v>0</v>
      </c>
      <c r="AE33" s="162">
        <f t="shared" si="7"/>
        <v>0</v>
      </c>
      <c r="AF33" s="162">
        <f t="shared" si="7"/>
        <v>0</v>
      </c>
      <c r="AG33" s="162">
        <f t="shared" si="7"/>
        <v>0</v>
      </c>
      <c r="AH33" s="162">
        <f t="shared" si="7"/>
        <v>0</v>
      </c>
      <c r="AI33" s="162">
        <f t="shared" si="7"/>
        <v>0</v>
      </c>
      <c r="AJ33" s="162">
        <f t="shared" si="7"/>
        <v>0</v>
      </c>
      <c r="AK33" s="184"/>
    </row>
    <row r="34" spans="1:37" ht="13.5" customHeight="1" x14ac:dyDescent="0.45">
      <c r="A34" s="618"/>
      <c r="B34" s="118"/>
      <c r="C34" s="181"/>
      <c r="D34" s="191"/>
      <c r="E34" s="191"/>
      <c r="F34" s="191"/>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92"/>
    </row>
    <row r="35" spans="1:37" ht="13.5" customHeight="1" x14ac:dyDescent="0.4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13.5" customHeight="1" x14ac:dyDescent="0.45">
      <c r="A36" s="618"/>
      <c r="B36" s="7"/>
      <c r="C36" s="103"/>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9"/>
    </row>
    <row r="37" spans="1:37" ht="13.5" customHeight="1" x14ac:dyDescent="0.45">
      <c r="A37" s="618"/>
      <c r="B37" s="106"/>
      <c r="C37" s="107" t="s">
        <v>92</v>
      </c>
      <c r="D37" s="183"/>
      <c r="E37" s="183"/>
      <c r="F37" s="183"/>
      <c r="G37" s="183"/>
      <c r="H37" s="183"/>
      <c r="I37" s="183"/>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AK37" s="184"/>
    </row>
    <row r="38" spans="1:37" ht="13.5" customHeight="1" x14ac:dyDescent="0.45">
      <c r="A38" s="618"/>
      <c r="B38" s="106"/>
      <c r="C38" s="419" t="s">
        <v>647</v>
      </c>
      <c r="D38" s="183"/>
      <c r="E38" s="183"/>
      <c r="F38" s="183"/>
      <c r="G38" s="183"/>
      <c r="H38" s="183"/>
      <c r="I38" s="183"/>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AJ38" s="183"/>
      <c r="AK38" s="184"/>
    </row>
    <row r="39" spans="1:37" ht="13.5" customHeight="1" x14ac:dyDescent="0.45">
      <c r="A39" s="618"/>
      <c r="B39" s="106"/>
      <c r="C39" s="115" t="s">
        <v>648</v>
      </c>
      <c r="D39" s="162"/>
      <c r="E39" s="162"/>
      <c r="F39" s="162"/>
      <c r="G39" s="162"/>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84"/>
    </row>
    <row r="40" spans="1:37" ht="13.5" customHeight="1" x14ac:dyDescent="0.45">
      <c r="A40" s="618"/>
      <c r="B40" s="106"/>
      <c r="C40" s="115" t="s">
        <v>649</v>
      </c>
      <c r="D40" s="162"/>
      <c r="E40" s="162"/>
      <c r="F40" s="162"/>
      <c r="G40" s="162"/>
      <c r="H40" s="162"/>
      <c r="I40" s="162"/>
      <c r="J40" s="162"/>
      <c r="K40" s="162"/>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84"/>
    </row>
    <row r="41" spans="1:37" ht="13.5" customHeight="1" x14ac:dyDescent="0.45">
      <c r="A41" s="618"/>
      <c r="B41" s="106"/>
      <c r="C41" s="115" t="s">
        <v>650</v>
      </c>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84"/>
    </row>
    <row r="42" spans="1:37" ht="13.5" customHeight="1" x14ac:dyDescent="0.45">
      <c r="A42" s="618"/>
      <c r="B42" s="106"/>
      <c r="C42" s="115" t="s">
        <v>651</v>
      </c>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84"/>
    </row>
    <row r="43" spans="1:37" ht="13.5" customHeight="1" x14ac:dyDescent="0.45">
      <c r="A43" s="618"/>
      <c r="B43" s="106"/>
      <c r="C43" s="115" t="s">
        <v>98</v>
      </c>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84"/>
    </row>
    <row r="44" spans="1:37" ht="13.5" customHeight="1" x14ac:dyDescent="0.45">
      <c r="A44" s="618"/>
      <c r="B44" s="106"/>
      <c r="C44" s="115" t="s">
        <v>644</v>
      </c>
      <c r="D44" s="162">
        <f t="shared" ref="D44:AJ44" si="8">SUM(D39:D41)</f>
        <v>0</v>
      </c>
      <c r="E44" s="162">
        <f t="shared" si="8"/>
        <v>0</v>
      </c>
      <c r="F44" s="162">
        <f t="shared" si="8"/>
        <v>0</v>
      </c>
      <c r="G44" s="162">
        <f t="shared" si="8"/>
        <v>0</v>
      </c>
      <c r="H44" s="162">
        <f t="shared" si="8"/>
        <v>0</v>
      </c>
      <c r="I44" s="162">
        <f t="shared" si="8"/>
        <v>0</v>
      </c>
      <c r="J44" s="162">
        <f t="shared" si="8"/>
        <v>0</v>
      </c>
      <c r="K44" s="162">
        <f t="shared" si="8"/>
        <v>0</v>
      </c>
      <c r="L44" s="162">
        <f t="shared" si="8"/>
        <v>0</v>
      </c>
      <c r="M44" s="162">
        <f t="shared" si="8"/>
        <v>0</v>
      </c>
      <c r="N44" s="162">
        <f t="shared" si="8"/>
        <v>0</v>
      </c>
      <c r="O44" s="162">
        <f t="shared" si="8"/>
        <v>0</v>
      </c>
      <c r="P44" s="162">
        <f t="shared" si="8"/>
        <v>0</v>
      </c>
      <c r="Q44" s="162">
        <f t="shared" si="8"/>
        <v>0</v>
      </c>
      <c r="R44" s="162">
        <f t="shared" si="8"/>
        <v>0</v>
      </c>
      <c r="S44" s="162">
        <f t="shared" si="8"/>
        <v>0</v>
      </c>
      <c r="T44" s="162">
        <f t="shared" si="8"/>
        <v>0</v>
      </c>
      <c r="U44" s="162">
        <f t="shared" si="8"/>
        <v>0</v>
      </c>
      <c r="V44" s="162">
        <f t="shared" si="8"/>
        <v>0</v>
      </c>
      <c r="W44" s="162">
        <f t="shared" si="8"/>
        <v>0</v>
      </c>
      <c r="X44" s="162">
        <f t="shared" si="8"/>
        <v>0</v>
      </c>
      <c r="Y44" s="162">
        <f t="shared" si="8"/>
        <v>0</v>
      </c>
      <c r="Z44" s="162">
        <f t="shared" si="8"/>
        <v>0</v>
      </c>
      <c r="AA44" s="162">
        <f t="shared" si="8"/>
        <v>0</v>
      </c>
      <c r="AB44" s="162">
        <f t="shared" si="8"/>
        <v>0</v>
      </c>
      <c r="AC44" s="162">
        <f t="shared" si="8"/>
        <v>0</v>
      </c>
      <c r="AD44" s="162">
        <f t="shared" si="8"/>
        <v>0</v>
      </c>
      <c r="AE44" s="162">
        <f t="shared" si="8"/>
        <v>0</v>
      </c>
      <c r="AF44" s="162">
        <f t="shared" si="8"/>
        <v>0</v>
      </c>
      <c r="AG44" s="162">
        <f t="shared" si="8"/>
        <v>0</v>
      </c>
      <c r="AH44" s="162">
        <f t="shared" si="8"/>
        <v>0</v>
      </c>
      <c r="AI44" s="162">
        <f t="shared" si="8"/>
        <v>0</v>
      </c>
      <c r="AJ44" s="162">
        <f t="shared" si="8"/>
        <v>0</v>
      </c>
      <c r="AK44" s="184"/>
    </row>
    <row r="45" spans="1:37" ht="13.5" customHeight="1" x14ac:dyDescent="0.45">
      <c r="A45" s="618"/>
      <c r="B45" s="106"/>
      <c r="C45" s="323"/>
      <c r="D45" s="183"/>
      <c r="E45" s="183"/>
      <c r="F45" s="183"/>
      <c r="G45" s="183"/>
      <c r="H45" s="183"/>
      <c r="I45" s="183"/>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AJ45" s="183"/>
      <c r="AK45" s="184"/>
    </row>
    <row r="46" spans="1:37" ht="13.5" customHeight="1" x14ac:dyDescent="0.45">
      <c r="A46" s="618"/>
      <c r="B46" s="106"/>
      <c r="C46" s="419" t="s">
        <v>645</v>
      </c>
      <c r="D46" s="183"/>
      <c r="E46" s="183"/>
      <c r="F46" s="183"/>
      <c r="G46" s="183"/>
      <c r="H46" s="183"/>
      <c r="I46" s="183"/>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AJ46" s="183"/>
      <c r="AK46" s="184"/>
    </row>
    <row r="47" spans="1:37" ht="13.5" customHeight="1" x14ac:dyDescent="0.45">
      <c r="A47" s="618"/>
      <c r="B47" s="106"/>
      <c r="C47" s="115" t="s">
        <v>648</v>
      </c>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84"/>
    </row>
    <row r="48" spans="1:37" ht="13.5" customHeight="1" x14ac:dyDescent="0.45">
      <c r="A48" s="618"/>
      <c r="B48" s="106"/>
      <c r="C48" s="115" t="s">
        <v>649</v>
      </c>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84"/>
    </row>
    <row r="49" spans="1:37" ht="13.5" customHeight="1" x14ac:dyDescent="0.45">
      <c r="A49" s="618"/>
      <c r="B49" s="106"/>
      <c r="C49" s="115" t="s">
        <v>650</v>
      </c>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84"/>
    </row>
    <row r="50" spans="1:37" ht="13.5" customHeight="1" x14ac:dyDescent="0.45">
      <c r="A50" s="618"/>
      <c r="B50" s="106"/>
      <c r="C50" s="115" t="s">
        <v>651</v>
      </c>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84"/>
    </row>
    <row r="51" spans="1:37" ht="13.5" customHeight="1" x14ac:dyDescent="0.45">
      <c r="A51" s="618"/>
      <c r="B51" s="106"/>
      <c r="C51" s="115" t="s">
        <v>98</v>
      </c>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84"/>
    </row>
    <row r="52" spans="1:37" ht="13.5" customHeight="1" x14ac:dyDescent="0.45">
      <c r="A52" s="618"/>
      <c r="B52" s="106"/>
      <c r="C52" s="115" t="s">
        <v>644</v>
      </c>
      <c r="D52" s="162">
        <f t="shared" ref="D52:AJ52" si="9">SUM(D47:D49)</f>
        <v>0</v>
      </c>
      <c r="E52" s="162">
        <f t="shared" si="9"/>
        <v>0</v>
      </c>
      <c r="F52" s="162">
        <f t="shared" si="9"/>
        <v>0</v>
      </c>
      <c r="G52" s="162">
        <f t="shared" si="9"/>
        <v>0</v>
      </c>
      <c r="H52" s="162">
        <f t="shared" si="9"/>
        <v>0</v>
      </c>
      <c r="I52" s="162">
        <f t="shared" si="9"/>
        <v>0</v>
      </c>
      <c r="J52" s="162">
        <f t="shared" si="9"/>
        <v>0</v>
      </c>
      <c r="K52" s="162">
        <f t="shared" si="9"/>
        <v>0</v>
      </c>
      <c r="L52" s="162">
        <f t="shared" si="9"/>
        <v>0</v>
      </c>
      <c r="M52" s="162">
        <f t="shared" si="9"/>
        <v>0</v>
      </c>
      <c r="N52" s="162">
        <f t="shared" si="9"/>
        <v>0</v>
      </c>
      <c r="O52" s="162">
        <f t="shared" si="9"/>
        <v>0</v>
      </c>
      <c r="P52" s="162">
        <f t="shared" si="9"/>
        <v>0</v>
      </c>
      <c r="Q52" s="162">
        <f t="shared" si="9"/>
        <v>0</v>
      </c>
      <c r="R52" s="162">
        <f t="shared" si="9"/>
        <v>0</v>
      </c>
      <c r="S52" s="162">
        <f t="shared" si="9"/>
        <v>0</v>
      </c>
      <c r="T52" s="162">
        <f t="shared" si="9"/>
        <v>0</v>
      </c>
      <c r="U52" s="162">
        <f t="shared" si="9"/>
        <v>0</v>
      </c>
      <c r="V52" s="162">
        <f t="shared" si="9"/>
        <v>0</v>
      </c>
      <c r="W52" s="162">
        <f t="shared" si="9"/>
        <v>0</v>
      </c>
      <c r="X52" s="162">
        <f t="shared" si="9"/>
        <v>0</v>
      </c>
      <c r="Y52" s="162">
        <f t="shared" si="9"/>
        <v>0</v>
      </c>
      <c r="Z52" s="162">
        <f t="shared" si="9"/>
        <v>0</v>
      </c>
      <c r="AA52" s="162">
        <f t="shared" si="9"/>
        <v>0</v>
      </c>
      <c r="AB52" s="162">
        <f t="shared" si="9"/>
        <v>0</v>
      </c>
      <c r="AC52" s="162">
        <f t="shared" si="9"/>
        <v>0</v>
      </c>
      <c r="AD52" s="162">
        <f t="shared" si="9"/>
        <v>0</v>
      </c>
      <c r="AE52" s="162">
        <f t="shared" si="9"/>
        <v>0</v>
      </c>
      <c r="AF52" s="162">
        <f t="shared" si="9"/>
        <v>0</v>
      </c>
      <c r="AG52" s="162">
        <f t="shared" si="9"/>
        <v>0</v>
      </c>
      <c r="AH52" s="162">
        <f t="shared" si="9"/>
        <v>0</v>
      </c>
      <c r="AI52" s="162">
        <f t="shared" si="9"/>
        <v>0</v>
      </c>
      <c r="AJ52" s="162">
        <f t="shared" si="9"/>
        <v>0</v>
      </c>
      <c r="AK52" s="184"/>
    </row>
    <row r="53" spans="1:37" ht="13.5" customHeight="1" x14ac:dyDescent="0.45">
      <c r="A53" s="618"/>
      <c r="B53" s="106"/>
      <c r="C53" s="323"/>
      <c r="D53" s="183"/>
      <c r="E53" s="183"/>
      <c r="F53" s="183"/>
      <c r="G53" s="183"/>
      <c r="H53" s="183"/>
      <c r="I53" s="183"/>
      <c r="J53" s="183"/>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c r="AH53" s="183"/>
      <c r="AI53" s="183"/>
      <c r="AJ53" s="183"/>
      <c r="AK53" s="184"/>
    </row>
    <row r="54" spans="1:37" ht="13.5" customHeight="1" x14ac:dyDescent="0.45">
      <c r="A54" s="618"/>
      <c r="B54" s="106"/>
      <c r="C54" s="419" t="s">
        <v>646</v>
      </c>
      <c r="D54" s="183"/>
      <c r="E54" s="183"/>
      <c r="F54" s="183"/>
      <c r="G54" s="183"/>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c r="AH54" s="183"/>
      <c r="AI54" s="183"/>
      <c r="AJ54" s="183"/>
      <c r="AK54" s="184"/>
    </row>
    <row r="55" spans="1:37" ht="13.5" customHeight="1" x14ac:dyDescent="0.45">
      <c r="A55" s="618"/>
      <c r="B55" s="106"/>
      <c r="C55" s="115" t="s">
        <v>648</v>
      </c>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84"/>
    </row>
    <row r="56" spans="1:37" ht="13.5" customHeight="1" x14ac:dyDescent="0.45">
      <c r="A56" s="618"/>
      <c r="B56" s="106"/>
      <c r="C56" s="115" t="s">
        <v>649</v>
      </c>
      <c r="D56" s="162"/>
      <c r="E56" s="162"/>
      <c r="F56" s="162"/>
      <c r="G56" s="162"/>
      <c r="H56" s="162"/>
      <c r="I56" s="162"/>
      <c r="J56" s="162"/>
      <c r="K56" s="162"/>
      <c r="L56" s="162"/>
      <c r="M56" s="162"/>
      <c r="N56" s="162"/>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84"/>
    </row>
    <row r="57" spans="1:37" ht="13.5" customHeight="1" x14ac:dyDescent="0.45">
      <c r="A57" s="618"/>
      <c r="B57" s="106"/>
      <c r="C57" s="115" t="s">
        <v>650</v>
      </c>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84"/>
    </row>
    <row r="58" spans="1:37" ht="13.5" customHeight="1" x14ac:dyDescent="0.45">
      <c r="A58" s="618"/>
      <c r="B58" s="106"/>
      <c r="C58" s="115" t="s">
        <v>651</v>
      </c>
      <c r="D58" s="162"/>
      <c r="E58" s="162"/>
      <c r="F58" s="162"/>
      <c r="G58" s="162"/>
      <c r="H58" s="162"/>
      <c r="I58" s="162"/>
      <c r="J58" s="162"/>
      <c r="K58" s="162"/>
      <c r="L58" s="162"/>
      <c r="M58" s="162"/>
      <c r="N58" s="162"/>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84"/>
    </row>
    <row r="59" spans="1:37" ht="13.5" customHeight="1" x14ac:dyDescent="0.45">
      <c r="A59" s="618"/>
      <c r="B59" s="106"/>
      <c r="C59" s="115" t="s">
        <v>98</v>
      </c>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84"/>
    </row>
    <row r="60" spans="1:37" ht="13.5" customHeight="1" x14ac:dyDescent="0.45">
      <c r="A60" s="618"/>
      <c r="B60" s="106"/>
      <c r="C60" s="115" t="s">
        <v>644</v>
      </c>
      <c r="D60" s="162">
        <f t="shared" ref="D60:AJ60" si="10">SUM(D55:D57)</f>
        <v>0</v>
      </c>
      <c r="E60" s="162">
        <f t="shared" si="10"/>
        <v>0</v>
      </c>
      <c r="F60" s="162">
        <f t="shared" si="10"/>
        <v>0</v>
      </c>
      <c r="G60" s="162">
        <f t="shared" si="10"/>
        <v>0</v>
      </c>
      <c r="H60" s="162">
        <f t="shared" si="10"/>
        <v>0</v>
      </c>
      <c r="I60" s="162">
        <f t="shared" si="10"/>
        <v>0</v>
      </c>
      <c r="J60" s="162">
        <f t="shared" si="10"/>
        <v>0</v>
      </c>
      <c r="K60" s="162">
        <f t="shared" si="10"/>
        <v>0</v>
      </c>
      <c r="L60" s="162">
        <f t="shared" si="10"/>
        <v>0</v>
      </c>
      <c r="M60" s="162">
        <f t="shared" si="10"/>
        <v>0</v>
      </c>
      <c r="N60" s="162">
        <f t="shared" si="10"/>
        <v>0</v>
      </c>
      <c r="O60" s="162">
        <f t="shared" si="10"/>
        <v>0</v>
      </c>
      <c r="P60" s="162">
        <f t="shared" si="10"/>
        <v>0</v>
      </c>
      <c r="Q60" s="162">
        <f t="shared" si="10"/>
        <v>0</v>
      </c>
      <c r="R60" s="162">
        <f t="shared" si="10"/>
        <v>0</v>
      </c>
      <c r="S60" s="162">
        <f t="shared" si="10"/>
        <v>0</v>
      </c>
      <c r="T60" s="162">
        <f t="shared" si="10"/>
        <v>0</v>
      </c>
      <c r="U60" s="162">
        <f t="shared" si="10"/>
        <v>0</v>
      </c>
      <c r="V60" s="162">
        <f t="shared" si="10"/>
        <v>0</v>
      </c>
      <c r="W60" s="162">
        <f t="shared" si="10"/>
        <v>0</v>
      </c>
      <c r="X60" s="162">
        <f t="shared" si="10"/>
        <v>0</v>
      </c>
      <c r="Y60" s="162">
        <f t="shared" si="10"/>
        <v>0</v>
      </c>
      <c r="Z60" s="162">
        <f t="shared" si="10"/>
        <v>0</v>
      </c>
      <c r="AA60" s="162">
        <f t="shared" si="10"/>
        <v>0</v>
      </c>
      <c r="AB60" s="162">
        <f t="shared" si="10"/>
        <v>0</v>
      </c>
      <c r="AC60" s="162">
        <f t="shared" si="10"/>
        <v>0</v>
      </c>
      <c r="AD60" s="162">
        <f t="shared" si="10"/>
        <v>0</v>
      </c>
      <c r="AE60" s="162">
        <f t="shared" si="10"/>
        <v>0</v>
      </c>
      <c r="AF60" s="162">
        <f t="shared" si="10"/>
        <v>0</v>
      </c>
      <c r="AG60" s="162">
        <f t="shared" si="10"/>
        <v>0</v>
      </c>
      <c r="AH60" s="162">
        <f t="shared" si="10"/>
        <v>0</v>
      </c>
      <c r="AI60" s="162">
        <f t="shared" si="10"/>
        <v>0</v>
      </c>
      <c r="AJ60" s="162">
        <f t="shared" si="10"/>
        <v>0</v>
      </c>
      <c r="AK60" s="184"/>
    </row>
    <row r="61" spans="1:37" ht="13.5" customHeight="1" x14ac:dyDescent="0.45">
      <c r="A61" s="618"/>
      <c r="B61" s="118"/>
      <c r="C61" s="181"/>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91"/>
      <c r="AI61" s="191"/>
      <c r="AJ61" s="191"/>
      <c r="AK61" s="192"/>
    </row>
    <row r="62" spans="1:37" ht="13.5" customHeight="1"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3.5" customHeight="1" x14ac:dyDescent="0.45">
      <c r="A63" s="618"/>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row>
    <row r="64" spans="1:37" ht="13.5" customHeight="1" x14ac:dyDescent="0.45">
      <c r="A64" s="618"/>
      <c r="B64" s="220"/>
      <c r="C64" s="243" t="s">
        <v>652</v>
      </c>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20"/>
    </row>
    <row r="65" spans="1:37" ht="13.5" customHeight="1" x14ac:dyDescent="0.45">
      <c r="A65" s="618"/>
      <c r="B65" s="220"/>
      <c r="C65" s="243" t="s">
        <v>653</v>
      </c>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20"/>
    </row>
    <row r="66" spans="1:37" ht="13.5" customHeight="1" x14ac:dyDescent="0.45">
      <c r="A66" s="618"/>
      <c r="B66" s="220"/>
      <c r="C66" s="243" t="s">
        <v>654</v>
      </c>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20"/>
    </row>
    <row r="67" spans="1:37" ht="13.5" customHeight="1" x14ac:dyDescent="0.45">
      <c r="A67" s="643">
        <v>2</v>
      </c>
      <c r="B67" s="220"/>
      <c r="C67" s="221" t="s">
        <v>655</v>
      </c>
      <c r="D67" s="285">
        <v>1500</v>
      </c>
      <c r="E67" s="285">
        <v>1500</v>
      </c>
      <c r="F67" s="285">
        <v>1500</v>
      </c>
      <c r="G67" s="285">
        <v>1500</v>
      </c>
      <c r="H67" s="285">
        <v>1500</v>
      </c>
      <c r="I67" s="285">
        <v>1500</v>
      </c>
      <c r="J67" s="285">
        <v>1500</v>
      </c>
      <c r="K67" s="285">
        <v>1500</v>
      </c>
      <c r="L67" s="285">
        <v>1500</v>
      </c>
      <c r="M67" s="285">
        <v>1500</v>
      </c>
      <c r="N67" s="285">
        <v>1500</v>
      </c>
      <c r="O67" s="285">
        <v>1500</v>
      </c>
      <c r="P67" s="285">
        <v>1500</v>
      </c>
      <c r="Q67" s="285">
        <v>1500</v>
      </c>
      <c r="R67" s="285">
        <v>1500</v>
      </c>
      <c r="S67" s="285">
        <v>1500</v>
      </c>
      <c r="T67" s="285">
        <v>1500</v>
      </c>
      <c r="U67" s="285">
        <v>1500</v>
      </c>
      <c r="V67" s="285">
        <v>1500</v>
      </c>
      <c r="W67" s="285">
        <v>1500</v>
      </c>
      <c r="X67" s="285">
        <v>1500</v>
      </c>
      <c r="Y67" s="285">
        <v>1500</v>
      </c>
      <c r="Z67" s="285">
        <v>1500</v>
      </c>
      <c r="AA67" s="285">
        <v>1500</v>
      </c>
      <c r="AB67" s="285">
        <v>1500</v>
      </c>
      <c r="AC67" s="285">
        <v>1500</v>
      </c>
      <c r="AD67" s="285">
        <v>1500</v>
      </c>
      <c r="AE67" s="285">
        <v>1500</v>
      </c>
      <c r="AF67" s="285">
        <v>1500</v>
      </c>
      <c r="AG67" s="285">
        <v>1500</v>
      </c>
      <c r="AH67" s="285">
        <v>1500</v>
      </c>
      <c r="AI67" s="285">
        <v>1500</v>
      </c>
      <c r="AJ67" s="285">
        <v>1500</v>
      </c>
      <c r="AK67" s="220"/>
    </row>
    <row r="68" spans="1:37" ht="13.5" customHeight="1" x14ac:dyDescent="0.45">
      <c r="A68" s="622"/>
      <c r="B68" s="220"/>
      <c r="C68" s="221" t="s">
        <v>656</v>
      </c>
      <c r="D68" s="285">
        <v>2785</v>
      </c>
      <c r="E68" s="285">
        <v>2785</v>
      </c>
      <c r="F68" s="285">
        <v>2785</v>
      </c>
      <c r="G68" s="285">
        <v>2785</v>
      </c>
      <c r="H68" s="285">
        <v>2785</v>
      </c>
      <c r="I68" s="285">
        <v>2785</v>
      </c>
      <c r="J68" s="285">
        <v>2785</v>
      </c>
      <c r="K68" s="285">
        <v>2785</v>
      </c>
      <c r="L68" s="285">
        <v>2785</v>
      </c>
      <c r="M68" s="285">
        <v>2785</v>
      </c>
      <c r="N68" s="285">
        <v>2785</v>
      </c>
      <c r="O68" s="285">
        <v>2785</v>
      </c>
      <c r="P68" s="285">
        <v>2785</v>
      </c>
      <c r="Q68" s="285">
        <v>2785</v>
      </c>
      <c r="R68" s="285">
        <v>2785</v>
      </c>
      <c r="S68" s="285">
        <v>2785</v>
      </c>
      <c r="T68" s="285">
        <v>2785</v>
      </c>
      <c r="U68" s="285">
        <v>2785</v>
      </c>
      <c r="V68" s="285">
        <v>2785</v>
      </c>
      <c r="W68" s="285">
        <v>2785</v>
      </c>
      <c r="X68" s="285">
        <v>2785</v>
      </c>
      <c r="Y68" s="285">
        <v>2785</v>
      </c>
      <c r="Z68" s="285">
        <v>2785</v>
      </c>
      <c r="AA68" s="285">
        <v>2785</v>
      </c>
      <c r="AB68" s="285">
        <v>2785</v>
      </c>
      <c r="AC68" s="285">
        <v>2785</v>
      </c>
      <c r="AD68" s="285">
        <v>2785</v>
      </c>
      <c r="AE68" s="285">
        <v>2785</v>
      </c>
      <c r="AF68" s="285">
        <v>2785</v>
      </c>
      <c r="AG68" s="285">
        <v>2785</v>
      </c>
      <c r="AH68" s="285">
        <v>2785</v>
      </c>
      <c r="AI68" s="285">
        <v>2785</v>
      </c>
      <c r="AJ68" s="285">
        <v>2785</v>
      </c>
      <c r="AK68" s="220"/>
    </row>
    <row r="69" spans="1:37" ht="13.5" customHeight="1" x14ac:dyDescent="0.45">
      <c r="A69" s="622"/>
      <c r="B69" s="220"/>
      <c r="C69" s="221" t="s">
        <v>657</v>
      </c>
      <c r="D69" s="285">
        <v>2712</v>
      </c>
      <c r="E69" s="285">
        <v>2712</v>
      </c>
      <c r="F69" s="285">
        <v>2712</v>
      </c>
      <c r="G69" s="285">
        <v>2712</v>
      </c>
      <c r="H69" s="285">
        <v>2712</v>
      </c>
      <c r="I69" s="285">
        <v>2712</v>
      </c>
      <c r="J69" s="285">
        <v>2712</v>
      </c>
      <c r="K69" s="285">
        <v>2712</v>
      </c>
      <c r="L69" s="285">
        <v>2712</v>
      </c>
      <c r="M69" s="285">
        <v>2712</v>
      </c>
      <c r="N69" s="285">
        <v>2712</v>
      </c>
      <c r="O69" s="285">
        <v>2712</v>
      </c>
      <c r="P69" s="285">
        <v>2712</v>
      </c>
      <c r="Q69" s="285">
        <v>2712</v>
      </c>
      <c r="R69" s="285">
        <v>2712</v>
      </c>
      <c r="S69" s="285">
        <v>2712</v>
      </c>
      <c r="T69" s="285">
        <v>2712</v>
      </c>
      <c r="U69" s="285">
        <v>2712</v>
      </c>
      <c r="V69" s="285">
        <v>2712</v>
      </c>
      <c r="W69" s="285">
        <v>2712</v>
      </c>
      <c r="X69" s="285">
        <v>2712</v>
      </c>
      <c r="Y69" s="285">
        <v>2712</v>
      </c>
      <c r="Z69" s="285">
        <v>2712</v>
      </c>
      <c r="AA69" s="285">
        <v>2712</v>
      </c>
      <c r="AB69" s="285">
        <v>2712</v>
      </c>
      <c r="AC69" s="285">
        <v>2712</v>
      </c>
      <c r="AD69" s="285">
        <v>2712</v>
      </c>
      <c r="AE69" s="285">
        <v>2712</v>
      </c>
      <c r="AF69" s="285">
        <v>2712</v>
      </c>
      <c r="AG69" s="285">
        <v>2712</v>
      </c>
      <c r="AH69" s="285">
        <v>2712</v>
      </c>
      <c r="AI69" s="285">
        <v>2712</v>
      </c>
      <c r="AJ69" s="285">
        <v>2712</v>
      </c>
      <c r="AK69" s="220"/>
    </row>
    <row r="70" spans="1:37" ht="13.5" customHeight="1" x14ac:dyDescent="0.45">
      <c r="A70" s="622"/>
      <c r="B70" s="220"/>
      <c r="C70" s="221" t="s">
        <v>658</v>
      </c>
      <c r="D70" s="285">
        <v>2712</v>
      </c>
      <c r="E70" s="285">
        <v>2712</v>
      </c>
      <c r="F70" s="285">
        <v>2712</v>
      </c>
      <c r="G70" s="285">
        <v>2712</v>
      </c>
      <c r="H70" s="285">
        <v>2712</v>
      </c>
      <c r="I70" s="285">
        <v>2712</v>
      </c>
      <c r="J70" s="285">
        <v>2712</v>
      </c>
      <c r="K70" s="285">
        <v>2606</v>
      </c>
      <c r="L70" s="285">
        <v>2606</v>
      </c>
      <c r="M70" s="285">
        <v>2606</v>
      </c>
      <c r="N70" s="285">
        <v>2606</v>
      </c>
      <c r="O70" s="285">
        <v>2606</v>
      </c>
      <c r="P70" s="285">
        <v>2500</v>
      </c>
      <c r="Q70" s="285">
        <v>2500</v>
      </c>
      <c r="R70" s="285">
        <v>2500</v>
      </c>
      <c r="S70" s="285">
        <v>2500</v>
      </c>
      <c r="T70" s="285">
        <v>2500</v>
      </c>
      <c r="U70" s="285">
        <v>2473</v>
      </c>
      <c r="V70" s="285">
        <v>2473</v>
      </c>
      <c r="W70" s="285">
        <v>2473</v>
      </c>
      <c r="X70" s="285">
        <v>2473</v>
      </c>
      <c r="Y70" s="285">
        <v>2473</v>
      </c>
      <c r="Z70" s="285">
        <v>2446</v>
      </c>
      <c r="AA70" s="285">
        <v>2446</v>
      </c>
      <c r="AB70" s="285">
        <v>2446</v>
      </c>
      <c r="AC70" s="285">
        <v>2446</v>
      </c>
      <c r="AD70" s="285">
        <v>2446</v>
      </c>
      <c r="AE70" s="285">
        <v>2419</v>
      </c>
      <c r="AF70" s="285">
        <v>2419</v>
      </c>
      <c r="AG70" s="285">
        <v>2419</v>
      </c>
      <c r="AH70" s="285">
        <v>2419</v>
      </c>
      <c r="AI70" s="285">
        <v>2419</v>
      </c>
      <c r="AJ70" s="285">
        <v>2392</v>
      </c>
      <c r="AK70" s="220"/>
    </row>
    <row r="71" spans="1:37" ht="13.5" customHeight="1" x14ac:dyDescent="0.45">
      <c r="A71" s="622"/>
      <c r="B71" s="220"/>
      <c r="C71" s="221" t="s">
        <v>659</v>
      </c>
      <c r="D71" s="285">
        <v>2500</v>
      </c>
      <c r="E71" s="285">
        <v>2500</v>
      </c>
      <c r="F71" s="285">
        <v>2500</v>
      </c>
      <c r="G71" s="285">
        <v>2500</v>
      </c>
      <c r="H71" s="285">
        <v>2500</v>
      </c>
      <c r="I71" s="285">
        <v>2500</v>
      </c>
      <c r="J71" s="285">
        <v>2500</v>
      </c>
      <c r="K71" s="285">
        <v>2500</v>
      </c>
      <c r="L71" s="285">
        <v>2500</v>
      </c>
      <c r="M71" s="285">
        <v>2500</v>
      </c>
      <c r="N71" s="285">
        <v>2500</v>
      </c>
      <c r="O71" s="285">
        <v>2500</v>
      </c>
      <c r="P71" s="285">
        <v>2500</v>
      </c>
      <c r="Q71" s="285">
        <v>2500</v>
      </c>
      <c r="R71" s="285">
        <v>2500</v>
      </c>
      <c r="S71" s="285">
        <v>2500</v>
      </c>
      <c r="T71" s="285">
        <v>2500</v>
      </c>
      <c r="U71" s="285">
        <v>2500</v>
      </c>
      <c r="V71" s="285">
        <v>2500</v>
      </c>
      <c r="W71" s="285">
        <v>2500</v>
      </c>
      <c r="X71" s="285">
        <v>2500</v>
      </c>
      <c r="Y71" s="285">
        <v>2500</v>
      </c>
      <c r="Z71" s="285">
        <v>2500</v>
      </c>
      <c r="AA71" s="285">
        <v>2500</v>
      </c>
      <c r="AB71" s="285">
        <v>2500</v>
      </c>
      <c r="AC71" s="285">
        <v>2500</v>
      </c>
      <c r="AD71" s="285">
        <v>2500</v>
      </c>
      <c r="AE71" s="285">
        <v>2500</v>
      </c>
      <c r="AF71" s="285">
        <v>2500</v>
      </c>
      <c r="AG71" s="285">
        <v>2500</v>
      </c>
      <c r="AH71" s="285">
        <v>2500</v>
      </c>
      <c r="AI71" s="285">
        <v>2500</v>
      </c>
      <c r="AJ71" s="285">
        <v>2500</v>
      </c>
      <c r="AK71" s="220"/>
    </row>
    <row r="72" spans="1:37" ht="13.5" customHeight="1" x14ac:dyDescent="0.45">
      <c r="A72" s="622"/>
      <c r="B72" s="220"/>
      <c r="C72" s="221" t="s">
        <v>660</v>
      </c>
      <c r="D72" s="285">
        <v>3300</v>
      </c>
      <c r="E72" s="285">
        <v>3300</v>
      </c>
      <c r="F72" s="285">
        <v>3300</v>
      </c>
      <c r="G72" s="285">
        <v>3300</v>
      </c>
      <c r="H72" s="285">
        <v>3300</v>
      </c>
      <c r="I72" s="285">
        <v>3300</v>
      </c>
      <c r="J72" s="285">
        <v>3300</v>
      </c>
      <c r="K72" s="285">
        <v>3300</v>
      </c>
      <c r="L72" s="285">
        <v>3300</v>
      </c>
      <c r="M72" s="285">
        <v>3300</v>
      </c>
      <c r="N72" s="285">
        <v>3300</v>
      </c>
      <c r="O72" s="285">
        <v>3300</v>
      </c>
      <c r="P72" s="285">
        <v>3300</v>
      </c>
      <c r="Q72" s="285">
        <v>3300</v>
      </c>
      <c r="R72" s="285">
        <v>3300</v>
      </c>
      <c r="S72" s="285">
        <v>3300</v>
      </c>
      <c r="T72" s="285">
        <v>3300</v>
      </c>
      <c r="U72" s="285">
        <v>3300</v>
      </c>
      <c r="V72" s="285">
        <v>3300</v>
      </c>
      <c r="W72" s="285">
        <v>3300</v>
      </c>
      <c r="X72" s="285">
        <v>3300</v>
      </c>
      <c r="Y72" s="285">
        <v>3300</v>
      </c>
      <c r="Z72" s="285">
        <v>3300</v>
      </c>
      <c r="AA72" s="285">
        <v>3300</v>
      </c>
      <c r="AB72" s="285">
        <v>3300</v>
      </c>
      <c r="AC72" s="285">
        <v>3300</v>
      </c>
      <c r="AD72" s="285">
        <v>3300</v>
      </c>
      <c r="AE72" s="285">
        <v>3300</v>
      </c>
      <c r="AF72" s="285">
        <v>3300</v>
      </c>
      <c r="AG72" s="285">
        <v>3300</v>
      </c>
      <c r="AH72" s="285">
        <v>3300</v>
      </c>
      <c r="AI72" s="285">
        <v>3300</v>
      </c>
      <c r="AJ72" s="285">
        <v>3300</v>
      </c>
      <c r="AK72" s="220"/>
    </row>
    <row r="73" spans="1:37" ht="13.5" customHeight="1" x14ac:dyDescent="0.45">
      <c r="A73" s="622"/>
      <c r="B73" s="220"/>
      <c r="C73" s="221" t="s">
        <v>661</v>
      </c>
      <c r="D73" s="285">
        <v>2350</v>
      </c>
      <c r="E73" s="285">
        <v>2350</v>
      </c>
      <c r="F73" s="285">
        <v>2350</v>
      </c>
      <c r="G73" s="285">
        <v>2350</v>
      </c>
      <c r="H73" s="285">
        <v>2350</v>
      </c>
      <c r="I73" s="285">
        <v>2350</v>
      </c>
      <c r="J73" s="285">
        <v>2350</v>
      </c>
      <c r="K73" s="285">
        <v>2325</v>
      </c>
      <c r="L73" s="285">
        <v>2325</v>
      </c>
      <c r="M73" s="285">
        <v>2325</v>
      </c>
      <c r="N73" s="285">
        <v>2325</v>
      </c>
      <c r="O73" s="285">
        <v>2325</v>
      </c>
      <c r="P73" s="285">
        <v>2300</v>
      </c>
      <c r="Q73" s="285">
        <v>2300</v>
      </c>
      <c r="R73" s="285">
        <v>2300</v>
      </c>
      <c r="S73" s="285">
        <v>2300</v>
      </c>
      <c r="T73" s="285">
        <v>2300</v>
      </c>
      <c r="U73" s="285">
        <v>2288</v>
      </c>
      <c r="V73" s="285">
        <v>2288</v>
      </c>
      <c r="W73" s="285">
        <v>2288</v>
      </c>
      <c r="X73" s="285">
        <v>2288</v>
      </c>
      <c r="Y73" s="285">
        <v>2288</v>
      </c>
      <c r="Z73" s="285">
        <v>2275</v>
      </c>
      <c r="AA73" s="285">
        <v>2275</v>
      </c>
      <c r="AB73" s="285">
        <v>2275</v>
      </c>
      <c r="AC73" s="285">
        <v>2275</v>
      </c>
      <c r="AD73" s="285">
        <v>2275</v>
      </c>
      <c r="AE73" s="285">
        <v>2263</v>
      </c>
      <c r="AF73" s="285">
        <v>2263</v>
      </c>
      <c r="AG73" s="285">
        <v>2263</v>
      </c>
      <c r="AH73" s="285">
        <v>2263</v>
      </c>
      <c r="AI73" s="285">
        <v>2263</v>
      </c>
      <c r="AJ73" s="285">
        <v>2250</v>
      </c>
      <c r="AK73" s="220"/>
    </row>
    <row r="74" spans="1:37" ht="13.5" customHeight="1" x14ac:dyDescent="0.45">
      <c r="A74" s="622"/>
      <c r="B74" s="220"/>
      <c r="C74" s="243" t="s">
        <v>662</v>
      </c>
      <c r="D74" s="285">
        <v>5855</v>
      </c>
      <c r="E74" s="285">
        <v>5085</v>
      </c>
      <c r="F74" s="285">
        <v>5085</v>
      </c>
      <c r="G74" s="285">
        <v>5085</v>
      </c>
      <c r="H74" s="285">
        <v>5085</v>
      </c>
      <c r="I74" s="285">
        <v>5085</v>
      </c>
      <c r="J74" s="285">
        <v>5085</v>
      </c>
      <c r="K74" s="285">
        <v>4755</v>
      </c>
      <c r="L74" s="285">
        <v>4755</v>
      </c>
      <c r="M74" s="285">
        <v>4755</v>
      </c>
      <c r="N74" s="285">
        <v>4755</v>
      </c>
      <c r="O74" s="285">
        <v>4755</v>
      </c>
      <c r="P74" s="285">
        <v>4424</v>
      </c>
      <c r="Q74" s="285">
        <v>4424</v>
      </c>
      <c r="R74" s="285">
        <v>4424</v>
      </c>
      <c r="S74" s="285">
        <v>4424</v>
      </c>
      <c r="T74" s="285">
        <v>4424</v>
      </c>
      <c r="U74" s="285">
        <v>4424</v>
      </c>
      <c r="V74" s="285">
        <v>4424</v>
      </c>
      <c r="W74" s="285">
        <v>4424</v>
      </c>
      <c r="X74" s="285">
        <v>4424</v>
      </c>
      <c r="Y74" s="285">
        <v>4424</v>
      </c>
      <c r="Z74" s="285">
        <v>4424</v>
      </c>
      <c r="AA74" s="285">
        <v>4424</v>
      </c>
      <c r="AB74" s="285">
        <v>4424</v>
      </c>
      <c r="AC74" s="285">
        <v>4424</v>
      </c>
      <c r="AD74" s="285">
        <v>4424</v>
      </c>
      <c r="AE74" s="285">
        <v>4424</v>
      </c>
      <c r="AF74" s="285">
        <v>4424</v>
      </c>
      <c r="AG74" s="285">
        <v>4424</v>
      </c>
      <c r="AH74" s="285">
        <v>4424</v>
      </c>
      <c r="AI74" s="285">
        <v>4424</v>
      </c>
      <c r="AJ74" s="285">
        <v>4424</v>
      </c>
      <c r="AK74" s="220"/>
    </row>
    <row r="75" spans="1:37" ht="13.5" customHeight="1" x14ac:dyDescent="0.45">
      <c r="A75" s="622"/>
      <c r="B75" s="220"/>
      <c r="C75" s="243" t="s">
        <v>663</v>
      </c>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220"/>
    </row>
    <row r="76" spans="1:37" ht="13.5" customHeight="1" x14ac:dyDescent="0.45">
      <c r="A76" s="622"/>
      <c r="B76" s="220"/>
      <c r="C76" s="221" t="s">
        <v>664</v>
      </c>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20"/>
    </row>
    <row r="77" spans="1:37" ht="13.5" customHeight="1" x14ac:dyDescent="0.45">
      <c r="A77" s="622"/>
      <c r="B77" s="220"/>
      <c r="C77" s="221" t="s">
        <v>665</v>
      </c>
      <c r="D77" s="285">
        <v>5065</v>
      </c>
      <c r="E77" s="285">
        <v>5065</v>
      </c>
      <c r="F77" s="285">
        <v>5065</v>
      </c>
      <c r="G77" s="285">
        <v>5065</v>
      </c>
      <c r="H77" s="285">
        <v>5065</v>
      </c>
      <c r="I77" s="285">
        <v>5065</v>
      </c>
      <c r="J77" s="285">
        <v>5065</v>
      </c>
      <c r="K77" s="285">
        <v>5065</v>
      </c>
      <c r="L77" s="285">
        <v>5065</v>
      </c>
      <c r="M77" s="285">
        <v>5065</v>
      </c>
      <c r="N77" s="285">
        <v>5065</v>
      </c>
      <c r="O77" s="285">
        <v>5065</v>
      </c>
      <c r="P77" s="285">
        <v>5065</v>
      </c>
      <c r="Q77" s="285">
        <v>5065</v>
      </c>
      <c r="R77" s="285">
        <v>5065</v>
      </c>
      <c r="S77" s="285">
        <v>5065</v>
      </c>
      <c r="T77" s="285">
        <v>5065</v>
      </c>
      <c r="U77" s="285">
        <v>5065</v>
      </c>
      <c r="V77" s="285">
        <v>5065</v>
      </c>
      <c r="W77" s="285">
        <v>5065</v>
      </c>
      <c r="X77" s="285">
        <v>5065</v>
      </c>
      <c r="Y77" s="285">
        <v>5065</v>
      </c>
      <c r="Z77" s="285">
        <v>5065</v>
      </c>
      <c r="AA77" s="285">
        <v>5065</v>
      </c>
      <c r="AB77" s="285">
        <v>5065</v>
      </c>
      <c r="AC77" s="285">
        <v>5065</v>
      </c>
      <c r="AD77" s="285">
        <v>5065</v>
      </c>
      <c r="AE77" s="285">
        <v>5065</v>
      </c>
      <c r="AF77" s="285">
        <v>5065</v>
      </c>
      <c r="AG77" s="285">
        <v>5065</v>
      </c>
      <c r="AH77" s="285">
        <v>5065</v>
      </c>
      <c r="AI77" s="285">
        <v>5065</v>
      </c>
      <c r="AJ77" s="285">
        <v>5065</v>
      </c>
      <c r="AK77" s="220"/>
    </row>
    <row r="78" spans="1:37" ht="13.5" customHeight="1" x14ac:dyDescent="0.45">
      <c r="A78" s="622"/>
      <c r="B78" s="220"/>
      <c r="C78" s="221" t="s">
        <v>666</v>
      </c>
      <c r="D78" s="285">
        <v>3360</v>
      </c>
      <c r="E78" s="285">
        <v>3360</v>
      </c>
      <c r="F78" s="285">
        <v>3360</v>
      </c>
      <c r="G78" s="285">
        <v>3360</v>
      </c>
      <c r="H78" s="285">
        <v>3360</v>
      </c>
      <c r="I78" s="285">
        <v>3360</v>
      </c>
      <c r="J78" s="285">
        <v>3360</v>
      </c>
      <c r="K78" s="285">
        <v>3360</v>
      </c>
      <c r="L78" s="285">
        <v>3360</v>
      </c>
      <c r="M78" s="285">
        <v>3360</v>
      </c>
      <c r="N78" s="285">
        <v>3360</v>
      </c>
      <c r="O78" s="285">
        <v>3360</v>
      </c>
      <c r="P78" s="285">
        <v>3360</v>
      </c>
      <c r="Q78" s="285">
        <v>3360</v>
      </c>
      <c r="R78" s="285">
        <v>3360</v>
      </c>
      <c r="S78" s="285">
        <v>3360</v>
      </c>
      <c r="T78" s="285">
        <v>3360</v>
      </c>
      <c r="U78" s="285">
        <v>3360</v>
      </c>
      <c r="V78" s="285">
        <v>3360</v>
      </c>
      <c r="W78" s="285">
        <v>3360</v>
      </c>
      <c r="X78" s="285">
        <v>3360</v>
      </c>
      <c r="Y78" s="285">
        <v>3360</v>
      </c>
      <c r="Z78" s="285">
        <v>3360</v>
      </c>
      <c r="AA78" s="285">
        <v>3360</v>
      </c>
      <c r="AB78" s="285">
        <v>3360</v>
      </c>
      <c r="AC78" s="285">
        <v>3360</v>
      </c>
      <c r="AD78" s="285">
        <v>3360</v>
      </c>
      <c r="AE78" s="285">
        <v>3360</v>
      </c>
      <c r="AF78" s="285">
        <v>3360</v>
      </c>
      <c r="AG78" s="285">
        <v>3360</v>
      </c>
      <c r="AH78" s="285">
        <v>3360</v>
      </c>
      <c r="AI78" s="285">
        <v>3360</v>
      </c>
      <c r="AJ78" s="285">
        <v>3360</v>
      </c>
      <c r="AK78" s="220"/>
    </row>
    <row r="79" spans="1:37" ht="13.5" customHeight="1" x14ac:dyDescent="0.45">
      <c r="A79" s="622"/>
      <c r="B79" s="220"/>
      <c r="C79" s="243" t="s">
        <v>667</v>
      </c>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20"/>
    </row>
    <row r="80" spans="1:37" ht="13.5" customHeight="1" x14ac:dyDescent="0.45">
      <c r="A80" s="622"/>
      <c r="B80" s="220"/>
      <c r="C80" s="221" t="s">
        <v>664</v>
      </c>
      <c r="D80" s="285">
        <v>5275</v>
      </c>
      <c r="E80" s="285">
        <v>5275</v>
      </c>
      <c r="F80" s="285">
        <v>5275</v>
      </c>
      <c r="G80" s="285">
        <v>5275</v>
      </c>
      <c r="H80" s="285">
        <v>5275</v>
      </c>
      <c r="I80" s="285">
        <v>5275</v>
      </c>
      <c r="J80" s="285">
        <v>5275</v>
      </c>
      <c r="K80" s="285">
        <v>5275</v>
      </c>
      <c r="L80" s="285">
        <v>5275</v>
      </c>
      <c r="M80" s="285">
        <v>5275</v>
      </c>
      <c r="N80" s="285">
        <v>5275</v>
      </c>
      <c r="O80" s="285">
        <v>5275</v>
      </c>
      <c r="P80" s="285">
        <v>5275</v>
      </c>
      <c r="Q80" s="285">
        <v>5275</v>
      </c>
      <c r="R80" s="285">
        <v>5275</v>
      </c>
      <c r="S80" s="285">
        <v>5275</v>
      </c>
      <c r="T80" s="285">
        <v>5275</v>
      </c>
      <c r="U80" s="285">
        <v>5275</v>
      </c>
      <c r="V80" s="285">
        <v>5275</v>
      </c>
      <c r="W80" s="285">
        <v>5275</v>
      </c>
      <c r="X80" s="285">
        <v>5275</v>
      </c>
      <c r="Y80" s="285">
        <v>5275</v>
      </c>
      <c r="Z80" s="285">
        <v>5275</v>
      </c>
      <c r="AA80" s="285">
        <v>5275</v>
      </c>
      <c r="AB80" s="285">
        <v>5275</v>
      </c>
      <c r="AC80" s="285">
        <v>5275</v>
      </c>
      <c r="AD80" s="285">
        <v>5275</v>
      </c>
      <c r="AE80" s="285">
        <v>5275</v>
      </c>
      <c r="AF80" s="285">
        <v>5275</v>
      </c>
      <c r="AG80" s="285">
        <v>5275</v>
      </c>
      <c r="AH80" s="285">
        <v>5275</v>
      </c>
      <c r="AI80" s="285">
        <v>5275</v>
      </c>
      <c r="AJ80" s="285">
        <v>5275</v>
      </c>
      <c r="AK80" s="220"/>
    </row>
    <row r="81" spans="1:37" ht="13.5" customHeight="1" x14ac:dyDescent="0.45">
      <c r="A81" s="622"/>
      <c r="B81" s="220"/>
      <c r="C81" s="221" t="s">
        <v>665</v>
      </c>
      <c r="D81" s="285">
        <v>3518</v>
      </c>
      <c r="E81" s="285">
        <v>3518</v>
      </c>
      <c r="F81" s="285">
        <v>3518</v>
      </c>
      <c r="G81" s="285">
        <v>3518</v>
      </c>
      <c r="H81" s="285">
        <v>3518</v>
      </c>
      <c r="I81" s="285">
        <v>3518</v>
      </c>
      <c r="J81" s="285">
        <v>3518</v>
      </c>
      <c r="K81" s="285">
        <v>3518</v>
      </c>
      <c r="L81" s="285">
        <v>3518</v>
      </c>
      <c r="M81" s="285">
        <v>3518</v>
      </c>
      <c r="N81" s="285">
        <v>3518</v>
      </c>
      <c r="O81" s="285">
        <v>3518</v>
      </c>
      <c r="P81" s="285">
        <v>3518</v>
      </c>
      <c r="Q81" s="285">
        <v>3518</v>
      </c>
      <c r="R81" s="285">
        <v>3518</v>
      </c>
      <c r="S81" s="285">
        <v>3518</v>
      </c>
      <c r="T81" s="285">
        <v>3518</v>
      </c>
      <c r="U81" s="285">
        <v>3518</v>
      </c>
      <c r="V81" s="285">
        <v>3518</v>
      </c>
      <c r="W81" s="285">
        <v>3518</v>
      </c>
      <c r="X81" s="285">
        <v>3518</v>
      </c>
      <c r="Y81" s="285">
        <v>3518</v>
      </c>
      <c r="Z81" s="285">
        <v>3518</v>
      </c>
      <c r="AA81" s="285">
        <v>3518</v>
      </c>
      <c r="AB81" s="285">
        <v>3518</v>
      </c>
      <c r="AC81" s="285">
        <v>3518</v>
      </c>
      <c r="AD81" s="285">
        <v>3518</v>
      </c>
      <c r="AE81" s="285">
        <v>3518</v>
      </c>
      <c r="AF81" s="285">
        <v>3518</v>
      </c>
      <c r="AG81" s="285">
        <v>3518</v>
      </c>
      <c r="AH81" s="285">
        <v>3518</v>
      </c>
      <c r="AI81" s="285">
        <v>3518</v>
      </c>
      <c r="AJ81" s="285">
        <v>3518</v>
      </c>
      <c r="AK81" s="220"/>
    </row>
    <row r="82" spans="1:37" ht="13.5" customHeight="1" x14ac:dyDescent="0.45">
      <c r="A82" s="622"/>
      <c r="B82" s="220"/>
      <c r="C82" s="221" t="s">
        <v>666</v>
      </c>
      <c r="D82" s="285">
        <v>3465</v>
      </c>
      <c r="E82" s="285">
        <v>3465</v>
      </c>
      <c r="F82" s="285">
        <v>3465</v>
      </c>
      <c r="G82" s="285">
        <v>3465</v>
      </c>
      <c r="H82" s="285">
        <v>3465</v>
      </c>
      <c r="I82" s="285">
        <v>3465</v>
      </c>
      <c r="J82" s="285">
        <v>3465</v>
      </c>
      <c r="K82" s="285">
        <v>3465</v>
      </c>
      <c r="L82" s="285">
        <v>3465</v>
      </c>
      <c r="M82" s="285">
        <v>3465</v>
      </c>
      <c r="N82" s="285">
        <v>3465</v>
      </c>
      <c r="O82" s="285">
        <v>3465</v>
      </c>
      <c r="P82" s="285">
        <v>3465</v>
      </c>
      <c r="Q82" s="285">
        <v>3465</v>
      </c>
      <c r="R82" s="285">
        <v>3465</v>
      </c>
      <c r="S82" s="285">
        <v>3465</v>
      </c>
      <c r="T82" s="285">
        <v>3465</v>
      </c>
      <c r="U82" s="285">
        <v>3465</v>
      </c>
      <c r="V82" s="285">
        <v>3465</v>
      </c>
      <c r="W82" s="285">
        <v>3465</v>
      </c>
      <c r="X82" s="285">
        <v>3465</v>
      </c>
      <c r="Y82" s="285">
        <v>3465</v>
      </c>
      <c r="Z82" s="285">
        <v>3465</v>
      </c>
      <c r="AA82" s="285">
        <v>3465</v>
      </c>
      <c r="AB82" s="285">
        <v>3465</v>
      </c>
      <c r="AC82" s="285">
        <v>3465</v>
      </c>
      <c r="AD82" s="285">
        <v>3465</v>
      </c>
      <c r="AE82" s="285">
        <v>3465</v>
      </c>
      <c r="AF82" s="285">
        <v>3465</v>
      </c>
      <c r="AG82" s="285">
        <v>3465</v>
      </c>
      <c r="AH82" s="285">
        <v>3465</v>
      </c>
      <c r="AI82" s="285">
        <v>3465</v>
      </c>
      <c r="AJ82" s="285">
        <v>3465</v>
      </c>
      <c r="AK82" s="220"/>
    </row>
    <row r="83" spans="1:37" ht="13.5" customHeight="1" x14ac:dyDescent="0.45">
      <c r="A83" s="622"/>
      <c r="B83" s="220"/>
      <c r="C83" s="243" t="s">
        <v>668</v>
      </c>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220"/>
    </row>
    <row r="84" spans="1:37" ht="13.5" customHeight="1" x14ac:dyDescent="0.45">
      <c r="A84" s="622"/>
      <c r="B84" s="220"/>
      <c r="C84" s="221" t="s">
        <v>669</v>
      </c>
      <c r="D84" s="285">
        <v>869</v>
      </c>
      <c r="E84" s="285">
        <v>869</v>
      </c>
      <c r="F84" s="285">
        <v>869</v>
      </c>
      <c r="G84" s="285">
        <v>869</v>
      </c>
      <c r="H84" s="285">
        <v>869</v>
      </c>
      <c r="I84" s="285">
        <v>869</v>
      </c>
      <c r="J84" s="285">
        <v>869</v>
      </c>
      <c r="K84" s="285">
        <v>869</v>
      </c>
      <c r="L84" s="285">
        <v>869</v>
      </c>
      <c r="M84" s="285">
        <v>869</v>
      </c>
      <c r="N84" s="285">
        <v>869</v>
      </c>
      <c r="O84" s="285">
        <v>869</v>
      </c>
      <c r="P84" s="285">
        <v>869</v>
      </c>
      <c r="Q84" s="285">
        <v>869</v>
      </c>
      <c r="R84" s="285">
        <v>869</v>
      </c>
      <c r="S84" s="285">
        <v>869</v>
      </c>
      <c r="T84" s="285">
        <v>869</v>
      </c>
      <c r="U84" s="285">
        <v>869</v>
      </c>
      <c r="V84" s="285">
        <v>869</v>
      </c>
      <c r="W84" s="285">
        <v>869</v>
      </c>
      <c r="X84" s="285">
        <v>869</v>
      </c>
      <c r="Y84" s="285">
        <v>869</v>
      </c>
      <c r="Z84" s="285">
        <v>869</v>
      </c>
      <c r="AA84" s="285">
        <v>869</v>
      </c>
      <c r="AB84" s="285">
        <v>869</v>
      </c>
      <c r="AC84" s="285">
        <v>869</v>
      </c>
      <c r="AD84" s="285">
        <v>869</v>
      </c>
      <c r="AE84" s="285">
        <v>869</v>
      </c>
      <c r="AF84" s="285">
        <v>869</v>
      </c>
      <c r="AG84" s="285">
        <v>869</v>
      </c>
      <c r="AH84" s="285">
        <v>869</v>
      </c>
      <c r="AI84" s="285">
        <v>869</v>
      </c>
      <c r="AJ84" s="285">
        <v>869</v>
      </c>
      <c r="AK84" s="220"/>
    </row>
    <row r="85" spans="1:37" ht="13.5" customHeight="1" x14ac:dyDescent="0.45">
      <c r="A85" s="622"/>
      <c r="B85" s="220"/>
      <c r="C85" s="221" t="s">
        <v>670</v>
      </c>
      <c r="D85" s="285">
        <v>869</v>
      </c>
      <c r="E85" s="285">
        <v>845</v>
      </c>
      <c r="F85" s="285">
        <v>845</v>
      </c>
      <c r="G85" s="285">
        <v>845</v>
      </c>
      <c r="H85" s="285">
        <v>845</v>
      </c>
      <c r="I85" s="285">
        <v>845</v>
      </c>
      <c r="J85" s="285">
        <v>845</v>
      </c>
      <c r="K85" s="285">
        <v>825</v>
      </c>
      <c r="L85" s="285">
        <v>825</v>
      </c>
      <c r="M85" s="285">
        <v>825</v>
      </c>
      <c r="N85" s="285">
        <v>825</v>
      </c>
      <c r="O85" s="285">
        <v>825</v>
      </c>
      <c r="P85" s="285">
        <v>805</v>
      </c>
      <c r="Q85" s="285">
        <v>805</v>
      </c>
      <c r="R85" s="285">
        <v>805</v>
      </c>
      <c r="S85" s="285">
        <v>805</v>
      </c>
      <c r="T85" s="285">
        <v>805</v>
      </c>
      <c r="U85" s="285">
        <v>790</v>
      </c>
      <c r="V85" s="285">
        <v>790</v>
      </c>
      <c r="W85" s="285">
        <v>790</v>
      </c>
      <c r="X85" s="285">
        <v>790</v>
      </c>
      <c r="Y85" s="285">
        <v>790</v>
      </c>
      <c r="Z85" s="285">
        <v>775</v>
      </c>
      <c r="AA85" s="285">
        <v>775</v>
      </c>
      <c r="AB85" s="285">
        <v>775</v>
      </c>
      <c r="AC85" s="285">
        <v>775</v>
      </c>
      <c r="AD85" s="285">
        <v>775</v>
      </c>
      <c r="AE85" s="285">
        <v>759</v>
      </c>
      <c r="AF85" s="285">
        <v>759</v>
      </c>
      <c r="AG85" s="285">
        <v>759</v>
      </c>
      <c r="AH85" s="285">
        <v>759</v>
      </c>
      <c r="AI85" s="285">
        <v>759</v>
      </c>
      <c r="AJ85" s="285">
        <v>744</v>
      </c>
      <c r="AK85" s="220"/>
    </row>
    <row r="86" spans="1:37" ht="13.5" customHeight="1" x14ac:dyDescent="0.45">
      <c r="A86" s="622"/>
      <c r="B86" s="220"/>
      <c r="C86" s="221" t="s">
        <v>671</v>
      </c>
      <c r="D86" s="285">
        <v>1190</v>
      </c>
      <c r="E86" s="285">
        <v>1000</v>
      </c>
      <c r="F86" s="285">
        <v>1000</v>
      </c>
      <c r="G86" s="285">
        <v>1000</v>
      </c>
      <c r="H86" s="285">
        <v>1000</v>
      </c>
      <c r="I86" s="285">
        <v>1000</v>
      </c>
      <c r="J86" s="285">
        <v>1000</v>
      </c>
      <c r="K86" s="285">
        <v>991.5</v>
      </c>
      <c r="L86" s="285">
        <v>991.5</v>
      </c>
      <c r="M86" s="285">
        <v>991.5</v>
      </c>
      <c r="N86" s="285">
        <v>991.5</v>
      </c>
      <c r="O86" s="285">
        <v>991.5</v>
      </c>
      <c r="P86" s="285">
        <v>983</v>
      </c>
      <c r="Q86" s="285">
        <v>983</v>
      </c>
      <c r="R86" s="285">
        <v>983</v>
      </c>
      <c r="S86" s="285">
        <v>983</v>
      </c>
      <c r="T86" s="285">
        <v>983</v>
      </c>
      <c r="U86" s="285">
        <v>965.5</v>
      </c>
      <c r="V86" s="285">
        <v>965.5</v>
      </c>
      <c r="W86" s="285">
        <v>965.5</v>
      </c>
      <c r="X86" s="285">
        <v>965.5</v>
      </c>
      <c r="Y86" s="285">
        <v>965.5</v>
      </c>
      <c r="Z86" s="285">
        <v>948</v>
      </c>
      <c r="AA86" s="285">
        <v>948</v>
      </c>
      <c r="AB86" s="285">
        <v>948</v>
      </c>
      <c r="AC86" s="285">
        <v>948</v>
      </c>
      <c r="AD86" s="285">
        <v>948</v>
      </c>
      <c r="AE86" s="285">
        <v>930.5</v>
      </c>
      <c r="AF86" s="285">
        <v>930.5</v>
      </c>
      <c r="AG86" s="285">
        <v>930.5</v>
      </c>
      <c r="AH86" s="285">
        <v>930.5</v>
      </c>
      <c r="AI86" s="285">
        <v>930.5</v>
      </c>
      <c r="AJ86" s="285">
        <v>913</v>
      </c>
      <c r="AK86" s="220"/>
    </row>
    <row r="87" spans="1:37" ht="13.5" customHeight="1" x14ac:dyDescent="0.45">
      <c r="A87" s="622"/>
      <c r="B87" s="220"/>
      <c r="C87" s="221" t="s">
        <v>672</v>
      </c>
      <c r="D87" s="285">
        <v>2450</v>
      </c>
      <c r="E87" s="285">
        <v>2450</v>
      </c>
      <c r="F87" s="285">
        <v>2450</v>
      </c>
      <c r="G87" s="285">
        <v>2450</v>
      </c>
      <c r="H87" s="285">
        <v>2450</v>
      </c>
      <c r="I87" s="285">
        <v>2450</v>
      </c>
      <c r="J87" s="285">
        <v>2450</v>
      </c>
      <c r="K87" s="285">
        <v>2325</v>
      </c>
      <c r="L87" s="285">
        <v>2325</v>
      </c>
      <c r="M87" s="285">
        <v>2325</v>
      </c>
      <c r="N87" s="285">
        <v>2325</v>
      </c>
      <c r="O87" s="285">
        <v>2325</v>
      </c>
      <c r="P87" s="285">
        <v>2200</v>
      </c>
      <c r="Q87" s="285">
        <v>2200</v>
      </c>
      <c r="R87" s="285">
        <v>2200</v>
      </c>
      <c r="S87" s="285">
        <v>2200</v>
      </c>
      <c r="T87" s="285">
        <v>2200</v>
      </c>
      <c r="U87" s="285">
        <v>2175</v>
      </c>
      <c r="V87" s="285">
        <v>2175</v>
      </c>
      <c r="W87" s="285">
        <v>2175</v>
      </c>
      <c r="X87" s="285">
        <v>2175</v>
      </c>
      <c r="Y87" s="285">
        <v>2175</v>
      </c>
      <c r="Z87" s="285">
        <v>2150</v>
      </c>
      <c r="AA87" s="285">
        <v>2150</v>
      </c>
      <c r="AB87" s="285">
        <v>2150</v>
      </c>
      <c r="AC87" s="285">
        <v>2150</v>
      </c>
      <c r="AD87" s="285">
        <v>2150</v>
      </c>
      <c r="AE87" s="285">
        <v>2125</v>
      </c>
      <c r="AF87" s="285">
        <v>2125</v>
      </c>
      <c r="AG87" s="285">
        <v>2125</v>
      </c>
      <c r="AH87" s="285">
        <v>2125</v>
      </c>
      <c r="AI87" s="285">
        <v>2125</v>
      </c>
      <c r="AJ87" s="285">
        <v>2100</v>
      </c>
      <c r="AK87" s="220"/>
    </row>
    <row r="88" spans="1:37" ht="13.5" customHeight="1" x14ac:dyDescent="0.45">
      <c r="A88" s="622"/>
      <c r="B88" s="220"/>
      <c r="C88" s="243" t="s">
        <v>673</v>
      </c>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220"/>
    </row>
    <row r="89" spans="1:37" ht="13.5" customHeight="1" x14ac:dyDescent="0.45">
      <c r="A89" s="622"/>
      <c r="B89" s="220"/>
      <c r="C89" s="221" t="s">
        <v>674</v>
      </c>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220"/>
    </row>
    <row r="90" spans="1:37" ht="13.5" customHeight="1" x14ac:dyDescent="0.45">
      <c r="A90" s="622"/>
      <c r="B90" s="220"/>
      <c r="C90" s="221" t="s">
        <v>675</v>
      </c>
      <c r="D90" s="285"/>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220"/>
    </row>
    <row r="91" spans="1:37" ht="13.5" customHeight="1" x14ac:dyDescent="0.45">
      <c r="A91" s="622"/>
      <c r="B91" s="220"/>
      <c r="C91" s="243" t="s">
        <v>676</v>
      </c>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220"/>
    </row>
    <row r="92" spans="1:37" ht="13.5" customHeight="1" x14ac:dyDescent="0.45">
      <c r="A92" s="622"/>
      <c r="B92" s="220"/>
      <c r="C92" s="221" t="s">
        <v>674</v>
      </c>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220"/>
    </row>
    <row r="93" spans="1:37" ht="13.5" customHeight="1" x14ac:dyDescent="0.45">
      <c r="A93" s="622"/>
      <c r="B93" s="220"/>
      <c r="C93" s="221" t="s">
        <v>675</v>
      </c>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220"/>
    </row>
    <row r="94" spans="1:37" ht="13.5" customHeight="1" x14ac:dyDescent="0.45">
      <c r="A94" s="622"/>
      <c r="B94" s="220"/>
      <c r="C94" s="221" t="s">
        <v>677</v>
      </c>
      <c r="D94" s="285">
        <v>1770</v>
      </c>
      <c r="E94" s="285">
        <v>1770</v>
      </c>
      <c r="F94" s="285">
        <v>1770</v>
      </c>
      <c r="G94" s="285">
        <v>1770</v>
      </c>
      <c r="H94" s="285">
        <v>1770</v>
      </c>
      <c r="I94" s="285">
        <v>1770</v>
      </c>
      <c r="J94" s="285">
        <v>1770</v>
      </c>
      <c r="K94" s="285">
        <v>1770</v>
      </c>
      <c r="L94" s="285">
        <v>1770</v>
      </c>
      <c r="M94" s="285">
        <v>1770</v>
      </c>
      <c r="N94" s="285">
        <v>1770</v>
      </c>
      <c r="O94" s="285">
        <v>1770</v>
      </c>
      <c r="P94" s="285">
        <v>1770</v>
      </c>
      <c r="Q94" s="285">
        <v>1770</v>
      </c>
      <c r="R94" s="285">
        <v>1770</v>
      </c>
      <c r="S94" s="285">
        <v>1770</v>
      </c>
      <c r="T94" s="285">
        <v>1770</v>
      </c>
      <c r="U94" s="285">
        <v>1770</v>
      </c>
      <c r="V94" s="285">
        <v>1770</v>
      </c>
      <c r="W94" s="285">
        <v>1770</v>
      </c>
      <c r="X94" s="285">
        <v>1770</v>
      </c>
      <c r="Y94" s="285">
        <v>1770</v>
      </c>
      <c r="Z94" s="285">
        <v>1770</v>
      </c>
      <c r="AA94" s="285">
        <v>1770</v>
      </c>
      <c r="AB94" s="285">
        <v>1770</v>
      </c>
      <c r="AC94" s="285">
        <v>1770</v>
      </c>
      <c r="AD94" s="285">
        <v>1770</v>
      </c>
      <c r="AE94" s="285">
        <v>1770</v>
      </c>
      <c r="AF94" s="285">
        <v>1770</v>
      </c>
      <c r="AG94" s="285">
        <v>1770</v>
      </c>
      <c r="AH94" s="285">
        <v>1770</v>
      </c>
      <c r="AI94" s="285">
        <v>1770</v>
      </c>
      <c r="AJ94" s="285">
        <v>1770</v>
      </c>
      <c r="AK94" s="220"/>
    </row>
    <row r="95" spans="1:37" ht="13.5" customHeight="1" x14ac:dyDescent="0.45">
      <c r="A95" s="622"/>
      <c r="B95" s="220"/>
      <c r="C95" s="221" t="s">
        <v>678</v>
      </c>
      <c r="D95" s="285">
        <v>4500</v>
      </c>
      <c r="E95" s="285">
        <v>4500</v>
      </c>
      <c r="F95" s="285">
        <v>4500</v>
      </c>
      <c r="G95" s="285">
        <v>4500</v>
      </c>
      <c r="H95" s="285">
        <v>4500</v>
      </c>
      <c r="I95" s="285">
        <v>4500</v>
      </c>
      <c r="J95" s="285">
        <v>4500</v>
      </c>
      <c r="K95" s="285">
        <v>4500</v>
      </c>
      <c r="L95" s="285">
        <v>4500</v>
      </c>
      <c r="M95" s="285">
        <v>4500</v>
      </c>
      <c r="N95" s="285">
        <v>4500</v>
      </c>
      <c r="O95" s="285">
        <v>4500</v>
      </c>
      <c r="P95" s="285">
        <v>4500</v>
      </c>
      <c r="Q95" s="285">
        <v>4500</v>
      </c>
      <c r="R95" s="285">
        <v>4500</v>
      </c>
      <c r="S95" s="285">
        <v>4500</v>
      </c>
      <c r="T95" s="285">
        <v>4500</v>
      </c>
      <c r="U95" s="285">
        <v>4400</v>
      </c>
      <c r="V95" s="285">
        <v>4400</v>
      </c>
      <c r="W95" s="285">
        <v>4400</v>
      </c>
      <c r="X95" s="285">
        <v>4400</v>
      </c>
      <c r="Y95" s="285">
        <v>4400</v>
      </c>
      <c r="Z95" s="285">
        <v>4300</v>
      </c>
      <c r="AA95" s="285">
        <v>4300</v>
      </c>
      <c r="AB95" s="285">
        <v>4300</v>
      </c>
      <c r="AC95" s="285">
        <v>4300</v>
      </c>
      <c r="AD95" s="285">
        <v>4300</v>
      </c>
      <c r="AE95" s="285">
        <v>4200</v>
      </c>
      <c r="AF95" s="285">
        <v>4200</v>
      </c>
      <c r="AG95" s="285">
        <v>4200</v>
      </c>
      <c r="AH95" s="285">
        <v>4200</v>
      </c>
      <c r="AI95" s="285">
        <v>4200</v>
      </c>
      <c r="AJ95" s="285">
        <v>4100</v>
      </c>
      <c r="AK95" s="220"/>
    </row>
    <row r="96" spans="1:37" ht="13.5" customHeight="1" x14ac:dyDescent="0.45">
      <c r="A96" s="622"/>
      <c r="B96" s="220"/>
      <c r="C96" s="243" t="s">
        <v>679</v>
      </c>
      <c r="D96" s="285"/>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220"/>
    </row>
    <row r="97" spans="1:37" ht="13.5" customHeight="1" x14ac:dyDescent="0.45">
      <c r="A97" s="622"/>
      <c r="B97" s="220"/>
      <c r="C97" s="221" t="s">
        <v>680</v>
      </c>
      <c r="D97" s="285">
        <v>2500</v>
      </c>
      <c r="E97" s="285">
        <v>2500</v>
      </c>
      <c r="F97" s="285">
        <v>2500</v>
      </c>
      <c r="G97" s="285">
        <v>2500</v>
      </c>
      <c r="H97" s="285">
        <v>2500</v>
      </c>
      <c r="I97" s="285">
        <v>2500</v>
      </c>
      <c r="J97" s="285">
        <v>2500</v>
      </c>
      <c r="K97" s="285">
        <v>2500</v>
      </c>
      <c r="L97" s="285">
        <v>2500</v>
      </c>
      <c r="M97" s="285">
        <v>2500</v>
      </c>
      <c r="N97" s="285">
        <v>2500</v>
      </c>
      <c r="O97" s="285">
        <v>2500</v>
      </c>
      <c r="P97" s="285">
        <v>2500</v>
      </c>
      <c r="Q97" s="285">
        <v>2500</v>
      </c>
      <c r="R97" s="285">
        <v>2500</v>
      </c>
      <c r="S97" s="285">
        <v>2500</v>
      </c>
      <c r="T97" s="285">
        <v>2500</v>
      </c>
      <c r="U97" s="285">
        <v>2250</v>
      </c>
      <c r="V97" s="285">
        <v>2250</v>
      </c>
      <c r="W97" s="285">
        <v>2250</v>
      </c>
      <c r="X97" s="285">
        <v>2250</v>
      </c>
      <c r="Y97" s="285">
        <v>2250</v>
      </c>
      <c r="Z97" s="285">
        <v>1875</v>
      </c>
      <c r="AA97" s="285">
        <v>1875</v>
      </c>
      <c r="AB97" s="285">
        <v>1875</v>
      </c>
      <c r="AC97" s="285">
        <v>1875</v>
      </c>
      <c r="AD97" s="285">
        <v>1875</v>
      </c>
      <c r="AE97" s="285">
        <v>1875</v>
      </c>
      <c r="AF97" s="285">
        <v>1875</v>
      </c>
      <c r="AG97" s="285">
        <v>1875</v>
      </c>
      <c r="AH97" s="285">
        <v>1875</v>
      </c>
      <c r="AI97" s="285">
        <v>1875</v>
      </c>
      <c r="AJ97" s="285">
        <v>1875</v>
      </c>
      <c r="AK97" s="220"/>
    </row>
    <row r="98" spans="1:37" ht="13.5" customHeight="1" x14ac:dyDescent="0.45">
      <c r="A98" s="622"/>
      <c r="B98" s="220"/>
      <c r="C98" s="221" t="s">
        <v>681</v>
      </c>
      <c r="D98" s="285">
        <v>4275</v>
      </c>
      <c r="E98" s="285">
        <v>4275</v>
      </c>
      <c r="F98" s="285">
        <v>4275</v>
      </c>
      <c r="G98" s="285">
        <v>4275</v>
      </c>
      <c r="H98" s="285">
        <v>4275</v>
      </c>
      <c r="I98" s="285">
        <v>4275</v>
      </c>
      <c r="J98" s="285">
        <v>4275</v>
      </c>
      <c r="K98" s="285">
        <v>4275</v>
      </c>
      <c r="L98" s="285">
        <v>4275</v>
      </c>
      <c r="M98" s="285">
        <v>4275</v>
      </c>
      <c r="N98" s="285">
        <v>4275</v>
      </c>
      <c r="O98" s="285">
        <v>4275</v>
      </c>
      <c r="P98" s="285">
        <v>4275</v>
      </c>
      <c r="Q98" s="285">
        <v>4275</v>
      </c>
      <c r="R98" s="285">
        <v>4275</v>
      </c>
      <c r="S98" s="285">
        <v>4275</v>
      </c>
      <c r="T98" s="285">
        <v>4275</v>
      </c>
      <c r="U98" s="285">
        <v>4275</v>
      </c>
      <c r="V98" s="285">
        <v>4275</v>
      </c>
      <c r="W98" s="285">
        <v>4275</v>
      </c>
      <c r="X98" s="285">
        <v>4275</v>
      </c>
      <c r="Y98" s="285">
        <v>4275</v>
      </c>
      <c r="Z98" s="285">
        <v>3563</v>
      </c>
      <c r="AA98" s="285">
        <v>3563</v>
      </c>
      <c r="AB98" s="285">
        <v>3563</v>
      </c>
      <c r="AC98" s="285">
        <v>3563</v>
      </c>
      <c r="AD98" s="285">
        <v>3563</v>
      </c>
      <c r="AE98" s="285">
        <v>3563</v>
      </c>
      <c r="AF98" s="285">
        <v>3563</v>
      </c>
      <c r="AG98" s="285">
        <v>3563</v>
      </c>
      <c r="AH98" s="285">
        <v>3563</v>
      </c>
      <c r="AI98" s="285">
        <v>3563</v>
      </c>
      <c r="AJ98" s="285">
        <v>3563</v>
      </c>
      <c r="AK98" s="220"/>
    </row>
    <row r="99" spans="1:37" ht="13.5" customHeight="1" x14ac:dyDescent="0.45">
      <c r="A99" s="622"/>
      <c r="B99" s="220"/>
      <c r="C99" s="243" t="s">
        <v>682</v>
      </c>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220"/>
    </row>
    <row r="100" spans="1:37" ht="13.5" customHeight="1" x14ac:dyDescent="0.45">
      <c r="A100" s="622"/>
      <c r="B100" s="220"/>
      <c r="C100" s="221" t="s">
        <v>683</v>
      </c>
      <c r="D100" s="285">
        <v>1980</v>
      </c>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220"/>
    </row>
    <row r="101" spans="1:37" ht="13.5" customHeight="1" x14ac:dyDescent="0.45">
      <c r="A101" s="622"/>
      <c r="B101" s="220"/>
      <c r="C101" s="221" t="s">
        <v>684</v>
      </c>
      <c r="D101" s="285">
        <v>1980</v>
      </c>
      <c r="E101" s="285">
        <v>1360</v>
      </c>
      <c r="F101" s="285">
        <v>1360</v>
      </c>
      <c r="G101" s="285">
        <v>1360</v>
      </c>
      <c r="H101" s="285">
        <v>1360</v>
      </c>
      <c r="I101" s="285">
        <v>1360</v>
      </c>
      <c r="J101" s="285">
        <v>1360</v>
      </c>
      <c r="K101" s="285">
        <v>1220</v>
      </c>
      <c r="L101" s="285">
        <v>1220</v>
      </c>
      <c r="M101" s="285">
        <v>1220</v>
      </c>
      <c r="N101" s="285">
        <v>1220</v>
      </c>
      <c r="O101" s="285">
        <v>1220</v>
      </c>
      <c r="P101" s="285">
        <v>1080</v>
      </c>
      <c r="Q101" s="285">
        <v>1080</v>
      </c>
      <c r="R101" s="285">
        <v>1080</v>
      </c>
      <c r="S101" s="285">
        <v>1080</v>
      </c>
      <c r="T101" s="285">
        <v>1080</v>
      </c>
      <c r="U101" s="285">
        <v>1050</v>
      </c>
      <c r="V101" s="285">
        <v>1050</v>
      </c>
      <c r="W101" s="285">
        <v>1050</v>
      </c>
      <c r="X101" s="285">
        <v>1050</v>
      </c>
      <c r="Y101" s="285">
        <v>1050</v>
      </c>
      <c r="Z101" s="285">
        <v>1020</v>
      </c>
      <c r="AA101" s="285">
        <v>1020</v>
      </c>
      <c r="AB101" s="285">
        <v>1020</v>
      </c>
      <c r="AC101" s="285">
        <v>1020</v>
      </c>
      <c r="AD101" s="285">
        <v>1020</v>
      </c>
      <c r="AE101" s="285">
        <v>990</v>
      </c>
      <c r="AF101" s="285">
        <v>990</v>
      </c>
      <c r="AG101" s="285">
        <v>990</v>
      </c>
      <c r="AH101" s="285">
        <v>990</v>
      </c>
      <c r="AI101" s="285">
        <v>990</v>
      </c>
      <c r="AJ101" s="285">
        <v>960</v>
      </c>
      <c r="AK101" s="220"/>
    </row>
    <row r="102" spans="1:37" ht="13.5" customHeight="1" x14ac:dyDescent="0.45">
      <c r="A102" s="622"/>
      <c r="B102" s="220"/>
      <c r="C102" s="221" t="s">
        <v>685</v>
      </c>
      <c r="D102" s="285">
        <v>1980</v>
      </c>
      <c r="E102" s="285">
        <v>1360</v>
      </c>
      <c r="F102" s="285">
        <v>1360</v>
      </c>
      <c r="G102" s="285">
        <v>1360</v>
      </c>
      <c r="H102" s="285">
        <v>1360</v>
      </c>
      <c r="I102" s="285">
        <v>1360</v>
      </c>
      <c r="J102" s="285">
        <v>1360</v>
      </c>
      <c r="K102" s="285">
        <v>1220</v>
      </c>
      <c r="L102" s="285">
        <v>1220</v>
      </c>
      <c r="M102" s="285">
        <v>1220</v>
      </c>
      <c r="N102" s="285">
        <v>1220</v>
      </c>
      <c r="O102" s="285">
        <v>1220</v>
      </c>
      <c r="P102" s="285">
        <v>1080</v>
      </c>
      <c r="Q102" s="285">
        <v>1080</v>
      </c>
      <c r="R102" s="285">
        <v>1080</v>
      </c>
      <c r="S102" s="285">
        <v>1080</v>
      </c>
      <c r="T102" s="285">
        <v>1080</v>
      </c>
      <c r="U102" s="285">
        <v>1050</v>
      </c>
      <c r="V102" s="285">
        <v>1050</v>
      </c>
      <c r="W102" s="285">
        <v>1050</v>
      </c>
      <c r="X102" s="285">
        <v>1050</v>
      </c>
      <c r="Y102" s="285">
        <v>1050</v>
      </c>
      <c r="Z102" s="285">
        <v>1020</v>
      </c>
      <c r="AA102" s="285">
        <v>1020</v>
      </c>
      <c r="AB102" s="285">
        <v>1020</v>
      </c>
      <c r="AC102" s="285">
        <v>1020</v>
      </c>
      <c r="AD102" s="285">
        <v>1020</v>
      </c>
      <c r="AE102" s="285">
        <v>990</v>
      </c>
      <c r="AF102" s="285">
        <v>990</v>
      </c>
      <c r="AG102" s="285">
        <v>990</v>
      </c>
      <c r="AH102" s="285">
        <v>990</v>
      </c>
      <c r="AI102" s="285">
        <v>990</v>
      </c>
      <c r="AJ102" s="285">
        <v>960</v>
      </c>
      <c r="AK102" s="220"/>
    </row>
    <row r="103" spans="1:37" ht="13.5" customHeight="1" x14ac:dyDescent="0.45">
      <c r="A103" s="622"/>
      <c r="B103" s="220"/>
      <c r="C103" s="221" t="s">
        <v>296</v>
      </c>
      <c r="D103" s="285">
        <v>7254</v>
      </c>
      <c r="E103" s="285">
        <v>6849</v>
      </c>
      <c r="F103" s="285">
        <v>6849</v>
      </c>
      <c r="G103" s="285">
        <v>6849</v>
      </c>
      <c r="H103" s="285">
        <v>6849</v>
      </c>
      <c r="I103" s="285">
        <v>6849</v>
      </c>
      <c r="J103" s="285">
        <v>6849</v>
      </c>
      <c r="K103" s="285">
        <v>6445</v>
      </c>
      <c r="L103" s="285">
        <v>6445</v>
      </c>
      <c r="M103" s="285">
        <v>6445</v>
      </c>
      <c r="N103" s="285">
        <v>6445</v>
      </c>
      <c r="O103" s="285">
        <v>6445</v>
      </c>
      <c r="P103" s="285">
        <v>6040</v>
      </c>
      <c r="Q103" s="285">
        <v>6040</v>
      </c>
      <c r="R103" s="285">
        <v>6040</v>
      </c>
      <c r="S103" s="285">
        <v>6040</v>
      </c>
      <c r="T103" s="285">
        <v>6040</v>
      </c>
      <c r="U103" s="285">
        <v>5636</v>
      </c>
      <c r="V103" s="285">
        <v>5636</v>
      </c>
      <c r="W103" s="285">
        <v>5636</v>
      </c>
      <c r="X103" s="285">
        <v>5636</v>
      </c>
      <c r="Y103" s="285">
        <v>5636</v>
      </c>
      <c r="Z103" s="285">
        <v>5231</v>
      </c>
      <c r="AA103" s="285">
        <v>5231</v>
      </c>
      <c r="AB103" s="285">
        <v>5231</v>
      </c>
      <c r="AC103" s="285">
        <v>5231</v>
      </c>
      <c r="AD103" s="285">
        <v>5231</v>
      </c>
      <c r="AE103" s="285">
        <v>4827</v>
      </c>
      <c r="AF103" s="285">
        <v>4827</v>
      </c>
      <c r="AG103" s="285">
        <v>4827</v>
      </c>
      <c r="AH103" s="285">
        <v>4827</v>
      </c>
      <c r="AI103" s="285">
        <v>4827</v>
      </c>
      <c r="AJ103" s="285">
        <v>4422</v>
      </c>
      <c r="AK103" s="220"/>
    </row>
    <row r="104" spans="1:37" ht="13.5" customHeight="1" x14ac:dyDescent="0.45">
      <c r="A104" s="622"/>
      <c r="B104" s="220"/>
      <c r="C104" s="221" t="s">
        <v>686</v>
      </c>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220"/>
    </row>
    <row r="105" spans="1:37" ht="13.5" customHeight="1" x14ac:dyDescent="0.45">
      <c r="A105" s="622"/>
      <c r="B105" s="220"/>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20"/>
    </row>
    <row r="106" spans="1:37" ht="13.5" customHeight="1" x14ac:dyDescent="0.45">
      <c r="A106" s="622"/>
      <c r="B106" s="220"/>
      <c r="C106" s="221" t="s">
        <v>687</v>
      </c>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220"/>
    </row>
    <row r="107" spans="1:37" ht="13.5" customHeight="1" x14ac:dyDescent="0.45">
      <c r="A107" s="622"/>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c r="AA107" s="220"/>
      <c r="AB107" s="220"/>
      <c r="AC107" s="220"/>
      <c r="AD107" s="220"/>
      <c r="AE107" s="220"/>
      <c r="AF107" s="220"/>
      <c r="AG107" s="220"/>
      <c r="AH107" s="220"/>
      <c r="AI107" s="220"/>
      <c r="AJ107" s="220"/>
      <c r="AK107" s="220"/>
    </row>
    <row r="108" spans="1:37" ht="13.5" customHeight="1" x14ac:dyDescent="0.45">
      <c r="A108" s="622"/>
      <c r="B108" s="220"/>
      <c r="C108" s="243" t="s">
        <v>688</v>
      </c>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20"/>
    </row>
    <row r="109" spans="1:37" ht="13.5" customHeight="1" x14ac:dyDescent="0.45">
      <c r="A109" s="622"/>
      <c r="B109" s="220"/>
      <c r="C109" s="243" t="s">
        <v>689</v>
      </c>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20"/>
    </row>
    <row r="110" spans="1:37" ht="13.5" customHeight="1" x14ac:dyDescent="0.45">
      <c r="A110" s="622"/>
      <c r="B110" s="220"/>
      <c r="C110" s="221" t="s">
        <v>655</v>
      </c>
      <c r="D110" s="285">
        <v>96</v>
      </c>
      <c r="E110" s="285">
        <v>96</v>
      </c>
      <c r="F110" s="285">
        <v>96</v>
      </c>
      <c r="G110" s="285">
        <v>96</v>
      </c>
      <c r="H110" s="285">
        <v>96</v>
      </c>
      <c r="I110" s="285">
        <v>96</v>
      </c>
      <c r="J110" s="285">
        <v>96</v>
      </c>
      <c r="K110" s="285">
        <v>96</v>
      </c>
      <c r="L110" s="285">
        <v>96</v>
      </c>
      <c r="M110" s="285">
        <v>96</v>
      </c>
      <c r="N110" s="285">
        <v>96</v>
      </c>
      <c r="O110" s="285">
        <v>96</v>
      </c>
      <c r="P110" s="285">
        <v>96</v>
      </c>
      <c r="Q110" s="285">
        <v>96</v>
      </c>
      <c r="R110" s="285">
        <v>96</v>
      </c>
      <c r="S110" s="285">
        <v>96</v>
      </c>
      <c r="T110" s="285">
        <v>96</v>
      </c>
      <c r="U110" s="285">
        <v>96</v>
      </c>
      <c r="V110" s="285">
        <v>96</v>
      </c>
      <c r="W110" s="285">
        <v>96</v>
      </c>
      <c r="X110" s="285">
        <v>96</v>
      </c>
      <c r="Y110" s="285">
        <v>96</v>
      </c>
      <c r="Z110" s="285">
        <v>96</v>
      </c>
      <c r="AA110" s="285">
        <v>96</v>
      </c>
      <c r="AB110" s="285">
        <v>96</v>
      </c>
      <c r="AC110" s="285">
        <v>96</v>
      </c>
      <c r="AD110" s="285">
        <v>96</v>
      </c>
      <c r="AE110" s="285">
        <v>96</v>
      </c>
      <c r="AF110" s="285">
        <v>96</v>
      </c>
      <c r="AG110" s="285">
        <v>96</v>
      </c>
      <c r="AH110" s="285">
        <v>96</v>
      </c>
      <c r="AI110" s="285">
        <v>96</v>
      </c>
      <c r="AJ110" s="285">
        <v>96</v>
      </c>
      <c r="AK110" s="220"/>
    </row>
    <row r="111" spans="1:37" ht="13.5" customHeight="1" x14ac:dyDescent="0.45">
      <c r="A111" s="622"/>
      <c r="B111" s="220"/>
      <c r="C111" s="221" t="s">
        <v>656</v>
      </c>
      <c r="D111" s="285">
        <v>150</v>
      </c>
      <c r="E111" s="285">
        <v>150</v>
      </c>
      <c r="F111" s="285">
        <v>150</v>
      </c>
      <c r="G111" s="285">
        <v>150</v>
      </c>
      <c r="H111" s="285">
        <v>150</v>
      </c>
      <c r="I111" s="285">
        <v>150</v>
      </c>
      <c r="J111" s="285">
        <v>150</v>
      </c>
      <c r="K111" s="285">
        <v>150</v>
      </c>
      <c r="L111" s="285">
        <v>150</v>
      </c>
      <c r="M111" s="285">
        <v>150</v>
      </c>
      <c r="N111" s="285">
        <v>150</v>
      </c>
      <c r="O111" s="285">
        <v>150</v>
      </c>
      <c r="P111" s="285">
        <v>150</v>
      </c>
      <c r="Q111" s="285">
        <v>150</v>
      </c>
      <c r="R111" s="285">
        <v>150</v>
      </c>
      <c r="S111" s="285">
        <v>150</v>
      </c>
      <c r="T111" s="285">
        <v>150</v>
      </c>
      <c r="U111" s="285">
        <v>150</v>
      </c>
      <c r="V111" s="285">
        <v>150</v>
      </c>
      <c r="W111" s="285">
        <v>150</v>
      </c>
      <c r="X111" s="285">
        <v>150</v>
      </c>
      <c r="Y111" s="285">
        <v>150</v>
      </c>
      <c r="Z111" s="285">
        <v>150</v>
      </c>
      <c r="AA111" s="285">
        <v>150</v>
      </c>
      <c r="AB111" s="285">
        <v>150</v>
      </c>
      <c r="AC111" s="285">
        <v>150</v>
      </c>
      <c r="AD111" s="285">
        <v>150</v>
      </c>
      <c r="AE111" s="285">
        <v>150</v>
      </c>
      <c r="AF111" s="285">
        <v>150</v>
      </c>
      <c r="AG111" s="285">
        <v>150</v>
      </c>
      <c r="AH111" s="285">
        <v>150</v>
      </c>
      <c r="AI111" s="285">
        <v>150</v>
      </c>
      <c r="AJ111" s="285">
        <v>150</v>
      </c>
      <c r="AK111" s="220"/>
    </row>
    <row r="112" spans="1:37" ht="13.5" customHeight="1" x14ac:dyDescent="0.45">
      <c r="A112" s="622"/>
      <c r="B112" s="220"/>
      <c r="C112" s="221" t="s">
        <v>657</v>
      </c>
      <c r="D112" s="285">
        <v>90</v>
      </c>
      <c r="E112" s="285">
        <v>90</v>
      </c>
      <c r="F112" s="285">
        <v>90</v>
      </c>
      <c r="G112" s="285">
        <v>90</v>
      </c>
      <c r="H112" s="285">
        <v>90</v>
      </c>
      <c r="I112" s="285">
        <v>90</v>
      </c>
      <c r="J112" s="285">
        <v>90</v>
      </c>
      <c r="K112" s="285">
        <v>90</v>
      </c>
      <c r="L112" s="285">
        <v>90</v>
      </c>
      <c r="M112" s="285">
        <v>90</v>
      </c>
      <c r="N112" s="285">
        <v>90</v>
      </c>
      <c r="O112" s="285">
        <v>90</v>
      </c>
      <c r="P112" s="285">
        <v>90</v>
      </c>
      <c r="Q112" s="285">
        <v>90</v>
      </c>
      <c r="R112" s="285">
        <v>90</v>
      </c>
      <c r="S112" s="285">
        <v>90</v>
      </c>
      <c r="T112" s="285">
        <v>90</v>
      </c>
      <c r="U112" s="285">
        <v>90</v>
      </c>
      <c r="V112" s="285">
        <v>90</v>
      </c>
      <c r="W112" s="285">
        <v>90</v>
      </c>
      <c r="X112" s="285">
        <v>90</v>
      </c>
      <c r="Y112" s="285">
        <v>90</v>
      </c>
      <c r="Z112" s="285">
        <v>90</v>
      </c>
      <c r="AA112" s="285">
        <v>90</v>
      </c>
      <c r="AB112" s="285">
        <v>90</v>
      </c>
      <c r="AC112" s="285">
        <v>90</v>
      </c>
      <c r="AD112" s="285">
        <v>90</v>
      </c>
      <c r="AE112" s="285">
        <v>90</v>
      </c>
      <c r="AF112" s="285">
        <v>90</v>
      </c>
      <c r="AG112" s="285">
        <v>90</v>
      </c>
      <c r="AH112" s="285">
        <v>90</v>
      </c>
      <c r="AI112" s="285">
        <v>90</v>
      </c>
      <c r="AJ112" s="285">
        <v>90</v>
      </c>
      <c r="AK112" s="220"/>
    </row>
    <row r="113" spans="1:37" ht="13.5" customHeight="1" x14ac:dyDescent="0.45">
      <c r="A113" s="622"/>
      <c r="B113" s="220"/>
      <c r="C113" s="221" t="s">
        <v>658</v>
      </c>
      <c r="D113" s="285">
        <v>95</v>
      </c>
      <c r="E113" s="285">
        <v>95</v>
      </c>
      <c r="F113" s="285">
        <v>95</v>
      </c>
      <c r="G113" s="285">
        <v>95</v>
      </c>
      <c r="H113" s="285">
        <v>95</v>
      </c>
      <c r="I113" s="285">
        <v>95</v>
      </c>
      <c r="J113" s="285">
        <v>95</v>
      </c>
      <c r="K113" s="285">
        <v>91</v>
      </c>
      <c r="L113" s="285">
        <v>91</v>
      </c>
      <c r="M113" s="285">
        <v>91</v>
      </c>
      <c r="N113" s="285">
        <v>91</v>
      </c>
      <c r="O113" s="285">
        <v>91</v>
      </c>
      <c r="P113" s="285">
        <v>88</v>
      </c>
      <c r="Q113" s="285">
        <v>88</v>
      </c>
      <c r="R113" s="285">
        <v>88</v>
      </c>
      <c r="S113" s="285">
        <v>88</v>
      </c>
      <c r="T113" s="285">
        <v>88</v>
      </c>
      <c r="U113" s="285">
        <v>87</v>
      </c>
      <c r="V113" s="285">
        <v>87</v>
      </c>
      <c r="W113" s="285">
        <v>87</v>
      </c>
      <c r="X113" s="285">
        <v>87</v>
      </c>
      <c r="Y113" s="285">
        <v>87</v>
      </c>
      <c r="Z113" s="285">
        <v>86</v>
      </c>
      <c r="AA113" s="285">
        <v>86</v>
      </c>
      <c r="AB113" s="285">
        <v>86</v>
      </c>
      <c r="AC113" s="285">
        <v>86</v>
      </c>
      <c r="AD113" s="285">
        <v>86</v>
      </c>
      <c r="AE113" s="285">
        <v>85</v>
      </c>
      <c r="AF113" s="285">
        <v>85</v>
      </c>
      <c r="AG113" s="285">
        <v>85</v>
      </c>
      <c r="AH113" s="285">
        <v>85</v>
      </c>
      <c r="AI113" s="285">
        <v>85</v>
      </c>
      <c r="AJ113" s="285">
        <v>84</v>
      </c>
      <c r="AK113" s="220"/>
    </row>
    <row r="114" spans="1:37" ht="13.5" customHeight="1" x14ac:dyDescent="0.45">
      <c r="A114" s="622"/>
      <c r="B114" s="220"/>
      <c r="C114" s="221" t="s">
        <v>659</v>
      </c>
      <c r="D114" s="285">
        <v>160</v>
      </c>
      <c r="E114" s="285">
        <v>160</v>
      </c>
      <c r="F114" s="285">
        <v>160</v>
      </c>
      <c r="G114" s="285">
        <v>160</v>
      </c>
      <c r="H114" s="285">
        <v>160</v>
      </c>
      <c r="I114" s="285">
        <v>160</v>
      </c>
      <c r="J114" s="285">
        <v>160</v>
      </c>
      <c r="K114" s="285">
        <v>160</v>
      </c>
      <c r="L114" s="285">
        <v>160</v>
      </c>
      <c r="M114" s="285">
        <v>160</v>
      </c>
      <c r="N114" s="285">
        <v>160</v>
      </c>
      <c r="O114" s="285">
        <v>160</v>
      </c>
      <c r="P114" s="285">
        <v>160</v>
      </c>
      <c r="Q114" s="285">
        <v>160</v>
      </c>
      <c r="R114" s="285">
        <v>160</v>
      </c>
      <c r="S114" s="285">
        <v>160</v>
      </c>
      <c r="T114" s="285">
        <v>160</v>
      </c>
      <c r="U114" s="285">
        <v>160</v>
      </c>
      <c r="V114" s="285">
        <v>160</v>
      </c>
      <c r="W114" s="285">
        <v>160</v>
      </c>
      <c r="X114" s="285">
        <v>160</v>
      </c>
      <c r="Y114" s="285">
        <v>160</v>
      </c>
      <c r="Z114" s="285">
        <v>160</v>
      </c>
      <c r="AA114" s="285">
        <v>160</v>
      </c>
      <c r="AB114" s="285">
        <v>160</v>
      </c>
      <c r="AC114" s="285">
        <v>160</v>
      </c>
      <c r="AD114" s="285">
        <v>160</v>
      </c>
      <c r="AE114" s="285">
        <v>160</v>
      </c>
      <c r="AF114" s="285">
        <v>160</v>
      </c>
      <c r="AG114" s="285">
        <v>160</v>
      </c>
      <c r="AH114" s="285">
        <v>160</v>
      </c>
      <c r="AI114" s="285">
        <v>160</v>
      </c>
      <c r="AJ114" s="285">
        <v>160</v>
      </c>
      <c r="AK114" s="220"/>
    </row>
    <row r="115" spans="1:37" ht="13.5" customHeight="1" x14ac:dyDescent="0.45">
      <c r="A115" s="622"/>
      <c r="B115" s="220"/>
      <c r="C115" s="221" t="s">
        <v>660</v>
      </c>
      <c r="D115" s="285">
        <v>195</v>
      </c>
      <c r="E115" s="285">
        <v>195</v>
      </c>
      <c r="F115" s="285">
        <v>195</v>
      </c>
      <c r="G115" s="285">
        <v>195</v>
      </c>
      <c r="H115" s="285">
        <v>195</v>
      </c>
      <c r="I115" s="285">
        <v>195</v>
      </c>
      <c r="J115" s="285">
        <v>195</v>
      </c>
      <c r="K115" s="285">
        <v>195</v>
      </c>
      <c r="L115" s="285">
        <v>195</v>
      </c>
      <c r="M115" s="285">
        <v>195</v>
      </c>
      <c r="N115" s="285">
        <v>195</v>
      </c>
      <c r="O115" s="285">
        <v>195</v>
      </c>
      <c r="P115" s="285">
        <v>195</v>
      </c>
      <c r="Q115" s="285">
        <v>195</v>
      </c>
      <c r="R115" s="285">
        <v>195</v>
      </c>
      <c r="S115" s="285">
        <v>195</v>
      </c>
      <c r="T115" s="285">
        <v>195</v>
      </c>
      <c r="U115" s="285">
        <v>195</v>
      </c>
      <c r="V115" s="285">
        <v>195</v>
      </c>
      <c r="W115" s="285">
        <v>195</v>
      </c>
      <c r="X115" s="285">
        <v>195</v>
      </c>
      <c r="Y115" s="285">
        <v>195</v>
      </c>
      <c r="Z115" s="285">
        <v>195</v>
      </c>
      <c r="AA115" s="285">
        <v>195</v>
      </c>
      <c r="AB115" s="285">
        <v>195</v>
      </c>
      <c r="AC115" s="285">
        <v>195</v>
      </c>
      <c r="AD115" s="285">
        <v>195</v>
      </c>
      <c r="AE115" s="285">
        <v>195</v>
      </c>
      <c r="AF115" s="285">
        <v>195</v>
      </c>
      <c r="AG115" s="285">
        <v>195</v>
      </c>
      <c r="AH115" s="285">
        <v>195</v>
      </c>
      <c r="AI115" s="285">
        <v>195</v>
      </c>
      <c r="AJ115" s="285">
        <v>195</v>
      </c>
      <c r="AK115" s="220"/>
    </row>
    <row r="116" spans="1:37" ht="13.5" customHeight="1" x14ac:dyDescent="0.45">
      <c r="A116" s="622"/>
      <c r="B116" s="220"/>
      <c r="C116" s="243" t="s">
        <v>690</v>
      </c>
      <c r="D116" s="285">
        <v>94</v>
      </c>
      <c r="E116" s="285">
        <v>94</v>
      </c>
      <c r="F116" s="285">
        <v>94</v>
      </c>
      <c r="G116" s="285">
        <v>94</v>
      </c>
      <c r="H116" s="285">
        <v>94</v>
      </c>
      <c r="I116" s="285">
        <v>94</v>
      </c>
      <c r="J116" s="285">
        <v>94</v>
      </c>
      <c r="K116" s="285">
        <v>93</v>
      </c>
      <c r="L116" s="285">
        <v>93</v>
      </c>
      <c r="M116" s="285">
        <v>93</v>
      </c>
      <c r="N116" s="285">
        <v>93</v>
      </c>
      <c r="O116" s="285">
        <v>93</v>
      </c>
      <c r="P116" s="285">
        <v>92</v>
      </c>
      <c r="Q116" s="285">
        <v>92</v>
      </c>
      <c r="R116" s="285">
        <v>92</v>
      </c>
      <c r="S116" s="285">
        <v>92</v>
      </c>
      <c r="T116" s="285">
        <v>92</v>
      </c>
      <c r="U116" s="285">
        <v>92</v>
      </c>
      <c r="V116" s="285">
        <v>92</v>
      </c>
      <c r="W116" s="285">
        <v>92</v>
      </c>
      <c r="X116" s="285">
        <v>92</v>
      </c>
      <c r="Y116" s="285">
        <v>92</v>
      </c>
      <c r="Z116" s="285">
        <v>91</v>
      </c>
      <c r="AA116" s="285">
        <v>91</v>
      </c>
      <c r="AB116" s="285">
        <v>91</v>
      </c>
      <c r="AC116" s="285">
        <v>91</v>
      </c>
      <c r="AD116" s="285">
        <v>91</v>
      </c>
      <c r="AE116" s="285">
        <v>91</v>
      </c>
      <c r="AF116" s="285">
        <v>91</v>
      </c>
      <c r="AG116" s="285">
        <v>91</v>
      </c>
      <c r="AH116" s="285">
        <v>91</v>
      </c>
      <c r="AI116" s="285">
        <v>91</v>
      </c>
      <c r="AJ116" s="285">
        <v>90</v>
      </c>
      <c r="AK116" s="220"/>
    </row>
    <row r="117" spans="1:37" ht="13.5" customHeight="1" x14ac:dyDescent="0.45">
      <c r="A117" s="622"/>
      <c r="B117" s="220"/>
      <c r="C117" s="243" t="s">
        <v>691</v>
      </c>
      <c r="D117" s="285">
        <v>117</v>
      </c>
      <c r="E117" s="285">
        <v>117</v>
      </c>
      <c r="F117" s="285">
        <v>102</v>
      </c>
      <c r="G117" s="285">
        <v>102</v>
      </c>
      <c r="H117" s="285">
        <v>102</v>
      </c>
      <c r="I117" s="285">
        <v>102</v>
      </c>
      <c r="J117" s="285">
        <v>102</v>
      </c>
      <c r="K117" s="285">
        <v>95</v>
      </c>
      <c r="L117" s="285">
        <v>95</v>
      </c>
      <c r="M117" s="285">
        <v>95</v>
      </c>
      <c r="N117" s="285">
        <v>95</v>
      </c>
      <c r="O117" s="285">
        <v>95</v>
      </c>
      <c r="P117" s="285">
        <v>88</v>
      </c>
      <c r="Q117" s="285">
        <v>88</v>
      </c>
      <c r="R117" s="285">
        <v>88</v>
      </c>
      <c r="S117" s="285">
        <v>88</v>
      </c>
      <c r="T117" s="285">
        <v>88</v>
      </c>
      <c r="U117" s="285">
        <v>88</v>
      </c>
      <c r="V117" s="285">
        <v>88</v>
      </c>
      <c r="W117" s="285">
        <v>88</v>
      </c>
      <c r="X117" s="285">
        <v>88</v>
      </c>
      <c r="Y117" s="285">
        <v>88</v>
      </c>
      <c r="Z117" s="285">
        <v>88</v>
      </c>
      <c r="AA117" s="285">
        <v>88</v>
      </c>
      <c r="AB117" s="285">
        <v>88</v>
      </c>
      <c r="AC117" s="285">
        <v>88</v>
      </c>
      <c r="AD117" s="285">
        <v>88</v>
      </c>
      <c r="AE117" s="285">
        <v>88</v>
      </c>
      <c r="AF117" s="285">
        <v>88</v>
      </c>
      <c r="AG117" s="285">
        <v>88</v>
      </c>
      <c r="AH117" s="285">
        <v>88</v>
      </c>
      <c r="AI117" s="285">
        <v>88</v>
      </c>
      <c r="AJ117" s="285">
        <v>88</v>
      </c>
      <c r="AK117" s="220"/>
    </row>
    <row r="118" spans="1:37" ht="13.5" customHeight="1" x14ac:dyDescent="0.45">
      <c r="A118" s="622"/>
      <c r="B118" s="220"/>
      <c r="C118" s="243" t="s">
        <v>692</v>
      </c>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c r="AA118" s="285"/>
      <c r="AB118" s="285"/>
      <c r="AC118" s="285"/>
      <c r="AD118" s="285"/>
      <c r="AE118" s="285"/>
      <c r="AF118" s="285"/>
      <c r="AG118" s="285"/>
      <c r="AH118" s="285"/>
      <c r="AI118" s="285"/>
      <c r="AJ118" s="285"/>
      <c r="AK118" s="220"/>
    </row>
    <row r="119" spans="1:37" ht="13.5" customHeight="1" x14ac:dyDescent="0.45">
      <c r="A119" s="622"/>
      <c r="B119" s="220"/>
      <c r="C119" s="221" t="s">
        <v>664</v>
      </c>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c r="AJ119" s="285"/>
      <c r="AK119" s="220"/>
    </row>
    <row r="120" spans="1:37" ht="13.5" customHeight="1" x14ac:dyDescent="0.45">
      <c r="A120" s="622"/>
      <c r="B120" s="220"/>
      <c r="C120" s="221" t="s">
        <v>665</v>
      </c>
      <c r="D120" s="285">
        <v>63.33</v>
      </c>
      <c r="E120" s="285">
        <v>63.33</v>
      </c>
      <c r="F120" s="285">
        <v>63.33</v>
      </c>
      <c r="G120" s="285">
        <v>63.33</v>
      </c>
      <c r="H120" s="285">
        <v>63.33</v>
      </c>
      <c r="I120" s="285">
        <v>63.33</v>
      </c>
      <c r="J120" s="285">
        <v>63.33</v>
      </c>
      <c r="K120" s="285">
        <v>63.33</v>
      </c>
      <c r="L120" s="285">
        <v>63.33</v>
      </c>
      <c r="M120" s="285">
        <v>63.33</v>
      </c>
      <c r="N120" s="285">
        <v>63.33</v>
      </c>
      <c r="O120" s="285">
        <v>63.33</v>
      </c>
      <c r="P120" s="285">
        <v>63.33</v>
      </c>
      <c r="Q120" s="285">
        <v>63.33</v>
      </c>
      <c r="R120" s="285">
        <v>63.33</v>
      </c>
      <c r="S120" s="285">
        <v>63.33</v>
      </c>
      <c r="T120" s="285">
        <v>63.33</v>
      </c>
      <c r="U120" s="285">
        <v>63.33</v>
      </c>
      <c r="V120" s="285">
        <v>63.33</v>
      </c>
      <c r="W120" s="285">
        <v>63.33</v>
      </c>
      <c r="X120" s="285">
        <v>63.33</v>
      </c>
      <c r="Y120" s="285">
        <v>63.33</v>
      </c>
      <c r="Z120" s="285">
        <v>63.33</v>
      </c>
      <c r="AA120" s="285">
        <v>63.33</v>
      </c>
      <c r="AB120" s="285">
        <v>63.33</v>
      </c>
      <c r="AC120" s="285">
        <v>63.33</v>
      </c>
      <c r="AD120" s="285">
        <v>63.33</v>
      </c>
      <c r="AE120" s="285">
        <v>63.33</v>
      </c>
      <c r="AF120" s="285">
        <v>63.33</v>
      </c>
      <c r="AG120" s="285">
        <v>63.33</v>
      </c>
      <c r="AH120" s="285">
        <v>63.33</v>
      </c>
      <c r="AI120" s="285">
        <v>63.33</v>
      </c>
      <c r="AJ120" s="285">
        <v>63.33</v>
      </c>
      <c r="AK120" s="220"/>
    </row>
    <row r="121" spans="1:37" ht="13.5" customHeight="1" x14ac:dyDescent="0.45">
      <c r="A121" s="622"/>
      <c r="B121" s="220"/>
      <c r="C121" s="221" t="s">
        <v>666</v>
      </c>
      <c r="D121" s="285">
        <v>42</v>
      </c>
      <c r="E121" s="285">
        <v>42</v>
      </c>
      <c r="F121" s="285">
        <v>42</v>
      </c>
      <c r="G121" s="285">
        <v>42</v>
      </c>
      <c r="H121" s="285">
        <v>42</v>
      </c>
      <c r="I121" s="285">
        <v>42</v>
      </c>
      <c r="J121" s="285">
        <v>42</v>
      </c>
      <c r="K121" s="285">
        <v>42</v>
      </c>
      <c r="L121" s="285">
        <v>42</v>
      </c>
      <c r="M121" s="285">
        <v>42</v>
      </c>
      <c r="N121" s="285">
        <v>42</v>
      </c>
      <c r="O121" s="285">
        <v>42</v>
      </c>
      <c r="P121" s="285">
        <v>42</v>
      </c>
      <c r="Q121" s="285">
        <v>42</v>
      </c>
      <c r="R121" s="285">
        <v>42</v>
      </c>
      <c r="S121" s="285">
        <v>42</v>
      </c>
      <c r="T121" s="285">
        <v>42</v>
      </c>
      <c r="U121" s="285">
        <v>42</v>
      </c>
      <c r="V121" s="285">
        <v>42</v>
      </c>
      <c r="W121" s="285">
        <v>42</v>
      </c>
      <c r="X121" s="285">
        <v>42</v>
      </c>
      <c r="Y121" s="285">
        <v>42</v>
      </c>
      <c r="Z121" s="285">
        <v>42</v>
      </c>
      <c r="AA121" s="285">
        <v>42</v>
      </c>
      <c r="AB121" s="285">
        <v>42</v>
      </c>
      <c r="AC121" s="285">
        <v>42</v>
      </c>
      <c r="AD121" s="285">
        <v>42</v>
      </c>
      <c r="AE121" s="285">
        <v>42</v>
      </c>
      <c r="AF121" s="285">
        <v>42</v>
      </c>
      <c r="AG121" s="285">
        <v>42</v>
      </c>
      <c r="AH121" s="285">
        <v>42</v>
      </c>
      <c r="AI121" s="285">
        <v>42</v>
      </c>
      <c r="AJ121" s="285">
        <v>42</v>
      </c>
      <c r="AK121" s="220"/>
    </row>
    <row r="122" spans="1:37" ht="13.5" customHeight="1" x14ac:dyDescent="0.45">
      <c r="A122" s="622"/>
      <c r="B122" s="220"/>
      <c r="C122" s="243" t="s">
        <v>693</v>
      </c>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220"/>
    </row>
    <row r="123" spans="1:37" ht="13.5" customHeight="1" x14ac:dyDescent="0.45">
      <c r="A123" s="622"/>
      <c r="B123" s="220"/>
      <c r="C123" s="221" t="s">
        <v>664</v>
      </c>
      <c r="D123" s="285">
        <v>65.94</v>
      </c>
      <c r="E123" s="285">
        <v>65.94</v>
      </c>
      <c r="F123" s="285">
        <v>65.94</v>
      </c>
      <c r="G123" s="285">
        <v>65.94</v>
      </c>
      <c r="H123" s="285">
        <v>65.94</v>
      </c>
      <c r="I123" s="285">
        <v>65.94</v>
      </c>
      <c r="J123" s="285">
        <v>65.94</v>
      </c>
      <c r="K123" s="285">
        <v>65.94</v>
      </c>
      <c r="L123" s="285">
        <v>65.94</v>
      </c>
      <c r="M123" s="285">
        <v>65.94</v>
      </c>
      <c r="N123" s="285">
        <v>65.94</v>
      </c>
      <c r="O123" s="285">
        <v>65.94</v>
      </c>
      <c r="P123" s="285">
        <v>65.94</v>
      </c>
      <c r="Q123" s="285">
        <v>65.94</v>
      </c>
      <c r="R123" s="285">
        <v>65.94</v>
      </c>
      <c r="S123" s="285">
        <v>65.94</v>
      </c>
      <c r="T123" s="285">
        <v>65.94</v>
      </c>
      <c r="U123" s="285">
        <v>65.94</v>
      </c>
      <c r="V123" s="285">
        <v>65.94</v>
      </c>
      <c r="W123" s="285">
        <v>65.94</v>
      </c>
      <c r="X123" s="285">
        <v>65.94</v>
      </c>
      <c r="Y123" s="285">
        <v>65.94</v>
      </c>
      <c r="Z123" s="285">
        <v>65.94</v>
      </c>
      <c r="AA123" s="285">
        <v>65.94</v>
      </c>
      <c r="AB123" s="285">
        <v>65.94</v>
      </c>
      <c r="AC123" s="285">
        <v>65.94</v>
      </c>
      <c r="AD123" s="285">
        <v>65.94</v>
      </c>
      <c r="AE123" s="285">
        <v>65.94</v>
      </c>
      <c r="AF123" s="285">
        <v>65.94</v>
      </c>
      <c r="AG123" s="285">
        <v>65.94</v>
      </c>
      <c r="AH123" s="285">
        <v>65.94</v>
      </c>
      <c r="AI123" s="285">
        <v>65.94</v>
      </c>
      <c r="AJ123" s="285">
        <v>65.94</v>
      </c>
      <c r="AK123" s="220"/>
    </row>
    <row r="124" spans="1:37" ht="13.5" customHeight="1" x14ac:dyDescent="0.45">
      <c r="A124" s="622"/>
      <c r="B124" s="220"/>
      <c r="C124" s="221" t="s">
        <v>665</v>
      </c>
      <c r="D124" s="285">
        <v>50</v>
      </c>
      <c r="E124" s="285">
        <v>50</v>
      </c>
      <c r="F124" s="285">
        <v>50</v>
      </c>
      <c r="G124" s="285">
        <v>50</v>
      </c>
      <c r="H124" s="285">
        <v>50</v>
      </c>
      <c r="I124" s="285">
        <v>50</v>
      </c>
      <c r="J124" s="285">
        <v>50</v>
      </c>
      <c r="K124" s="285">
        <v>50</v>
      </c>
      <c r="L124" s="285">
        <v>50</v>
      </c>
      <c r="M124" s="285">
        <v>50</v>
      </c>
      <c r="N124" s="285">
        <v>50</v>
      </c>
      <c r="O124" s="285">
        <v>50</v>
      </c>
      <c r="P124" s="285">
        <v>50</v>
      </c>
      <c r="Q124" s="285">
        <v>50</v>
      </c>
      <c r="R124" s="285">
        <v>50</v>
      </c>
      <c r="S124" s="285">
        <v>50</v>
      </c>
      <c r="T124" s="285">
        <v>50</v>
      </c>
      <c r="U124" s="285">
        <v>50</v>
      </c>
      <c r="V124" s="285">
        <v>50</v>
      </c>
      <c r="W124" s="285">
        <v>50</v>
      </c>
      <c r="X124" s="285">
        <v>50</v>
      </c>
      <c r="Y124" s="285">
        <v>50</v>
      </c>
      <c r="Z124" s="285">
        <v>50</v>
      </c>
      <c r="AA124" s="285">
        <v>50</v>
      </c>
      <c r="AB124" s="285">
        <v>50</v>
      </c>
      <c r="AC124" s="285">
        <v>50</v>
      </c>
      <c r="AD124" s="285">
        <v>50</v>
      </c>
      <c r="AE124" s="285">
        <v>50</v>
      </c>
      <c r="AF124" s="285">
        <v>50</v>
      </c>
      <c r="AG124" s="285">
        <v>50</v>
      </c>
      <c r="AH124" s="285">
        <v>50</v>
      </c>
      <c r="AI124" s="285">
        <v>50</v>
      </c>
      <c r="AJ124" s="285">
        <v>50</v>
      </c>
      <c r="AK124" s="220"/>
    </row>
    <row r="125" spans="1:37" ht="13.5" customHeight="1" x14ac:dyDescent="0.45">
      <c r="A125" s="622"/>
      <c r="B125" s="220"/>
      <c r="C125" s="221" t="s">
        <v>666</v>
      </c>
      <c r="D125" s="285">
        <v>42</v>
      </c>
      <c r="E125" s="285">
        <v>42</v>
      </c>
      <c r="F125" s="285">
        <v>42</v>
      </c>
      <c r="G125" s="285">
        <v>42</v>
      </c>
      <c r="H125" s="285">
        <v>42</v>
      </c>
      <c r="I125" s="285">
        <v>42</v>
      </c>
      <c r="J125" s="285">
        <v>42</v>
      </c>
      <c r="K125" s="285">
        <v>42</v>
      </c>
      <c r="L125" s="285">
        <v>42</v>
      </c>
      <c r="M125" s="285">
        <v>42</v>
      </c>
      <c r="N125" s="285">
        <v>42</v>
      </c>
      <c r="O125" s="285">
        <v>42</v>
      </c>
      <c r="P125" s="285">
        <v>42</v>
      </c>
      <c r="Q125" s="285">
        <v>42</v>
      </c>
      <c r="R125" s="285">
        <v>42</v>
      </c>
      <c r="S125" s="285">
        <v>42</v>
      </c>
      <c r="T125" s="285">
        <v>42</v>
      </c>
      <c r="U125" s="285">
        <v>42</v>
      </c>
      <c r="V125" s="285">
        <v>42</v>
      </c>
      <c r="W125" s="285">
        <v>42</v>
      </c>
      <c r="X125" s="285">
        <v>42</v>
      </c>
      <c r="Y125" s="285">
        <v>42</v>
      </c>
      <c r="Z125" s="285">
        <v>42</v>
      </c>
      <c r="AA125" s="285">
        <v>42</v>
      </c>
      <c r="AB125" s="285">
        <v>42</v>
      </c>
      <c r="AC125" s="285">
        <v>42</v>
      </c>
      <c r="AD125" s="285">
        <v>42</v>
      </c>
      <c r="AE125" s="285">
        <v>42</v>
      </c>
      <c r="AF125" s="285">
        <v>42</v>
      </c>
      <c r="AG125" s="285">
        <v>42</v>
      </c>
      <c r="AH125" s="285">
        <v>42</v>
      </c>
      <c r="AI125" s="285">
        <v>42</v>
      </c>
      <c r="AJ125" s="285">
        <v>42</v>
      </c>
      <c r="AK125" s="220"/>
    </row>
    <row r="126" spans="1:37" ht="13.5" customHeight="1" x14ac:dyDescent="0.45">
      <c r="A126" s="622"/>
      <c r="B126" s="220"/>
      <c r="C126" s="243" t="s">
        <v>694</v>
      </c>
      <c r="D126" s="285"/>
      <c r="E126" s="285"/>
      <c r="F126" s="285"/>
      <c r="G126" s="285"/>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220"/>
    </row>
    <row r="127" spans="1:37" ht="13.5" customHeight="1" x14ac:dyDescent="0.45">
      <c r="A127" s="622"/>
      <c r="B127" s="220"/>
      <c r="C127" s="221" t="s">
        <v>669</v>
      </c>
      <c r="D127" s="285">
        <v>35</v>
      </c>
      <c r="E127" s="285">
        <v>35</v>
      </c>
      <c r="F127" s="285">
        <v>35</v>
      </c>
      <c r="G127" s="285">
        <v>35</v>
      </c>
      <c r="H127" s="285">
        <v>35</v>
      </c>
      <c r="I127" s="285">
        <v>35</v>
      </c>
      <c r="J127" s="285">
        <v>35</v>
      </c>
      <c r="K127" s="285">
        <v>35</v>
      </c>
      <c r="L127" s="285">
        <v>35</v>
      </c>
      <c r="M127" s="285">
        <v>35</v>
      </c>
      <c r="N127" s="285">
        <v>35</v>
      </c>
      <c r="O127" s="285">
        <v>35</v>
      </c>
      <c r="P127" s="285">
        <v>35</v>
      </c>
      <c r="Q127" s="285">
        <v>35</v>
      </c>
      <c r="R127" s="285">
        <v>35</v>
      </c>
      <c r="S127" s="285">
        <v>35</v>
      </c>
      <c r="T127" s="285">
        <v>35</v>
      </c>
      <c r="U127" s="285">
        <v>35</v>
      </c>
      <c r="V127" s="285">
        <v>35</v>
      </c>
      <c r="W127" s="285">
        <v>35</v>
      </c>
      <c r="X127" s="285">
        <v>35</v>
      </c>
      <c r="Y127" s="285">
        <v>35</v>
      </c>
      <c r="Z127" s="285">
        <v>35</v>
      </c>
      <c r="AA127" s="285">
        <v>35</v>
      </c>
      <c r="AB127" s="285">
        <v>35</v>
      </c>
      <c r="AC127" s="285">
        <v>35</v>
      </c>
      <c r="AD127" s="285">
        <v>35</v>
      </c>
      <c r="AE127" s="285">
        <v>35</v>
      </c>
      <c r="AF127" s="285">
        <v>35</v>
      </c>
      <c r="AG127" s="285">
        <v>35</v>
      </c>
      <c r="AH127" s="285">
        <v>35</v>
      </c>
      <c r="AI127" s="285">
        <v>35</v>
      </c>
      <c r="AJ127" s="285">
        <v>35</v>
      </c>
      <c r="AK127" s="220"/>
    </row>
    <row r="128" spans="1:37" ht="13.5" customHeight="1" x14ac:dyDescent="0.45">
      <c r="A128" s="622"/>
      <c r="B128" s="220"/>
      <c r="C128" s="221" t="s">
        <v>670</v>
      </c>
      <c r="D128" s="285">
        <v>21.7</v>
      </c>
      <c r="E128" s="285">
        <v>21.7</v>
      </c>
      <c r="F128" s="285">
        <v>21.1</v>
      </c>
      <c r="G128" s="285">
        <v>21.1</v>
      </c>
      <c r="H128" s="285">
        <v>21.1</v>
      </c>
      <c r="I128" s="285">
        <v>21.1</v>
      </c>
      <c r="J128" s="285">
        <v>21.1</v>
      </c>
      <c r="K128" s="285">
        <v>20.6</v>
      </c>
      <c r="L128" s="285">
        <v>20.6</v>
      </c>
      <c r="M128" s="285">
        <v>20.6</v>
      </c>
      <c r="N128" s="285">
        <v>20.6</v>
      </c>
      <c r="O128" s="285">
        <v>20.6</v>
      </c>
      <c r="P128" s="285">
        <v>20.100000000000001</v>
      </c>
      <c r="Q128" s="285">
        <v>20.100000000000001</v>
      </c>
      <c r="R128" s="285">
        <v>20.100000000000001</v>
      </c>
      <c r="S128" s="285">
        <v>20.100000000000001</v>
      </c>
      <c r="T128" s="285">
        <v>20.100000000000001</v>
      </c>
      <c r="U128" s="285">
        <v>19.7</v>
      </c>
      <c r="V128" s="285">
        <v>19.7</v>
      </c>
      <c r="W128" s="285">
        <v>19.7</v>
      </c>
      <c r="X128" s="285">
        <v>19.7</v>
      </c>
      <c r="Y128" s="285">
        <v>19.7</v>
      </c>
      <c r="Z128" s="285">
        <v>19.399999999999999</v>
      </c>
      <c r="AA128" s="285">
        <v>19.399999999999999</v>
      </c>
      <c r="AB128" s="285">
        <v>19.399999999999999</v>
      </c>
      <c r="AC128" s="285">
        <v>19.399999999999999</v>
      </c>
      <c r="AD128" s="285">
        <v>19.399999999999999</v>
      </c>
      <c r="AE128" s="285">
        <v>19</v>
      </c>
      <c r="AF128" s="285">
        <v>19</v>
      </c>
      <c r="AG128" s="285">
        <v>19</v>
      </c>
      <c r="AH128" s="285">
        <v>19</v>
      </c>
      <c r="AI128" s="285">
        <v>19</v>
      </c>
      <c r="AJ128" s="285">
        <v>18.600000000000001</v>
      </c>
      <c r="AK128" s="220"/>
    </row>
    <row r="129" spans="1:37" ht="13.5" customHeight="1" x14ac:dyDescent="0.45">
      <c r="A129" s="622"/>
      <c r="B129" s="220"/>
      <c r="C129" s="221" t="s">
        <v>671</v>
      </c>
      <c r="D129" s="285">
        <v>23.8</v>
      </c>
      <c r="E129" s="285">
        <v>23.8</v>
      </c>
      <c r="F129" s="285">
        <v>20</v>
      </c>
      <c r="G129" s="285">
        <v>20</v>
      </c>
      <c r="H129" s="285">
        <v>20</v>
      </c>
      <c r="I129" s="285">
        <v>20</v>
      </c>
      <c r="J129" s="285">
        <v>20</v>
      </c>
      <c r="K129" s="285">
        <v>19.829999999999998</v>
      </c>
      <c r="L129" s="285">
        <v>19.829999999999998</v>
      </c>
      <c r="M129" s="285">
        <v>19.829999999999998</v>
      </c>
      <c r="N129" s="285">
        <v>19.829999999999998</v>
      </c>
      <c r="O129" s="285">
        <v>19.829999999999998</v>
      </c>
      <c r="P129" s="285">
        <v>19.66</v>
      </c>
      <c r="Q129" s="285">
        <v>19.66</v>
      </c>
      <c r="R129" s="285">
        <v>19.66</v>
      </c>
      <c r="S129" s="285">
        <v>19.66</v>
      </c>
      <c r="T129" s="285">
        <v>19.66</v>
      </c>
      <c r="U129" s="285">
        <v>19.309999999999999</v>
      </c>
      <c r="V129" s="285">
        <v>19.309999999999999</v>
      </c>
      <c r="W129" s="285">
        <v>19.309999999999999</v>
      </c>
      <c r="X129" s="285">
        <v>19.309999999999999</v>
      </c>
      <c r="Y129" s="285">
        <v>19.309999999999999</v>
      </c>
      <c r="Z129" s="285">
        <v>18.96</v>
      </c>
      <c r="AA129" s="285">
        <v>18.96</v>
      </c>
      <c r="AB129" s="285">
        <v>18.96</v>
      </c>
      <c r="AC129" s="285">
        <v>18.96</v>
      </c>
      <c r="AD129" s="285">
        <v>18.96</v>
      </c>
      <c r="AE129" s="285">
        <v>18.61</v>
      </c>
      <c r="AF129" s="285">
        <v>18.61</v>
      </c>
      <c r="AG129" s="285">
        <v>18.61</v>
      </c>
      <c r="AH129" s="285">
        <v>18.61</v>
      </c>
      <c r="AI129" s="285">
        <v>18.61</v>
      </c>
      <c r="AJ129" s="285">
        <v>18.260000000000002</v>
      </c>
      <c r="AK129" s="220"/>
    </row>
    <row r="130" spans="1:37" ht="13.5" customHeight="1" x14ac:dyDescent="0.45">
      <c r="A130" s="622"/>
      <c r="B130" s="220"/>
      <c r="C130" s="221" t="s">
        <v>672</v>
      </c>
      <c r="D130" s="285">
        <v>85.75</v>
      </c>
      <c r="E130" s="285">
        <v>85.75</v>
      </c>
      <c r="F130" s="285">
        <v>85.75</v>
      </c>
      <c r="G130" s="285">
        <v>85.75</v>
      </c>
      <c r="H130" s="285">
        <v>85.75</v>
      </c>
      <c r="I130" s="285">
        <v>85.75</v>
      </c>
      <c r="J130" s="285">
        <v>85.75</v>
      </c>
      <c r="K130" s="285">
        <v>81.38</v>
      </c>
      <c r="L130" s="285">
        <v>81.38</v>
      </c>
      <c r="M130" s="285">
        <v>81.38</v>
      </c>
      <c r="N130" s="285">
        <v>81.38</v>
      </c>
      <c r="O130" s="285">
        <v>81.38</v>
      </c>
      <c r="P130" s="285">
        <v>77</v>
      </c>
      <c r="Q130" s="285">
        <v>77</v>
      </c>
      <c r="R130" s="285">
        <v>77</v>
      </c>
      <c r="S130" s="285">
        <v>77</v>
      </c>
      <c r="T130" s="285">
        <v>77</v>
      </c>
      <c r="U130" s="285">
        <v>76.13</v>
      </c>
      <c r="V130" s="285">
        <v>76.13</v>
      </c>
      <c r="W130" s="285">
        <v>76.13</v>
      </c>
      <c r="X130" s="285">
        <v>76.13</v>
      </c>
      <c r="Y130" s="285">
        <v>76.13</v>
      </c>
      <c r="Z130" s="285">
        <v>75.25</v>
      </c>
      <c r="AA130" s="285">
        <v>75.25</v>
      </c>
      <c r="AB130" s="285">
        <v>75.25</v>
      </c>
      <c r="AC130" s="285">
        <v>75.25</v>
      </c>
      <c r="AD130" s="285">
        <v>75.25</v>
      </c>
      <c r="AE130" s="285">
        <v>74.38</v>
      </c>
      <c r="AF130" s="285">
        <v>74.38</v>
      </c>
      <c r="AG130" s="285">
        <v>74.38</v>
      </c>
      <c r="AH130" s="285">
        <v>74.38</v>
      </c>
      <c r="AI130" s="285">
        <v>74.38</v>
      </c>
      <c r="AJ130" s="285">
        <v>73.5</v>
      </c>
      <c r="AK130" s="220"/>
    </row>
    <row r="131" spans="1:37" ht="13.5" customHeight="1" x14ac:dyDescent="0.45">
      <c r="A131" s="622"/>
      <c r="B131" s="220"/>
      <c r="C131" s="243" t="s">
        <v>695</v>
      </c>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85"/>
      <c r="AF131" s="285"/>
      <c r="AG131" s="285"/>
      <c r="AH131" s="285"/>
      <c r="AI131" s="285"/>
      <c r="AJ131" s="285"/>
      <c r="AK131" s="220"/>
    </row>
    <row r="132" spans="1:37" ht="13.5" customHeight="1" x14ac:dyDescent="0.45">
      <c r="A132" s="622"/>
      <c r="B132" s="220"/>
      <c r="C132" s="221" t="s">
        <v>696</v>
      </c>
      <c r="D132" s="285">
        <v>20</v>
      </c>
      <c r="E132" s="285">
        <v>20</v>
      </c>
      <c r="F132" s="285">
        <v>20</v>
      </c>
      <c r="G132" s="285">
        <v>20</v>
      </c>
      <c r="H132" s="285">
        <v>20</v>
      </c>
      <c r="I132" s="285">
        <v>20</v>
      </c>
      <c r="J132" s="285">
        <v>20</v>
      </c>
      <c r="K132" s="285">
        <v>20</v>
      </c>
      <c r="L132" s="285">
        <v>20</v>
      </c>
      <c r="M132" s="285">
        <v>20</v>
      </c>
      <c r="N132" s="285">
        <v>20</v>
      </c>
      <c r="O132" s="285">
        <v>20</v>
      </c>
      <c r="P132" s="285">
        <v>20</v>
      </c>
      <c r="Q132" s="285">
        <v>20</v>
      </c>
      <c r="R132" s="285">
        <v>20</v>
      </c>
      <c r="S132" s="285">
        <v>20</v>
      </c>
      <c r="T132" s="285">
        <v>20</v>
      </c>
      <c r="U132" s="285">
        <v>20</v>
      </c>
      <c r="V132" s="285">
        <v>20</v>
      </c>
      <c r="W132" s="285">
        <v>20</v>
      </c>
      <c r="X132" s="285">
        <v>20</v>
      </c>
      <c r="Y132" s="285">
        <v>20</v>
      </c>
      <c r="Z132" s="285">
        <v>20</v>
      </c>
      <c r="AA132" s="285">
        <v>20</v>
      </c>
      <c r="AB132" s="285">
        <v>20</v>
      </c>
      <c r="AC132" s="285">
        <v>20</v>
      </c>
      <c r="AD132" s="285">
        <v>20</v>
      </c>
      <c r="AE132" s="285">
        <v>20</v>
      </c>
      <c r="AF132" s="285">
        <v>20</v>
      </c>
      <c r="AG132" s="285">
        <v>20</v>
      </c>
      <c r="AH132" s="285">
        <v>20</v>
      </c>
      <c r="AI132" s="285">
        <v>20</v>
      </c>
      <c r="AJ132" s="285">
        <v>20</v>
      </c>
      <c r="AK132" s="220"/>
    </row>
    <row r="133" spans="1:37" ht="13.5" customHeight="1" x14ac:dyDescent="0.45">
      <c r="A133" s="622"/>
      <c r="B133" s="220"/>
      <c r="C133" s="221" t="s">
        <v>697</v>
      </c>
      <c r="D133" s="285">
        <v>20</v>
      </c>
      <c r="E133" s="285">
        <v>20</v>
      </c>
      <c r="F133" s="285">
        <v>20</v>
      </c>
      <c r="G133" s="285">
        <v>20</v>
      </c>
      <c r="H133" s="285">
        <v>20</v>
      </c>
      <c r="I133" s="285">
        <v>20</v>
      </c>
      <c r="J133" s="285">
        <v>20</v>
      </c>
      <c r="K133" s="285">
        <v>20</v>
      </c>
      <c r="L133" s="285">
        <v>20</v>
      </c>
      <c r="M133" s="285">
        <v>20</v>
      </c>
      <c r="N133" s="285">
        <v>20</v>
      </c>
      <c r="O133" s="285">
        <v>20</v>
      </c>
      <c r="P133" s="285">
        <v>20</v>
      </c>
      <c r="Q133" s="285">
        <v>20</v>
      </c>
      <c r="R133" s="285">
        <v>20</v>
      </c>
      <c r="S133" s="285">
        <v>20</v>
      </c>
      <c r="T133" s="285">
        <v>20</v>
      </c>
      <c r="U133" s="285">
        <v>20</v>
      </c>
      <c r="V133" s="285">
        <v>20</v>
      </c>
      <c r="W133" s="285">
        <v>20</v>
      </c>
      <c r="X133" s="285">
        <v>20</v>
      </c>
      <c r="Y133" s="285">
        <v>20</v>
      </c>
      <c r="Z133" s="285">
        <v>20</v>
      </c>
      <c r="AA133" s="285">
        <v>20</v>
      </c>
      <c r="AB133" s="285">
        <v>20</v>
      </c>
      <c r="AC133" s="285">
        <v>20</v>
      </c>
      <c r="AD133" s="285">
        <v>20</v>
      </c>
      <c r="AE133" s="285">
        <v>20</v>
      </c>
      <c r="AF133" s="285">
        <v>20</v>
      </c>
      <c r="AG133" s="285">
        <v>20</v>
      </c>
      <c r="AH133" s="285">
        <v>20</v>
      </c>
      <c r="AI133" s="285">
        <v>20</v>
      </c>
      <c r="AJ133" s="285">
        <v>20</v>
      </c>
      <c r="AK133" s="220"/>
    </row>
    <row r="134" spans="1:37" ht="13.5" customHeight="1" x14ac:dyDescent="0.45">
      <c r="A134" s="622"/>
      <c r="B134" s="220"/>
      <c r="C134" s="243" t="s">
        <v>698</v>
      </c>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c r="AA134" s="285"/>
      <c r="AB134" s="285"/>
      <c r="AC134" s="285"/>
      <c r="AD134" s="285"/>
      <c r="AE134" s="285"/>
      <c r="AF134" s="285"/>
      <c r="AG134" s="285"/>
      <c r="AH134" s="285"/>
      <c r="AI134" s="285"/>
      <c r="AJ134" s="285"/>
      <c r="AK134" s="220"/>
    </row>
    <row r="135" spans="1:37" ht="13.5" customHeight="1" x14ac:dyDescent="0.45">
      <c r="A135" s="622"/>
      <c r="B135" s="220"/>
      <c r="C135" s="221" t="s">
        <v>674</v>
      </c>
      <c r="D135" s="285">
        <v>20</v>
      </c>
      <c r="E135" s="285">
        <v>20</v>
      </c>
      <c r="F135" s="285">
        <v>20</v>
      </c>
      <c r="G135" s="285">
        <v>20</v>
      </c>
      <c r="H135" s="285">
        <v>20</v>
      </c>
      <c r="I135" s="285">
        <v>20</v>
      </c>
      <c r="J135" s="285">
        <v>20</v>
      </c>
      <c r="K135" s="285">
        <v>20</v>
      </c>
      <c r="L135" s="285">
        <v>20</v>
      </c>
      <c r="M135" s="285">
        <v>20</v>
      </c>
      <c r="N135" s="285">
        <v>20</v>
      </c>
      <c r="O135" s="285">
        <v>20</v>
      </c>
      <c r="P135" s="285">
        <v>20</v>
      </c>
      <c r="Q135" s="285">
        <v>20</v>
      </c>
      <c r="R135" s="285">
        <v>20</v>
      </c>
      <c r="S135" s="285">
        <v>20</v>
      </c>
      <c r="T135" s="285">
        <v>20</v>
      </c>
      <c r="U135" s="285">
        <v>20</v>
      </c>
      <c r="V135" s="285">
        <v>20</v>
      </c>
      <c r="W135" s="285">
        <v>20</v>
      </c>
      <c r="X135" s="285">
        <v>20</v>
      </c>
      <c r="Y135" s="285">
        <v>20</v>
      </c>
      <c r="Z135" s="285">
        <v>20</v>
      </c>
      <c r="AA135" s="285">
        <v>20</v>
      </c>
      <c r="AB135" s="285">
        <v>20</v>
      </c>
      <c r="AC135" s="285">
        <v>20</v>
      </c>
      <c r="AD135" s="285">
        <v>20</v>
      </c>
      <c r="AE135" s="285">
        <v>20</v>
      </c>
      <c r="AF135" s="285">
        <v>20</v>
      </c>
      <c r="AG135" s="285">
        <v>20</v>
      </c>
      <c r="AH135" s="285">
        <v>20</v>
      </c>
      <c r="AI135" s="285">
        <v>20</v>
      </c>
      <c r="AJ135" s="285">
        <v>20</v>
      </c>
      <c r="AK135" s="220"/>
    </row>
    <row r="136" spans="1:37" ht="13.5" customHeight="1" x14ac:dyDescent="0.45">
      <c r="A136" s="622"/>
      <c r="B136" s="220"/>
      <c r="C136" s="221" t="s">
        <v>675</v>
      </c>
      <c r="D136" s="285">
        <v>20</v>
      </c>
      <c r="E136" s="285">
        <v>20</v>
      </c>
      <c r="F136" s="285">
        <v>20</v>
      </c>
      <c r="G136" s="285">
        <v>20</v>
      </c>
      <c r="H136" s="285">
        <v>20</v>
      </c>
      <c r="I136" s="285">
        <v>20</v>
      </c>
      <c r="J136" s="285">
        <v>20</v>
      </c>
      <c r="K136" s="285">
        <v>20</v>
      </c>
      <c r="L136" s="285">
        <v>20</v>
      </c>
      <c r="M136" s="285">
        <v>20</v>
      </c>
      <c r="N136" s="285">
        <v>20</v>
      </c>
      <c r="O136" s="285">
        <v>20</v>
      </c>
      <c r="P136" s="285">
        <v>20</v>
      </c>
      <c r="Q136" s="285">
        <v>20</v>
      </c>
      <c r="R136" s="285">
        <v>20</v>
      </c>
      <c r="S136" s="285">
        <v>20</v>
      </c>
      <c r="T136" s="285">
        <v>20</v>
      </c>
      <c r="U136" s="285">
        <v>20</v>
      </c>
      <c r="V136" s="285">
        <v>20</v>
      </c>
      <c r="W136" s="285">
        <v>20</v>
      </c>
      <c r="X136" s="285">
        <v>20</v>
      </c>
      <c r="Y136" s="285">
        <v>20</v>
      </c>
      <c r="Z136" s="285">
        <v>20</v>
      </c>
      <c r="AA136" s="285">
        <v>20</v>
      </c>
      <c r="AB136" s="285">
        <v>20</v>
      </c>
      <c r="AC136" s="285">
        <v>20</v>
      </c>
      <c r="AD136" s="285">
        <v>20</v>
      </c>
      <c r="AE136" s="285">
        <v>20</v>
      </c>
      <c r="AF136" s="285">
        <v>20</v>
      </c>
      <c r="AG136" s="285">
        <v>20</v>
      </c>
      <c r="AH136" s="285">
        <v>20</v>
      </c>
      <c r="AI136" s="285">
        <v>20</v>
      </c>
      <c r="AJ136" s="285">
        <v>20</v>
      </c>
      <c r="AK136" s="220"/>
    </row>
    <row r="137" spans="1:37" ht="13.5" customHeight="1" x14ac:dyDescent="0.45">
      <c r="A137" s="622"/>
      <c r="B137" s="220"/>
      <c r="C137" s="221" t="s">
        <v>677</v>
      </c>
      <c r="D137" s="285">
        <v>44.3</v>
      </c>
      <c r="E137" s="285">
        <v>44.3</v>
      </c>
      <c r="F137" s="285">
        <v>44.3</v>
      </c>
      <c r="G137" s="285">
        <v>44.3</v>
      </c>
      <c r="H137" s="285">
        <v>44.3</v>
      </c>
      <c r="I137" s="285">
        <v>44.3</v>
      </c>
      <c r="J137" s="285">
        <v>44.3</v>
      </c>
      <c r="K137" s="285">
        <v>44.3</v>
      </c>
      <c r="L137" s="285">
        <v>44.3</v>
      </c>
      <c r="M137" s="285">
        <v>44.3</v>
      </c>
      <c r="N137" s="285">
        <v>44.3</v>
      </c>
      <c r="O137" s="285">
        <v>44.3</v>
      </c>
      <c r="P137" s="285">
        <v>44.3</v>
      </c>
      <c r="Q137" s="285">
        <v>44.3</v>
      </c>
      <c r="R137" s="285">
        <v>44.3</v>
      </c>
      <c r="S137" s="285">
        <v>44.3</v>
      </c>
      <c r="T137" s="285">
        <v>44.3</v>
      </c>
      <c r="U137" s="285">
        <v>44.3</v>
      </c>
      <c r="V137" s="285">
        <v>44.3</v>
      </c>
      <c r="W137" s="285">
        <v>44.3</v>
      </c>
      <c r="X137" s="285">
        <v>44.3</v>
      </c>
      <c r="Y137" s="285">
        <v>44.3</v>
      </c>
      <c r="Z137" s="285">
        <v>44.3</v>
      </c>
      <c r="AA137" s="285">
        <v>44.3</v>
      </c>
      <c r="AB137" s="285">
        <v>44.3</v>
      </c>
      <c r="AC137" s="285">
        <v>44.3</v>
      </c>
      <c r="AD137" s="285">
        <v>44.3</v>
      </c>
      <c r="AE137" s="285">
        <v>44.3</v>
      </c>
      <c r="AF137" s="285">
        <v>44.3</v>
      </c>
      <c r="AG137" s="285">
        <v>44.3</v>
      </c>
      <c r="AH137" s="285">
        <v>44.3</v>
      </c>
      <c r="AI137" s="285">
        <v>44.3</v>
      </c>
      <c r="AJ137" s="285">
        <v>44.3</v>
      </c>
      <c r="AK137" s="220"/>
    </row>
    <row r="138" spans="1:37" ht="13.5" customHeight="1" x14ac:dyDescent="0.45">
      <c r="A138" s="622"/>
      <c r="B138" s="220"/>
      <c r="C138" s="221" t="s">
        <v>678</v>
      </c>
      <c r="D138" s="285">
        <v>180</v>
      </c>
      <c r="E138" s="285">
        <v>180</v>
      </c>
      <c r="F138" s="285">
        <v>180</v>
      </c>
      <c r="G138" s="285">
        <v>180</v>
      </c>
      <c r="H138" s="285">
        <v>180</v>
      </c>
      <c r="I138" s="285">
        <v>180</v>
      </c>
      <c r="J138" s="285">
        <v>180</v>
      </c>
      <c r="K138" s="285">
        <v>180</v>
      </c>
      <c r="L138" s="285">
        <v>180</v>
      </c>
      <c r="M138" s="285">
        <v>180</v>
      </c>
      <c r="N138" s="285">
        <v>180</v>
      </c>
      <c r="O138" s="285">
        <v>180</v>
      </c>
      <c r="P138" s="285">
        <v>180</v>
      </c>
      <c r="Q138" s="285">
        <v>180</v>
      </c>
      <c r="R138" s="285">
        <v>180</v>
      </c>
      <c r="S138" s="285">
        <v>180</v>
      </c>
      <c r="T138" s="285">
        <v>180</v>
      </c>
      <c r="U138" s="285">
        <v>176</v>
      </c>
      <c r="V138" s="285">
        <v>176</v>
      </c>
      <c r="W138" s="285">
        <v>176</v>
      </c>
      <c r="X138" s="285">
        <v>176</v>
      </c>
      <c r="Y138" s="285">
        <v>176</v>
      </c>
      <c r="Z138" s="285">
        <v>172</v>
      </c>
      <c r="AA138" s="285">
        <v>172</v>
      </c>
      <c r="AB138" s="285">
        <v>172</v>
      </c>
      <c r="AC138" s="285">
        <v>172</v>
      </c>
      <c r="AD138" s="285">
        <v>172</v>
      </c>
      <c r="AE138" s="285">
        <v>168</v>
      </c>
      <c r="AF138" s="285">
        <v>168</v>
      </c>
      <c r="AG138" s="285">
        <v>168</v>
      </c>
      <c r="AH138" s="285">
        <v>168</v>
      </c>
      <c r="AI138" s="285">
        <v>168</v>
      </c>
      <c r="AJ138" s="285">
        <v>164</v>
      </c>
      <c r="AK138" s="220"/>
    </row>
    <row r="139" spans="1:37" ht="13.5" customHeight="1" x14ac:dyDescent="0.45">
      <c r="A139" s="622"/>
      <c r="B139" s="220"/>
      <c r="C139" s="243" t="s">
        <v>699</v>
      </c>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220"/>
    </row>
    <row r="140" spans="1:37" ht="13.5" customHeight="1" x14ac:dyDescent="0.45">
      <c r="A140" s="622"/>
      <c r="B140" s="220"/>
      <c r="C140" s="221" t="s">
        <v>680</v>
      </c>
      <c r="D140" s="285">
        <v>18.2</v>
      </c>
      <c r="E140" s="285">
        <v>18.2</v>
      </c>
      <c r="F140" s="285">
        <v>18.2</v>
      </c>
      <c r="G140" s="285">
        <v>18.2</v>
      </c>
      <c r="H140" s="285">
        <v>18.2</v>
      </c>
      <c r="I140" s="285">
        <v>18.2</v>
      </c>
      <c r="J140" s="285">
        <v>18.2</v>
      </c>
      <c r="K140" s="285">
        <v>18.2</v>
      </c>
      <c r="L140" s="285">
        <v>18.2</v>
      </c>
      <c r="M140" s="285">
        <v>18.2</v>
      </c>
      <c r="N140" s="285">
        <v>18.2</v>
      </c>
      <c r="O140" s="285">
        <v>18.2</v>
      </c>
      <c r="P140" s="285">
        <v>18.2</v>
      </c>
      <c r="Q140" s="285">
        <v>18.2</v>
      </c>
      <c r="R140" s="285">
        <v>18.2</v>
      </c>
      <c r="S140" s="285">
        <v>18.2</v>
      </c>
      <c r="T140" s="285">
        <v>18.2</v>
      </c>
      <c r="U140" s="285">
        <v>16.399999999999999</v>
      </c>
      <c r="V140" s="285">
        <v>16.399999999999999</v>
      </c>
      <c r="W140" s="285">
        <v>16.399999999999999</v>
      </c>
      <c r="X140" s="285">
        <v>16.399999999999999</v>
      </c>
      <c r="Y140" s="285">
        <v>16.399999999999999</v>
      </c>
      <c r="Z140" s="285">
        <v>13.6</v>
      </c>
      <c r="AA140" s="285">
        <v>13.6</v>
      </c>
      <c r="AB140" s="285">
        <v>13.6</v>
      </c>
      <c r="AC140" s="285">
        <v>13.6</v>
      </c>
      <c r="AD140" s="285">
        <v>13.6</v>
      </c>
      <c r="AE140" s="285">
        <v>13.6</v>
      </c>
      <c r="AF140" s="285">
        <v>13.6</v>
      </c>
      <c r="AG140" s="285">
        <v>13.6</v>
      </c>
      <c r="AH140" s="285">
        <v>13.6</v>
      </c>
      <c r="AI140" s="285">
        <v>13.6</v>
      </c>
      <c r="AJ140" s="285">
        <v>13.6</v>
      </c>
      <c r="AK140" s="220"/>
    </row>
    <row r="141" spans="1:37" ht="13.5" customHeight="1" x14ac:dyDescent="0.45">
      <c r="A141" s="622"/>
      <c r="B141" s="220"/>
      <c r="C141" s="221" t="s">
        <v>681</v>
      </c>
      <c r="D141" s="285">
        <v>29.1</v>
      </c>
      <c r="E141" s="285">
        <v>29.1</v>
      </c>
      <c r="F141" s="285">
        <v>29.1</v>
      </c>
      <c r="G141" s="285">
        <v>29.1</v>
      </c>
      <c r="H141" s="285">
        <v>29.1</v>
      </c>
      <c r="I141" s="285">
        <v>29.1</v>
      </c>
      <c r="J141" s="285">
        <v>29.1</v>
      </c>
      <c r="K141" s="285">
        <v>29.1</v>
      </c>
      <c r="L141" s="285">
        <v>29.1</v>
      </c>
      <c r="M141" s="285">
        <v>29.1</v>
      </c>
      <c r="N141" s="285">
        <v>29.1</v>
      </c>
      <c r="O141" s="285">
        <v>29.1</v>
      </c>
      <c r="P141" s="285">
        <v>29.1</v>
      </c>
      <c r="Q141" s="285">
        <v>29.1</v>
      </c>
      <c r="R141" s="285">
        <v>29.1</v>
      </c>
      <c r="S141" s="285">
        <v>29.1</v>
      </c>
      <c r="T141" s="285">
        <v>29.1</v>
      </c>
      <c r="U141" s="285">
        <v>29.1</v>
      </c>
      <c r="V141" s="285">
        <v>29.1</v>
      </c>
      <c r="W141" s="285">
        <v>29.1</v>
      </c>
      <c r="X141" s="285">
        <v>29.1</v>
      </c>
      <c r="Y141" s="285">
        <v>29.1</v>
      </c>
      <c r="Z141" s="285">
        <v>24.2</v>
      </c>
      <c r="AA141" s="285">
        <v>24.2</v>
      </c>
      <c r="AB141" s="285">
        <v>24.2</v>
      </c>
      <c r="AC141" s="285">
        <v>24.2</v>
      </c>
      <c r="AD141" s="285">
        <v>24.2</v>
      </c>
      <c r="AE141" s="285">
        <v>24.2</v>
      </c>
      <c r="AF141" s="285">
        <v>24.2</v>
      </c>
      <c r="AG141" s="285">
        <v>24.2</v>
      </c>
      <c r="AH141" s="285">
        <v>24.2</v>
      </c>
      <c r="AI141" s="285">
        <v>24.2</v>
      </c>
      <c r="AJ141" s="285">
        <v>24.2</v>
      </c>
      <c r="AK141" s="220"/>
    </row>
    <row r="142" spans="1:37" ht="13.5" customHeight="1" x14ac:dyDescent="0.45">
      <c r="A142" s="622"/>
      <c r="B142" s="220"/>
      <c r="C142" s="243" t="s">
        <v>700</v>
      </c>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220"/>
    </row>
    <row r="143" spans="1:37" ht="13.5" customHeight="1" x14ac:dyDescent="0.45">
      <c r="A143" s="622"/>
      <c r="B143" s="220"/>
      <c r="C143" s="221" t="s">
        <v>683</v>
      </c>
      <c r="D143" s="285">
        <v>20</v>
      </c>
      <c r="E143" s="285">
        <v>20</v>
      </c>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220"/>
    </row>
    <row r="144" spans="1:37" ht="13.5" customHeight="1" x14ac:dyDescent="0.45">
      <c r="A144" s="622"/>
      <c r="B144" s="220"/>
      <c r="C144" s="221" t="s">
        <v>684</v>
      </c>
      <c r="D144" s="285">
        <v>19.8</v>
      </c>
      <c r="E144" s="285">
        <v>19.8</v>
      </c>
      <c r="F144" s="285">
        <v>13.6</v>
      </c>
      <c r="G144" s="285">
        <v>13.6</v>
      </c>
      <c r="H144" s="285">
        <v>13.6</v>
      </c>
      <c r="I144" s="285">
        <v>13.6</v>
      </c>
      <c r="J144" s="285">
        <v>13.6</v>
      </c>
      <c r="K144" s="285">
        <v>12.2</v>
      </c>
      <c r="L144" s="285">
        <v>12.2</v>
      </c>
      <c r="M144" s="285">
        <v>12.2</v>
      </c>
      <c r="N144" s="285">
        <v>12.2</v>
      </c>
      <c r="O144" s="285">
        <v>12.2</v>
      </c>
      <c r="P144" s="285">
        <v>10.8</v>
      </c>
      <c r="Q144" s="285">
        <v>10.8</v>
      </c>
      <c r="R144" s="285">
        <v>10.8</v>
      </c>
      <c r="S144" s="285">
        <v>10.8</v>
      </c>
      <c r="T144" s="285">
        <v>10.8</v>
      </c>
      <c r="U144" s="285">
        <v>10.5</v>
      </c>
      <c r="V144" s="285">
        <v>10.5</v>
      </c>
      <c r="W144" s="285">
        <v>10.5</v>
      </c>
      <c r="X144" s="285">
        <v>10.5</v>
      </c>
      <c r="Y144" s="285">
        <v>10.5</v>
      </c>
      <c r="Z144" s="285">
        <v>10.199999999999999</v>
      </c>
      <c r="AA144" s="285">
        <v>10.199999999999999</v>
      </c>
      <c r="AB144" s="285">
        <v>10.199999999999999</v>
      </c>
      <c r="AC144" s="285">
        <v>10.199999999999999</v>
      </c>
      <c r="AD144" s="285">
        <v>10.199999999999999</v>
      </c>
      <c r="AE144" s="285">
        <v>9.9</v>
      </c>
      <c r="AF144" s="285">
        <v>9.9</v>
      </c>
      <c r="AG144" s="285">
        <v>9.9</v>
      </c>
      <c r="AH144" s="285">
        <v>9.9</v>
      </c>
      <c r="AI144" s="285">
        <v>9.9</v>
      </c>
      <c r="AJ144" s="285">
        <v>9.6</v>
      </c>
      <c r="AK144" s="220"/>
    </row>
    <row r="145" spans="1:37" ht="13.5" customHeight="1" x14ac:dyDescent="0.45">
      <c r="A145" s="622"/>
      <c r="B145" s="220"/>
      <c r="C145" s="221" t="s">
        <v>685</v>
      </c>
      <c r="D145" s="285">
        <v>0</v>
      </c>
      <c r="E145" s="285">
        <v>0</v>
      </c>
      <c r="F145" s="285"/>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c r="AE145" s="285"/>
      <c r="AF145" s="285"/>
      <c r="AG145" s="285"/>
      <c r="AH145" s="285"/>
      <c r="AI145" s="285"/>
      <c r="AJ145" s="285"/>
      <c r="AK145" s="220"/>
    </row>
    <row r="146" spans="1:37" ht="13.5" customHeight="1" x14ac:dyDescent="0.45">
      <c r="A146" s="622"/>
      <c r="B146" s="220"/>
      <c r="C146" s="221" t="s">
        <v>296</v>
      </c>
      <c r="D146" s="285">
        <v>145.08000000000001</v>
      </c>
      <c r="E146" s="285">
        <v>145.08000000000001</v>
      </c>
      <c r="F146" s="285">
        <v>136.99</v>
      </c>
      <c r="G146" s="285">
        <v>136.99</v>
      </c>
      <c r="H146" s="285">
        <v>136.99</v>
      </c>
      <c r="I146" s="285">
        <v>136.99</v>
      </c>
      <c r="J146" s="285">
        <v>136.99</v>
      </c>
      <c r="K146" s="285">
        <v>128.9</v>
      </c>
      <c r="L146" s="285">
        <v>128.9</v>
      </c>
      <c r="M146" s="285">
        <v>128.9</v>
      </c>
      <c r="N146" s="285">
        <v>128.9</v>
      </c>
      <c r="O146" s="285">
        <v>128.9</v>
      </c>
      <c r="P146" s="285">
        <v>120.81</v>
      </c>
      <c r="Q146" s="285">
        <v>120.81</v>
      </c>
      <c r="R146" s="285">
        <v>120.81</v>
      </c>
      <c r="S146" s="285">
        <v>120.81</v>
      </c>
      <c r="T146" s="285">
        <v>120.81</v>
      </c>
      <c r="U146" s="285">
        <v>112.71</v>
      </c>
      <c r="V146" s="285">
        <v>112.71</v>
      </c>
      <c r="W146" s="285">
        <v>112.71</v>
      </c>
      <c r="X146" s="285">
        <v>112.71</v>
      </c>
      <c r="Y146" s="285">
        <v>112.71</v>
      </c>
      <c r="Z146" s="285">
        <v>104.62</v>
      </c>
      <c r="AA146" s="285">
        <v>104.62</v>
      </c>
      <c r="AB146" s="285">
        <v>104.62</v>
      </c>
      <c r="AC146" s="285">
        <v>104.62</v>
      </c>
      <c r="AD146" s="285">
        <v>104.62</v>
      </c>
      <c r="AE146" s="285">
        <v>96.53</v>
      </c>
      <c r="AF146" s="285">
        <v>96.53</v>
      </c>
      <c r="AG146" s="285">
        <v>96.53</v>
      </c>
      <c r="AH146" s="285">
        <v>96.53</v>
      </c>
      <c r="AI146" s="285">
        <v>96.53</v>
      </c>
      <c r="AJ146" s="285">
        <v>88.44</v>
      </c>
      <c r="AK146" s="220"/>
    </row>
    <row r="147" spans="1:37" ht="13.5" customHeight="1" x14ac:dyDescent="0.45">
      <c r="A147" s="622"/>
      <c r="B147" s="220"/>
      <c r="C147" s="243" t="s">
        <v>701</v>
      </c>
      <c r="D147" s="285">
        <v>37.950000000000003</v>
      </c>
      <c r="E147" s="285">
        <v>37.950000000000003</v>
      </c>
      <c r="F147" s="285">
        <v>34.29</v>
      </c>
      <c r="G147" s="285">
        <v>34.29</v>
      </c>
      <c r="H147" s="285">
        <v>34.29</v>
      </c>
      <c r="I147" s="285">
        <v>34.29</v>
      </c>
      <c r="J147" s="285">
        <v>34.29</v>
      </c>
      <c r="K147" s="285">
        <v>30.65</v>
      </c>
      <c r="L147" s="285">
        <v>30.65</v>
      </c>
      <c r="M147" s="285">
        <v>30.65</v>
      </c>
      <c r="N147" s="285">
        <v>30.65</v>
      </c>
      <c r="O147" s="285">
        <v>30.65</v>
      </c>
      <c r="P147" s="285">
        <v>27</v>
      </c>
      <c r="Q147" s="285">
        <v>27</v>
      </c>
      <c r="R147" s="285">
        <v>27</v>
      </c>
      <c r="S147" s="285">
        <v>27</v>
      </c>
      <c r="T147" s="285">
        <v>27</v>
      </c>
      <c r="U147" s="285">
        <v>24.59</v>
      </c>
      <c r="V147" s="285">
        <v>24.59</v>
      </c>
      <c r="W147" s="285">
        <v>24.59</v>
      </c>
      <c r="X147" s="285">
        <v>24.59</v>
      </c>
      <c r="Y147" s="285">
        <v>24.59</v>
      </c>
      <c r="Z147" s="285">
        <v>22.19</v>
      </c>
      <c r="AA147" s="285">
        <v>22.19</v>
      </c>
      <c r="AB147" s="285">
        <v>22.19</v>
      </c>
      <c r="AC147" s="285">
        <v>22.19</v>
      </c>
      <c r="AD147" s="285">
        <v>22.19</v>
      </c>
      <c r="AE147" s="285">
        <v>19.78</v>
      </c>
      <c r="AF147" s="285">
        <v>19.78</v>
      </c>
      <c r="AG147" s="285">
        <v>19.78</v>
      </c>
      <c r="AH147" s="285">
        <v>19.78</v>
      </c>
      <c r="AI147" s="285">
        <v>19.78</v>
      </c>
      <c r="AJ147" s="285">
        <v>17.37</v>
      </c>
      <c r="AK147" s="220"/>
    </row>
    <row r="148" spans="1:37" ht="13.5" customHeight="1" x14ac:dyDescent="0.45">
      <c r="A148" s="622"/>
      <c r="B148" s="220"/>
      <c r="C148" s="221" t="s">
        <v>686</v>
      </c>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285"/>
      <c r="AJ148" s="285"/>
      <c r="AK148" s="220"/>
    </row>
    <row r="149" spans="1:37" ht="13.5" customHeight="1" x14ac:dyDescent="0.45">
      <c r="A149" s="622"/>
      <c r="B149" s="220"/>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c r="AA149" s="285"/>
      <c r="AB149" s="285"/>
      <c r="AC149" s="285"/>
      <c r="AD149" s="285"/>
      <c r="AE149" s="285"/>
      <c r="AF149" s="285"/>
      <c r="AG149" s="285"/>
      <c r="AH149" s="285"/>
      <c r="AI149" s="285"/>
      <c r="AJ149" s="285"/>
      <c r="AK149" s="220"/>
    </row>
    <row r="150" spans="1:37" ht="13.5" customHeight="1" x14ac:dyDescent="0.45">
      <c r="A150" s="622"/>
      <c r="B150" s="220"/>
      <c r="C150" s="243" t="s">
        <v>702</v>
      </c>
      <c r="D150" s="285"/>
      <c r="E150" s="285"/>
      <c r="F150" s="285"/>
      <c r="G150" s="285"/>
      <c r="H150" s="285"/>
      <c r="I150" s="285"/>
      <c r="J150" s="285"/>
      <c r="K150" s="285"/>
      <c r="L150" s="285"/>
      <c r="M150" s="285"/>
      <c r="N150" s="285"/>
      <c r="O150" s="285"/>
      <c r="P150" s="285"/>
      <c r="Q150" s="285"/>
      <c r="R150" s="285"/>
      <c r="S150" s="285"/>
      <c r="T150" s="285"/>
      <c r="U150" s="285"/>
      <c r="V150" s="285"/>
      <c r="W150" s="285"/>
      <c r="X150" s="285"/>
      <c r="Y150" s="285"/>
      <c r="Z150" s="285"/>
      <c r="AA150" s="285"/>
      <c r="AB150" s="285"/>
      <c r="AC150" s="285"/>
      <c r="AD150" s="285"/>
      <c r="AE150" s="285"/>
      <c r="AF150" s="285"/>
      <c r="AG150" s="285"/>
      <c r="AH150" s="285"/>
      <c r="AI150" s="285"/>
      <c r="AJ150" s="285"/>
      <c r="AK150" s="220"/>
    </row>
    <row r="151" spans="1:37" ht="13.5" customHeight="1" x14ac:dyDescent="0.45">
      <c r="A151" s="622"/>
      <c r="B151" s="220"/>
      <c r="C151" s="353"/>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0"/>
      <c r="AE151" s="220"/>
      <c r="AF151" s="220"/>
      <c r="AG151" s="220"/>
      <c r="AH151" s="220"/>
      <c r="AI151" s="220"/>
      <c r="AJ151" s="220"/>
      <c r="AK151" s="220"/>
    </row>
    <row r="152" spans="1:37" ht="13.5" customHeight="1" x14ac:dyDescent="0.45">
      <c r="A152" s="622"/>
      <c r="B152" s="220"/>
      <c r="C152" s="243" t="s">
        <v>703</v>
      </c>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c r="AE152" s="285"/>
      <c r="AF152" s="285"/>
      <c r="AG152" s="285"/>
      <c r="AH152" s="285"/>
      <c r="AI152" s="285"/>
      <c r="AJ152" s="285"/>
      <c r="AK152" s="220"/>
    </row>
    <row r="153" spans="1:37" ht="13.5" customHeight="1" x14ac:dyDescent="0.45">
      <c r="A153" s="622"/>
      <c r="B153" s="220"/>
      <c r="C153" s="243" t="s">
        <v>704</v>
      </c>
      <c r="D153" s="285"/>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c r="AA153" s="285"/>
      <c r="AB153" s="285"/>
      <c r="AC153" s="285"/>
      <c r="AD153" s="285"/>
      <c r="AE153" s="285"/>
      <c r="AF153" s="285"/>
      <c r="AG153" s="285"/>
      <c r="AH153" s="285"/>
      <c r="AI153" s="285"/>
      <c r="AJ153" s="285"/>
      <c r="AK153" s="220"/>
    </row>
    <row r="154" spans="1:37" ht="13.5" customHeight="1" x14ac:dyDescent="0.45">
      <c r="A154" s="622"/>
      <c r="B154" s="220"/>
      <c r="C154" s="243" t="s">
        <v>705</v>
      </c>
      <c r="D154" s="285"/>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c r="AE154" s="285"/>
      <c r="AF154" s="285"/>
      <c r="AG154" s="285"/>
      <c r="AH154" s="285"/>
      <c r="AI154" s="285"/>
      <c r="AJ154" s="285"/>
      <c r="AK154" s="220"/>
    </row>
    <row r="155" spans="1:37" ht="13.5" customHeight="1" x14ac:dyDescent="0.45">
      <c r="A155" s="622"/>
      <c r="B155" s="220"/>
      <c r="C155" s="243" t="s">
        <v>706</v>
      </c>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G155" s="285"/>
      <c r="AH155" s="285"/>
      <c r="AI155" s="285"/>
      <c r="AJ155" s="285"/>
      <c r="AK155" s="220"/>
    </row>
    <row r="156" spans="1:37" ht="13.5" customHeight="1" x14ac:dyDescent="0.45">
      <c r="A156" s="622"/>
      <c r="B156" s="220"/>
      <c r="C156" s="243" t="s">
        <v>707</v>
      </c>
      <c r="D156" s="285"/>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c r="AE156" s="285"/>
      <c r="AF156" s="285"/>
      <c r="AG156" s="285"/>
      <c r="AH156" s="285"/>
      <c r="AI156" s="285"/>
      <c r="AJ156" s="285"/>
      <c r="AK156" s="220"/>
    </row>
    <row r="157" spans="1:37" ht="13.5" customHeight="1" x14ac:dyDescent="0.45">
      <c r="A157" s="622"/>
      <c r="B157" s="220"/>
      <c r="C157" s="221" t="s">
        <v>664</v>
      </c>
      <c r="D157" s="285"/>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c r="AA157" s="285"/>
      <c r="AB157" s="285"/>
      <c r="AC157" s="285"/>
      <c r="AD157" s="285"/>
      <c r="AE157" s="285"/>
      <c r="AF157" s="285"/>
      <c r="AG157" s="285"/>
      <c r="AH157" s="285"/>
      <c r="AI157" s="285"/>
      <c r="AJ157" s="285"/>
      <c r="AK157" s="220"/>
    </row>
    <row r="158" spans="1:37" ht="13.5" customHeight="1" x14ac:dyDescent="0.45">
      <c r="A158" s="622"/>
      <c r="B158" s="220"/>
      <c r="C158" s="221" t="s">
        <v>665</v>
      </c>
      <c r="D158" s="285">
        <v>0.63</v>
      </c>
      <c r="E158" s="285">
        <v>0.63</v>
      </c>
      <c r="F158" s="285">
        <v>0.63</v>
      </c>
      <c r="G158" s="285">
        <v>0.63</v>
      </c>
      <c r="H158" s="285">
        <v>0.63</v>
      </c>
      <c r="I158" s="285">
        <v>0.63</v>
      </c>
      <c r="J158" s="285">
        <v>0.63</v>
      </c>
      <c r="K158" s="285">
        <v>0.63</v>
      </c>
      <c r="L158" s="285">
        <v>0.63</v>
      </c>
      <c r="M158" s="285">
        <v>0.63</v>
      </c>
      <c r="N158" s="285">
        <v>0.63</v>
      </c>
      <c r="O158" s="285">
        <v>0.63</v>
      </c>
      <c r="P158" s="285">
        <v>0.63</v>
      </c>
      <c r="Q158" s="285">
        <v>0.63</v>
      </c>
      <c r="R158" s="285">
        <v>0.63</v>
      </c>
      <c r="S158" s="285">
        <v>0.63</v>
      </c>
      <c r="T158" s="285">
        <v>0.63</v>
      </c>
      <c r="U158" s="285">
        <v>0.63</v>
      </c>
      <c r="V158" s="285">
        <v>0.63</v>
      </c>
      <c r="W158" s="285">
        <v>0.63</v>
      </c>
      <c r="X158" s="285">
        <v>0.63</v>
      </c>
      <c r="Y158" s="285">
        <v>0.63</v>
      </c>
      <c r="Z158" s="285">
        <v>0.63</v>
      </c>
      <c r="AA158" s="285">
        <v>0.63</v>
      </c>
      <c r="AB158" s="285">
        <v>0.63</v>
      </c>
      <c r="AC158" s="285">
        <v>0.63</v>
      </c>
      <c r="AD158" s="285">
        <v>0.63</v>
      </c>
      <c r="AE158" s="285">
        <v>0.63</v>
      </c>
      <c r="AF158" s="285">
        <v>0.63</v>
      </c>
      <c r="AG158" s="285">
        <v>0.63</v>
      </c>
      <c r="AH158" s="285">
        <v>0.63</v>
      </c>
      <c r="AI158" s="285">
        <v>0.63</v>
      </c>
      <c r="AJ158" s="285">
        <v>0.63</v>
      </c>
      <c r="AK158" s="220"/>
    </row>
    <row r="159" spans="1:37" ht="13.5" customHeight="1" x14ac:dyDescent="0.45">
      <c r="A159" s="622"/>
      <c r="B159" s="220"/>
      <c r="C159" s="221" t="s">
        <v>666</v>
      </c>
      <c r="D159" s="285">
        <v>0.63</v>
      </c>
      <c r="E159" s="285">
        <v>0.63</v>
      </c>
      <c r="F159" s="285">
        <v>0.63</v>
      </c>
      <c r="G159" s="285">
        <v>0.63</v>
      </c>
      <c r="H159" s="285">
        <v>0.63</v>
      </c>
      <c r="I159" s="285">
        <v>0.63</v>
      </c>
      <c r="J159" s="285">
        <v>0.63</v>
      </c>
      <c r="K159" s="285">
        <v>0.63</v>
      </c>
      <c r="L159" s="285">
        <v>0.63</v>
      </c>
      <c r="M159" s="285">
        <v>0.63</v>
      </c>
      <c r="N159" s="285">
        <v>0.63</v>
      </c>
      <c r="O159" s="285">
        <v>0.63</v>
      </c>
      <c r="P159" s="285">
        <v>0.63</v>
      </c>
      <c r="Q159" s="285">
        <v>0.63</v>
      </c>
      <c r="R159" s="285">
        <v>0.63</v>
      </c>
      <c r="S159" s="285">
        <v>0.63</v>
      </c>
      <c r="T159" s="285">
        <v>0.63</v>
      </c>
      <c r="U159" s="285">
        <v>0.63</v>
      </c>
      <c r="V159" s="285">
        <v>0.63</v>
      </c>
      <c r="W159" s="285">
        <v>0.63</v>
      </c>
      <c r="X159" s="285">
        <v>0.63</v>
      </c>
      <c r="Y159" s="285">
        <v>0.63</v>
      </c>
      <c r="Z159" s="285">
        <v>0.63</v>
      </c>
      <c r="AA159" s="285">
        <v>0.63</v>
      </c>
      <c r="AB159" s="285">
        <v>0.63</v>
      </c>
      <c r="AC159" s="285">
        <v>0.63</v>
      </c>
      <c r="AD159" s="285">
        <v>0.63</v>
      </c>
      <c r="AE159" s="285">
        <v>0.63</v>
      </c>
      <c r="AF159" s="285">
        <v>0.63</v>
      </c>
      <c r="AG159" s="285">
        <v>0.63</v>
      </c>
      <c r="AH159" s="285">
        <v>0.63</v>
      </c>
      <c r="AI159" s="285">
        <v>0.63</v>
      </c>
      <c r="AJ159" s="285">
        <v>0.63</v>
      </c>
      <c r="AK159" s="220"/>
    </row>
    <row r="160" spans="1:37" ht="13.5" customHeight="1" x14ac:dyDescent="0.45">
      <c r="A160" s="622"/>
      <c r="B160" s="220"/>
      <c r="C160" s="243" t="s">
        <v>667</v>
      </c>
      <c r="D160" s="285"/>
      <c r="E160" s="285"/>
      <c r="F160" s="285"/>
      <c r="G160" s="285"/>
      <c r="H160" s="285"/>
      <c r="I160" s="285"/>
      <c r="J160" s="285"/>
      <c r="K160" s="285"/>
      <c r="L160" s="285"/>
      <c r="M160" s="285"/>
      <c r="N160" s="285"/>
      <c r="O160" s="285"/>
      <c r="P160" s="285"/>
      <c r="Q160" s="285"/>
      <c r="R160" s="285"/>
      <c r="S160" s="285"/>
      <c r="T160" s="285"/>
      <c r="U160" s="285"/>
      <c r="V160" s="285"/>
      <c r="W160" s="285"/>
      <c r="X160" s="285"/>
      <c r="Y160" s="285"/>
      <c r="Z160" s="285"/>
      <c r="AA160" s="285"/>
      <c r="AB160" s="285"/>
      <c r="AC160" s="285"/>
      <c r="AD160" s="285"/>
      <c r="AE160" s="285"/>
      <c r="AF160" s="285"/>
      <c r="AG160" s="285"/>
      <c r="AH160" s="285"/>
      <c r="AI160" s="285"/>
      <c r="AJ160" s="285"/>
      <c r="AK160" s="220"/>
    </row>
    <row r="161" spans="1:37" ht="13.5" customHeight="1" x14ac:dyDescent="0.45">
      <c r="A161" s="622"/>
      <c r="B161" s="220"/>
      <c r="C161" s="221" t="s">
        <v>664</v>
      </c>
      <c r="D161" s="285">
        <v>0.63</v>
      </c>
      <c r="E161" s="285">
        <v>0.63</v>
      </c>
      <c r="F161" s="285">
        <v>0.63</v>
      </c>
      <c r="G161" s="285">
        <v>0.63</v>
      </c>
      <c r="H161" s="285">
        <v>0.63</v>
      </c>
      <c r="I161" s="285">
        <v>0.63</v>
      </c>
      <c r="J161" s="285">
        <v>0.63</v>
      </c>
      <c r="K161" s="285">
        <v>0.63</v>
      </c>
      <c r="L161" s="285">
        <v>0.63</v>
      </c>
      <c r="M161" s="285">
        <v>0.63</v>
      </c>
      <c r="N161" s="285">
        <v>0.63</v>
      </c>
      <c r="O161" s="285">
        <v>0.63</v>
      </c>
      <c r="P161" s="285">
        <v>0.63</v>
      </c>
      <c r="Q161" s="285">
        <v>0.63</v>
      </c>
      <c r="R161" s="285">
        <v>0.63</v>
      </c>
      <c r="S161" s="285">
        <v>0.63</v>
      </c>
      <c r="T161" s="285">
        <v>0.63</v>
      </c>
      <c r="U161" s="285">
        <v>0.63</v>
      </c>
      <c r="V161" s="285">
        <v>0.63</v>
      </c>
      <c r="W161" s="285">
        <v>0.63</v>
      </c>
      <c r="X161" s="285">
        <v>0.63</v>
      </c>
      <c r="Y161" s="285">
        <v>0.63</v>
      </c>
      <c r="Z161" s="285">
        <v>0.63</v>
      </c>
      <c r="AA161" s="285">
        <v>0.63</v>
      </c>
      <c r="AB161" s="285">
        <v>0.63</v>
      </c>
      <c r="AC161" s="285">
        <v>0.63</v>
      </c>
      <c r="AD161" s="285">
        <v>0.63</v>
      </c>
      <c r="AE161" s="285">
        <v>0.63</v>
      </c>
      <c r="AF161" s="285">
        <v>0.63</v>
      </c>
      <c r="AG161" s="285">
        <v>0.63</v>
      </c>
      <c r="AH161" s="285">
        <v>0.63</v>
      </c>
      <c r="AI161" s="285">
        <v>0.63</v>
      </c>
      <c r="AJ161" s="285">
        <v>0.63</v>
      </c>
      <c r="AK161" s="220"/>
    </row>
    <row r="162" spans="1:37" ht="13.5" customHeight="1" x14ac:dyDescent="0.45">
      <c r="A162" s="622"/>
      <c r="B162" s="220"/>
      <c r="C162" s="221" t="s">
        <v>665</v>
      </c>
      <c r="D162" s="285">
        <v>0.63</v>
      </c>
      <c r="E162" s="285">
        <v>0.63</v>
      </c>
      <c r="F162" s="285">
        <v>0.63</v>
      </c>
      <c r="G162" s="285">
        <v>0.63</v>
      </c>
      <c r="H162" s="285">
        <v>0.63</v>
      </c>
      <c r="I162" s="285">
        <v>0.63</v>
      </c>
      <c r="J162" s="285">
        <v>0.63</v>
      </c>
      <c r="K162" s="285">
        <v>0.63</v>
      </c>
      <c r="L162" s="285">
        <v>0.63</v>
      </c>
      <c r="M162" s="285">
        <v>0.63</v>
      </c>
      <c r="N162" s="285">
        <v>0.63</v>
      </c>
      <c r="O162" s="285">
        <v>0.63</v>
      </c>
      <c r="P162" s="285">
        <v>0.63</v>
      </c>
      <c r="Q162" s="285">
        <v>0.63</v>
      </c>
      <c r="R162" s="285">
        <v>0.63</v>
      </c>
      <c r="S162" s="285">
        <v>0.63</v>
      </c>
      <c r="T162" s="285">
        <v>0.63</v>
      </c>
      <c r="U162" s="285">
        <v>0.63</v>
      </c>
      <c r="V162" s="285">
        <v>0.63</v>
      </c>
      <c r="W162" s="285">
        <v>0.63</v>
      </c>
      <c r="X162" s="285">
        <v>0.63</v>
      </c>
      <c r="Y162" s="285">
        <v>0.63</v>
      </c>
      <c r="Z162" s="285">
        <v>0.63</v>
      </c>
      <c r="AA162" s="285">
        <v>0.63</v>
      </c>
      <c r="AB162" s="285">
        <v>0.63</v>
      </c>
      <c r="AC162" s="285">
        <v>0.63</v>
      </c>
      <c r="AD162" s="285">
        <v>0.63</v>
      </c>
      <c r="AE162" s="285">
        <v>0.63</v>
      </c>
      <c r="AF162" s="285">
        <v>0.63</v>
      </c>
      <c r="AG162" s="285">
        <v>0.63</v>
      </c>
      <c r="AH162" s="285">
        <v>0.63</v>
      </c>
      <c r="AI162" s="285">
        <v>0.63</v>
      </c>
      <c r="AJ162" s="285">
        <v>0.63</v>
      </c>
      <c r="AK162" s="220"/>
    </row>
    <row r="163" spans="1:37" ht="13.5" customHeight="1" x14ac:dyDescent="0.45">
      <c r="A163" s="622"/>
      <c r="B163" s="220"/>
      <c r="C163" s="221" t="s">
        <v>666</v>
      </c>
      <c r="D163" s="285">
        <v>0.63</v>
      </c>
      <c r="E163" s="285">
        <v>0.63</v>
      </c>
      <c r="F163" s="285">
        <v>0.63</v>
      </c>
      <c r="G163" s="285">
        <v>0.63</v>
      </c>
      <c r="H163" s="285">
        <v>0.63</v>
      </c>
      <c r="I163" s="285">
        <v>0.63</v>
      </c>
      <c r="J163" s="285">
        <v>0.63</v>
      </c>
      <c r="K163" s="285">
        <v>0.63</v>
      </c>
      <c r="L163" s="285">
        <v>0.63</v>
      </c>
      <c r="M163" s="285">
        <v>0.63</v>
      </c>
      <c r="N163" s="285">
        <v>0.63</v>
      </c>
      <c r="O163" s="285">
        <v>0.63</v>
      </c>
      <c r="P163" s="285">
        <v>0.63</v>
      </c>
      <c r="Q163" s="285">
        <v>0.63</v>
      </c>
      <c r="R163" s="285">
        <v>0.63</v>
      </c>
      <c r="S163" s="285">
        <v>0.63</v>
      </c>
      <c r="T163" s="285">
        <v>0.63</v>
      </c>
      <c r="U163" s="285">
        <v>0.63</v>
      </c>
      <c r="V163" s="285">
        <v>0.63</v>
      </c>
      <c r="W163" s="285">
        <v>0.63</v>
      </c>
      <c r="X163" s="285">
        <v>0.63</v>
      </c>
      <c r="Y163" s="285">
        <v>0.63</v>
      </c>
      <c r="Z163" s="285">
        <v>0.63</v>
      </c>
      <c r="AA163" s="285">
        <v>0.63</v>
      </c>
      <c r="AB163" s="285">
        <v>0.63</v>
      </c>
      <c r="AC163" s="285">
        <v>0.63</v>
      </c>
      <c r="AD163" s="285">
        <v>0.63</v>
      </c>
      <c r="AE163" s="285">
        <v>0.63</v>
      </c>
      <c r="AF163" s="285">
        <v>0.63</v>
      </c>
      <c r="AG163" s="285">
        <v>0.63</v>
      </c>
      <c r="AH163" s="285">
        <v>0.63</v>
      </c>
      <c r="AI163" s="285">
        <v>0.63</v>
      </c>
      <c r="AJ163" s="285">
        <v>0.63</v>
      </c>
      <c r="AK163" s="220"/>
    </row>
    <row r="164" spans="1:37" ht="13.5" customHeight="1" x14ac:dyDescent="0.45">
      <c r="A164" s="622"/>
      <c r="B164" s="220"/>
      <c r="C164" s="243" t="s">
        <v>668</v>
      </c>
      <c r="D164" s="285"/>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c r="AA164" s="285"/>
      <c r="AB164" s="285"/>
      <c r="AC164" s="285"/>
      <c r="AD164" s="285"/>
      <c r="AE164" s="285"/>
      <c r="AF164" s="285"/>
      <c r="AG164" s="285"/>
      <c r="AH164" s="285"/>
      <c r="AI164" s="285"/>
      <c r="AJ164" s="285"/>
      <c r="AK164" s="220"/>
    </row>
    <row r="165" spans="1:37" ht="13.5" customHeight="1" x14ac:dyDescent="0.45">
      <c r="A165" s="622"/>
      <c r="B165" s="220"/>
      <c r="C165" s="221" t="s">
        <v>669</v>
      </c>
      <c r="D165" s="285">
        <v>12.61</v>
      </c>
      <c r="E165" s="285">
        <v>12.61</v>
      </c>
      <c r="F165" s="285">
        <v>12.61</v>
      </c>
      <c r="G165" s="285">
        <v>12.61</v>
      </c>
      <c r="H165" s="285">
        <v>12.61</v>
      </c>
      <c r="I165" s="285">
        <v>12.61</v>
      </c>
      <c r="J165" s="285">
        <v>12.61</v>
      </c>
      <c r="K165" s="285">
        <v>12.61</v>
      </c>
      <c r="L165" s="285">
        <v>12.61</v>
      </c>
      <c r="M165" s="285">
        <v>12.61</v>
      </c>
      <c r="N165" s="285">
        <v>12.61</v>
      </c>
      <c r="O165" s="285">
        <v>12.61</v>
      </c>
      <c r="P165" s="285">
        <v>12.61</v>
      </c>
      <c r="Q165" s="285">
        <v>12.61</v>
      </c>
      <c r="R165" s="285">
        <v>12.61</v>
      </c>
      <c r="S165" s="285">
        <v>12.61</v>
      </c>
      <c r="T165" s="285">
        <v>12.61</v>
      </c>
      <c r="U165" s="285">
        <v>12.61</v>
      </c>
      <c r="V165" s="285">
        <v>12.61</v>
      </c>
      <c r="W165" s="285">
        <v>12.61</v>
      </c>
      <c r="X165" s="285">
        <v>12.61</v>
      </c>
      <c r="Y165" s="285">
        <v>12.61</v>
      </c>
      <c r="Z165" s="285">
        <v>12.61</v>
      </c>
      <c r="AA165" s="285">
        <v>12.61</v>
      </c>
      <c r="AB165" s="285">
        <v>12.61</v>
      </c>
      <c r="AC165" s="285">
        <v>12.61</v>
      </c>
      <c r="AD165" s="285">
        <v>12.61</v>
      </c>
      <c r="AE165" s="285">
        <v>12.61</v>
      </c>
      <c r="AF165" s="285">
        <v>12.61</v>
      </c>
      <c r="AG165" s="285">
        <v>12.61</v>
      </c>
      <c r="AH165" s="285">
        <v>12.61</v>
      </c>
      <c r="AI165" s="285">
        <v>12.61</v>
      </c>
      <c r="AJ165" s="285">
        <v>12.61</v>
      </c>
      <c r="AK165" s="220"/>
    </row>
    <row r="166" spans="1:37" ht="13.5" customHeight="1" x14ac:dyDescent="0.45">
      <c r="A166" s="622"/>
      <c r="B166" s="220"/>
      <c r="C166" s="221" t="s">
        <v>670</v>
      </c>
      <c r="D166" s="285">
        <v>18.899999999999999</v>
      </c>
      <c r="E166" s="285">
        <v>18.899999999999999</v>
      </c>
      <c r="F166" s="285">
        <v>18.899999999999999</v>
      </c>
      <c r="G166" s="285">
        <v>18.899999999999999</v>
      </c>
      <c r="H166" s="285">
        <v>18.899999999999999</v>
      </c>
      <c r="I166" s="285">
        <v>18.899999999999999</v>
      </c>
      <c r="J166" s="285">
        <v>18.899999999999999</v>
      </c>
      <c r="K166" s="285">
        <v>18.899999999999999</v>
      </c>
      <c r="L166" s="285">
        <v>18.899999999999999</v>
      </c>
      <c r="M166" s="285">
        <v>18.899999999999999</v>
      </c>
      <c r="N166" s="285">
        <v>18.899999999999999</v>
      </c>
      <c r="O166" s="285">
        <v>18.899999999999999</v>
      </c>
      <c r="P166" s="285">
        <v>18.899999999999999</v>
      </c>
      <c r="Q166" s="285">
        <v>18.899999999999999</v>
      </c>
      <c r="R166" s="285">
        <v>18.899999999999999</v>
      </c>
      <c r="S166" s="285">
        <v>18.899999999999999</v>
      </c>
      <c r="T166" s="285">
        <v>18.899999999999999</v>
      </c>
      <c r="U166" s="285">
        <v>18.899999999999999</v>
      </c>
      <c r="V166" s="285">
        <v>18.899999999999999</v>
      </c>
      <c r="W166" s="285">
        <v>18.899999999999999</v>
      </c>
      <c r="X166" s="285">
        <v>18.899999999999999</v>
      </c>
      <c r="Y166" s="285">
        <v>18.899999999999999</v>
      </c>
      <c r="Z166" s="285">
        <v>18.899999999999999</v>
      </c>
      <c r="AA166" s="285">
        <v>18.899999999999999</v>
      </c>
      <c r="AB166" s="285">
        <v>18.899999999999999</v>
      </c>
      <c r="AC166" s="285">
        <v>18.899999999999999</v>
      </c>
      <c r="AD166" s="285">
        <v>18.899999999999999</v>
      </c>
      <c r="AE166" s="285">
        <v>18.899999999999999</v>
      </c>
      <c r="AF166" s="285">
        <v>18.899999999999999</v>
      </c>
      <c r="AG166" s="285">
        <v>18.899999999999999</v>
      </c>
      <c r="AH166" s="285">
        <v>18.899999999999999</v>
      </c>
      <c r="AI166" s="285">
        <v>18.899999999999999</v>
      </c>
      <c r="AJ166" s="285">
        <v>18.899999999999999</v>
      </c>
      <c r="AK166" s="220"/>
    </row>
    <row r="167" spans="1:37" ht="13.5" customHeight="1" x14ac:dyDescent="0.45">
      <c r="A167" s="622"/>
      <c r="B167" s="220"/>
      <c r="C167" s="221" t="s">
        <v>671</v>
      </c>
      <c r="D167" s="285">
        <v>18.920000000000002</v>
      </c>
      <c r="E167" s="285">
        <v>18.920000000000002</v>
      </c>
      <c r="F167" s="285">
        <v>18.920000000000002</v>
      </c>
      <c r="G167" s="285">
        <v>18.920000000000002</v>
      </c>
      <c r="H167" s="285">
        <v>18.920000000000002</v>
      </c>
      <c r="I167" s="285">
        <v>18.920000000000002</v>
      </c>
      <c r="J167" s="285">
        <v>18.920000000000002</v>
      </c>
      <c r="K167" s="285">
        <v>18.920000000000002</v>
      </c>
      <c r="L167" s="285">
        <v>18.920000000000002</v>
      </c>
      <c r="M167" s="285">
        <v>18.920000000000002</v>
      </c>
      <c r="N167" s="285">
        <v>18.920000000000002</v>
      </c>
      <c r="O167" s="285">
        <v>18.920000000000002</v>
      </c>
      <c r="P167" s="285">
        <v>18.920000000000002</v>
      </c>
      <c r="Q167" s="285">
        <v>18.920000000000002</v>
      </c>
      <c r="R167" s="285">
        <v>18.920000000000002</v>
      </c>
      <c r="S167" s="285">
        <v>18.920000000000002</v>
      </c>
      <c r="T167" s="285">
        <v>18.920000000000002</v>
      </c>
      <c r="U167" s="285">
        <v>18.920000000000002</v>
      </c>
      <c r="V167" s="285">
        <v>18.920000000000002</v>
      </c>
      <c r="W167" s="285">
        <v>18.920000000000002</v>
      </c>
      <c r="X167" s="285">
        <v>18.920000000000002</v>
      </c>
      <c r="Y167" s="285">
        <v>18.920000000000002</v>
      </c>
      <c r="Z167" s="285">
        <v>18.920000000000002</v>
      </c>
      <c r="AA167" s="285">
        <v>18.920000000000002</v>
      </c>
      <c r="AB167" s="285">
        <v>18.920000000000002</v>
      </c>
      <c r="AC167" s="285">
        <v>18.920000000000002</v>
      </c>
      <c r="AD167" s="285">
        <v>18.920000000000002</v>
      </c>
      <c r="AE167" s="285">
        <v>18.920000000000002</v>
      </c>
      <c r="AF167" s="285">
        <v>18.920000000000002</v>
      </c>
      <c r="AG167" s="285">
        <v>18.920000000000002</v>
      </c>
      <c r="AH167" s="285">
        <v>18.920000000000002</v>
      </c>
      <c r="AI167" s="285">
        <v>18.920000000000002</v>
      </c>
      <c r="AJ167" s="285">
        <v>18.920000000000002</v>
      </c>
      <c r="AK167" s="220"/>
    </row>
    <row r="168" spans="1:37" ht="13.5" customHeight="1" x14ac:dyDescent="0.45">
      <c r="A168" s="622"/>
      <c r="B168" s="220"/>
      <c r="C168" s="221" t="s">
        <v>672</v>
      </c>
      <c r="D168" s="285">
        <v>25.23</v>
      </c>
      <c r="E168" s="285">
        <v>25.23</v>
      </c>
      <c r="F168" s="285">
        <v>25.23</v>
      </c>
      <c r="G168" s="285">
        <v>25.23</v>
      </c>
      <c r="H168" s="285">
        <v>25.23</v>
      </c>
      <c r="I168" s="285">
        <v>25.23</v>
      </c>
      <c r="J168" s="285">
        <v>25.23</v>
      </c>
      <c r="K168" s="285">
        <v>25.23</v>
      </c>
      <c r="L168" s="285">
        <v>25.23</v>
      </c>
      <c r="M168" s="285">
        <v>25.23</v>
      </c>
      <c r="N168" s="285">
        <v>25.23</v>
      </c>
      <c r="O168" s="285">
        <v>25.23</v>
      </c>
      <c r="P168" s="285">
        <v>25.23</v>
      </c>
      <c r="Q168" s="285">
        <v>25.23</v>
      </c>
      <c r="R168" s="285">
        <v>25.23</v>
      </c>
      <c r="S168" s="285">
        <v>25.23</v>
      </c>
      <c r="T168" s="285">
        <v>25.23</v>
      </c>
      <c r="U168" s="285">
        <v>25.23</v>
      </c>
      <c r="V168" s="285">
        <v>25.23</v>
      </c>
      <c r="W168" s="285">
        <v>25.23</v>
      </c>
      <c r="X168" s="285">
        <v>25.23</v>
      </c>
      <c r="Y168" s="285">
        <v>25.23</v>
      </c>
      <c r="Z168" s="285">
        <v>25.23</v>
      </c>
      <c r="AA168" s="285">
        <v>25.23</v>
      </c>
      <c r="AB168" s="285">
        <v>25.23</v>
      </c>
      <c r="AC168" s="285">
        <v>25.23</v>
      </c>
      <c r="AD168" s="285">
        <v>25.23</v>
      </c>
      <c r="AE168" s="285">
        <v>25.23</v>
      </c>
      <c r="AF168" s="285">
        <v>25.23</v>
      </c>
      <c r="AG168" s="285">
        <v>25.23</v>
      </c>
      <c r="AH168" s="285">
        <v>25.23</v>
      </c>
      <c r="AI168" s="285">
        <v>25.23</v>
      </c>
      <c r="AJ168" s="285">
        <v>25.23</v>
      </c>
      <c r="AK168" s="220"/>
    </row>
    <row r="169" spans="1:37" ht="13.5" customHeight="1" x14ac:dyDescent="0.45">
      <c r="A169" s="622"/>
      <c r="B169" s="220"/>
      <c r="C169" s="243" t="s">
        <v>708</v>
      </c>
      <c r="D169" s="285"/>
      <c r="E169" s="285"/>
      <c r="F169" s="285"/>
      <c r="G169" s="285"/>
      <c r="H169" s="285"/>
      <c r="I169" s="285"/>
      <c r="J169" s="285"/>
      <c r="K169" s="285"/>
      <c r="L169" s="285"/>
      <c r="M169" s="285"/>
      <c r="N169" s="285"/>
      <c r="O169" s="285"/>
      <c r="P169" s="285"/>
      <c r="Q169" s="285"/>
      <c r="R169" s="285"/>
      <c r="S169" s="285"/>
      <c r="T169" s="285"/>
      <c r="U169" s="285"/>
      <c r="V169" s="285"/>
      <c r="W169" s="285"/>
      <c r="X169" s="285"/>
      <c r="Y169" s="285"/>
      <c r="Z169" s="285"/>
      <c r="AA169" s="285"/>
      <c r="AB169" s="285"/>
      <c r="AC169" s="285"/>
      <c r="AD169" s="285"/>
      <c r="AE169" s="285"/>
      <c r="AF169" s="285"/>
      <c r="AG169" s="285"/>
      <c r="AH169" s="285"/>
      <c r="AI169" s="285"/>
      <c r="AJ169" s="285"/>
      <c r="AK169" s="220"/>
    </row>
    <row r="170" spans="1:37" ht="13.5" customHeight="1" x14ac:dyDescent="0.45">
      <c r="A170" s="622"/>
      <c r="B170" s="220"/>
      <c r="C170" s="221" t="s">
        <v>696</v>
      </c>
      <c r="D170" s="285">
        <v>9.4600000000000009</v>
      </c>
      <c r="E170" s="285">
        <v>9.4600000000000009</v>
      </c>
      <c r="F170" s="285">
        <v>9.4600000000000009</v>
      </c>
      <c r="G170" s="285">
        <v>9.4600000000000009</v>
      </c>
      <c r="H170" s="285">
        <v>9.4600000000000009</v>
      </c>
      <c r="I170" s="285">
        <v>9.4600000000000009</v>
      </c>
      <c r="J170" s="285">
        <v>9.4600000000000009</v>
      </c>
      <c r="K170" s="285">
        <v>9.4600000000000009</v>
      </c>
      <c r="L170" s="285">
        <v>9.4600000000000009</v>
      </c>
      <c r="M170" s="285">
        <v>9.4600000000000009</v>
      </c>
      <c r="N170" s="285">
        <v>9.4600000000000009</v>
      </c>
      <c r="O170" s="285">
        <v>9.4600000000000009</v>
      </c>
      <c r="P170" s="285">
        <v>9.4600000000000009</v>
      </c>
      <c r="Q170" s="285">
        <v>9.4600000000000009</v>
      </c>
      <c r="R170" s="285">
        <v>9.4600000000000009</v>
      </c>
      <c r="S170" s="285">
        <v>9.4600000000000009</v>
      </c>
      <c r="T170" s="285">
        <v>9.4600000000000009</v>
      </c>
      <c r="U170" s="285">
        <v>9.4600000000000009</v>
      </c>
      <c r="V170" s="285">
        <v>9.4600000000000009</v>
      </c>
      <c r="W170" s="285">
        <v>9.4600000000000009</v>
      </c>
      <c r="X170" s="285">
        <v>9.4600000000000009</v>
      </c>
      <c r="Y170" s="285">
        <v>9.4600000000000009</v>
      </c>
      <c r="Z170" s="285">
        <v>9.4600000000000009</v>
      </c>
      <c r="AA170" s="285">
        <v>9.4600000000000009</v>
      </c>
      <c r="AB170" s="285">
        <v>9.4600000000000009</v>
      </c>
      <c r="AC170" s="285">
        <v>9.4600000000000009</v>
      </c>
      <c r="AD170" s="285">
        <v>9.4600000000000009</v>
      </c>
      <c r="AE170" s="285">
        <v>9.4600000000000009</v>
      </c>
      <c r="AF170" s="285">
        <v>9.4600000000000009</v>
      </c>
      <c r="AG170" s="285">
        <v>9.4600000000000009</v>
      </c>
      <c r="AH170" s="285">
        <v>9.4600000000000009</v>
      </c>
      <c r="AI170" s="285">
        <v>9.4600000000000009</v>
      </c>
      <c r="AJ170" s="285">
        <v>9.4600000000000009</v>
      </c>
      <c r="AK170" s="220"/>
    </row>
    <row r="171" spans="1:37" ht="13.5" customHeight="1" x14ac:dyDescent="0.45">
      <c r="A171" s="622"/>
      <c r="B171" s="220"/>
      <c r="C171" s="221" t="s">
        <v>697</v>
      </c>
      <c r="D171" s="285">
        <v>9.15</v>
      </c>
      <c r="E171" s="285">
        <v>9.15</v>
      </c>
      <c r="F171" s="285">
        <v>9.15</v>
      </c>
      <c r="G171" s="285">
        <v>9.15</v>
      </c>
      <c r="H171" s="285">
        <v>9.15</v>
      </c>
      <c r="I171" s="285">
        <v>9.15</v>
      </c>
      <c r="J171" s="285">
        <v>9.15</v>
      </c>
      <c r="K171" s="285">
        <v>9.15</v>
      </c>
      <c r="L171" s="285">
        <v>9.15</v>
      </c>
      <c r="M171" s="285">
        <v>9.15</v>
      </c>
      <c r="N171" s="285">
        <v>9.15</v>
      </c>
      <c r="O171" s="285">
        <v>9.15</v>
      </c>
      <c r="P171" s="285">
        <v>9.15</v>
      </c>
      <c r="Q171" s="285">
        <v>9.15</v>
      </c>
      <c r="R171" s="285">
        <v>9.15</v>
      </c>
      <c r="S171" s="285">
        <v>9.15</v>
      </c>
      <c r="T171" s="285">
        <v>9.15</v>
      </c>
      <c r="U171" s="285">
        <v>9.15</v>
      </c>
      <c r="V171" s="285">
        <v>9.15</v>
      </c>
      <c r="W171" s="285">
        <v>9.15</v>
      </c>
      <c r="X171" s="285">
        <v>9.15</v>
      </c>
      <c r="Y171" s="285">
        <v>9.15</v>
      </c>
      <c r="Z171" s="285">
        <v>9.15</v>
      </c>
      <c r="AA171" s="285">
        <v>9.15</v>
      </c>
      <c r="AB171" s="285">
        <v>9.15</v>
      </c>
      <c r="AC171" s="285">
        <v>9.15</v>
      </c>
      <c r="AD171" s="285">
        <v>9.15</v>
      </c>
      <c r="AE171" s="285">
        <v>9.15</v>
      </c>
      <c r="AF171" s="285">
        <v>9.15</v>
      </c>
      <c r="AG171" s="285">
        <v>9.15</v>
      </c>
      <c r="AH171" s="285">
        <v>9.15</v>
      </c>
      <c r="AI171" s="285">
        <v>9.15</v>
      </c>
      <c r="AJ171" s="285">
        <v>9.15</v>
      </c>
      <c r="AK171" s="220"/>
    </row>
    <row r="172" spans="1:37" ht="13.5" customHeight="1" x14ac:dyDescent="0.45">
      <c r="A172" s="622"/>
      <c r="B172" s="220"/>
      <c r="C172" s="243" t="s">
        <v>709</v>
      </c>
      <c r="D172" s="285"/>
      <c r="E172" s="285"/>
      <c r="F172" s="285"/>
      <c r="G172" s="285"/>
      <c r="H172" s="285"/>
      <c r="I172" s="285"/>
      <c r="J172" s="285"/>
      <c r="K172" s="285"/>
      <c r="L172" s="285"/>
      <c r="M172" s="285"/>
      <c r="N172" s="285"/>
      <c r="O172" s="285"/>
      <c r="P172" s="285"/>
      <c r="Q172" s="285"/>
      <c r="R172" s="285"/>
      <c r="S172" s="285"/>
      <c r="T172" s="285"/>
      <c r="U172" s="285"/>
      <c r="V172" s="285"/>
      <c r="W172" s="285"/>
      <c r="X172" s="285"/>
      <c r="Y172" s="285"/>
      <c r="Z172" s="285"/>
      <c r="AA172" s="285"/>
      <c r="AB172" s="285"/>
      <c r="AC172" s="285"/>
      <c r="AD172" s="285"/>
      <c r="AE172" s="285"/>
      <c r="AF172" s="285"/>
      <c r="AG172" s="285"/>
      <c r="AH172" s="285"/>
      <c r="AI172" s="285"/>
      <c r="AJ172" s="285"/>
      <c r="AK172" s="220"/>
    </row>
    <row r="173" spans="1:37" ht="13.5" customHeight="1" x14ac:dyDescent="0.45">
      <c r="A173" s="622"/>
      <c r="B173" s="220"/>
      <c r="C173" s="221" t="s">
        <v>674</v>
      </c>
      <c r="D173" s="285">
        <v>9.4600000000000009</v>
      </c>
      <c r="E173" s="285">
        <v>9.4600000000000009</v>
      </c>
      <c r="F173" s="285">
        <v>9.4600000000000009</v>
      </c>
      <c r="G173" s="285">
        <v>9.4600000000000009</v>
      </c>
      <c r="H173" s="285">
        <v>9.4600000000000009</v>
      </c>
      <c r="I173" s="285">
        <v>9.4600000000000009</v>
      </c>
      <c r="J173" s="285">
        <v>9.4600000000000009</v>
      </c>
      <c r="K173" s="285">
        <v>9.4600000000000009</v>
      </c>
      <c r="L173" s="285">
        <v>9.4600000000000009</v>
      </c>
      <c r="M173" s="285">
        <v>9.4600000000000009</v>
      </c>
      <c r="N173" s="285">
        <v>9.4600000000000009</v>
      </c>
      <c r="O173" s="285">
        <v>9.4600000000000009</v>
      </c>
      <c r="P173" s="285">
        <v>9.4600000000000009</v>
      </c>
      <c r="Q173" s="285">
        <v>9.4600000000000009</v>
      </c>
      <c r="R173" s="285">
        <v>9.4600000000000009</v>
      </c>
      <c r="S173" s="285">
        <v>9.4600000000000009</v>
      </c>
      <c r="T173" s="285">
        <v>9.4600000000000009</v>
      </c>
      <c r="U173" s="285">
        <v>9.4600000000000009</v>
      </c>
      <c r="V173" s="285">
        <v>9.4600000000000009</v>
      </c>
      <c r="W173" s="285">
        <v>9.4600000000000009</v>
      </c>
      <c r="X173" s="285">
        <v>9.4600000000000009</v>
      </c>
      <c r="Y173" s="285">
        <v>9.4600000000000009</v>
      </c>
      <c r="Z173" s="285">
        <v>9.4600000000000009</v>
      </c>
      <c r="AA173" s="285">
        <v>9.4600000000000009</v>
      </c>
      <c r="AB173" s="285">
        <v>9.4600000000000009</v>
      </c>
      <c r="AC173" s="285">
        <v>9.4600000000000009</v>
      </c>
      <c r="AD173" s="285">
        <v>9.4600000000000009</v>
      </c>
      <c r="AE173" s="285">
        <v>9.4600000000000009</v>
      </c>
      <c r="AF173" s="285">
        <v>9.4600000000000009</v>
      </c>
      <c r="AG173" s="285">
        <v>9.4600000000000009</v>
      </c>
      <c r="AH173" s="285">
        <v>9.4600000000000009</v>
      </c>
      <c r="AI173" s="285">
        <v>9.4600000000000009</v>
      </c>
      <c r="AJ173" s="285">
        <v>9.4600000000000009</v>
      </c>
      <c r="AK173" s="220"/>
    </row>
    <row r="174" spans="1:37" ht="13.5" customHeight="1" x14ac:dyDescent="0.45">
      <c r="A174" s="622"/>
      <c r="B174" s="220"/>
      <c r="C174" s="221" t="s">
        <v>675</v>
      </c>
      <c r="D174" s="285">
        <v>9.09</v>
      </c>
      <c r="E174" s="285">
        <v>9.09</v>
      </c>
      <c r="F174" s="285">
        <v>9.09</v>
      </c>
      <c r="G174" s="285">
        <v>9.09</v>
      </c>
      <c r="H174" s="285">
        <v>9.09</v>
      </c>
      <c r="I174" s="285">
        <v>9.09</v>
      </c>
      <c r="J174" s="285">
        <v>9.09</v>
      </c>
      <c r="K174" s="285">
        <v>9.09</v>
      </c>
      <c r="L174" s="285">
        <v>9.09</v>
      </c>
      <c r="M174" s="285">
        <v>9.09</v>
      </c>
      <c r="N174" s="285">
        <v>9.09</v>
      </c>
      <c r="O174" s="285">
        <v>9.09</v>
      </c>
      <c r="P174" s="285">
        <v>9.09</v>
      </c>
      <c r="Q174" s="285">
        <v>9.09</v>
      </c>
      <c r="R174" s="285">
        <v>9.09</v>
      </c>
      <c r="S174" s="285">
        <v>9.09</v>
      </c>
      <c r="T174" s="285">
        <v>9.09</v>
      </c>
      <c r="U174" s="285">
        <v>9.09</v>
      </c>
      <c r="V174" s="285">
        <v>9.09</v>
      </c>
      <c r="W174" s="285">
        <v>9.09</v>
      </c>
      <c r="X174" s="285">
        <v>9.09</v>
      </c>
      <c r="Y174" s="285">
        <v>9.09</v>
      </c>
      <c r="Z174" s="285">
        <v>9.09</v>
      </c>
      <c r="AA174" s="285">
        <v>9.09</v>
      </c>
      <c r="AB174" s="285">
        <v>9.09</v>
      </c>
      <c r="AC174" s="285">
        <v>9.09</v>
      </c>
      <c r="AD174" s="285">
        <v>9.09</v>
      </c>
      <c r="AE174" s="285">
        <v>9.09</v>
      </c>
      <c r="AF174" s="285">
        <v>9.09</v>
      </c>
      <c r="AG174" s="285">
        <v>9.09</v>
      </c>
      <c r="AH174" s="285">
        <v>9.09</v>
      </c>
      <c r="AI174" s="285">
        <v>9.09</v>
      </c>
      <c r="AJ174" s="285">
        <v>9.09</v>
      </c>
      <c r="AK174" s="220"/>
    </row>
    <row r="175" spans="1:37" ht="13.5" customHeight="1" x14ac:dyDescent="0.45">
      <c r="A175" s="622"/>
      <c r="B175" s="220"/>
      <c r="C175" s="221" t="s">
        <v>677</v>
      </c>
      <c r="D175" s="285">
        <v>12.61</v>
      </c>
      <c r="E175" s="285">
        <v>12.61</v>
      </c>
      <c r="F175" s="285">
        <v>12.61</v>
      </c>
      <c r="G175" s="285">
        <v>12.61</v>
      </c>
      <c r="H175" s="285">
        <v>12.61</v>
      </c>
      <c r="I175" s="285">
        <v>12.61</v>
      </c>
      <c r="J175" s="285">
        <v>12.61</v>
      </c>
      <c r="K175" s="285">
        <v>12.61</v>
      </c>
      <c r="L175" s="285">
        <v>12.61</v>
      </c>
      <c r="M175" s="285">
        <v>12.61</v>
      </c>
      <c r="N175" s="285">
        <v>12.61</v>
      </c>
      <c r="O175" s="285">
        <v>12.61</v>
      </c>
      <c r="P175" s="285">
        <v>12.61</v>
      </c>
      <c r="Q175" s="285">
        <v>12.61</v>
      </c>
      <c r="R175" s="285">
        <v>12.61</v>
      </c>
      <c r="S175" s="285">
        <v>12.61</v>
      </c>
      <c r="T175" s="285">
        <v>12.61</v>
      </c>
      <c r="U175" s="285">
        <v>12.61</v>
      </c>
      <c r="V175" s="285">
        <v>12.61</v>
      </c>
      <c r="W175" s="285">
        <v>12.61</v>
      </c>
      <c r="X175" s="285">
        <v>12.61</v>
      </c>
      <c r="Y175" s="285">
        <v>12.61</v>
      </c>
      <c r="Z175" s="285">
        <v>12.61</v>
      </c>
      <c r="AA175" s="285">
        <v>12.61</v>
      </c>
      <c r="AB175" s="285">
        <v>12.61</v>
      </c>
      <c r="AC175" s="285">
        <v>12.61</v>
      </c>
      <c r="AD175" s="285">
        <v>12.61</v>
      </c>
      <c r="AE175" s="285">
        <v>12.61</v>
      </c>
      <c r="AF175" s="285">
        <v>12.61</v>
      </c>
      <c r="AG175" s="285">
        <v>12.61</v>
      </c>
      <c r="AH175" s="285">
        <v>12.61</v>
      </c>
      <c r="AI175" s="285">
        <v>12.61</v>
      </c>
      <c r="AJ175" s="285">
        <v>12.61</v>
      </c>
      <c r="AK175" s="220"/>
    </row>
    <row r="176" spans="1:37" ht="13.5" customHeight="1" x14ac:dyDescent="0.45">
      <c r="A176" s="622"/>
      <c r="B176" s="220"/>
      <c r="C176" s="221" t="s">
        <v>678</v>
      </c>
      <c r="D176" s="285">
        <v>180</v>
      </c>
      <c r="E176" s="285">
        <v>180</v>
      </c>
      <c r="F176" s="285">
        <v>180</v>
      </c>
      <c r="G176" s="285">
        <v>180</v>
      </c>
      <c r="H176" s="285">
        <v>180</v>
      </c>
      <c r="I176" s="285">
        <v>180</v>
      </c>
      <c r="J176" s="285">
        <v>180</v>
      </c>
      <c r="K176" s="285">
        <v>180</v>
      </c>
      <c r="L176" s="285">
        <v>180</v>
      </c>
      <c r="M176" s="285">
        <v>180</v>
      </c>
      <c r="N176" s="285">
        <v>180</v>
      </c>
      <c r="O176" s="285">
        <v>180</v>
      </c>
      <c r="P176" s="285">
        <v>180</v>
      </c>
      <c r="Q176" s="285">
        <v>180</v>
      </c>
      <c r="R176" s="285">
        <v>180</v>
      </c>
      <c r="S176" s="285">
        <v>180</v>
      </c>
      <c r="T176" s="285">
        <v>180</v>
      </c>
      <c r="U176" s="285">
        <v>176</v>
      </c>
      <c r="V176" s="285">
        <v>176</v>
      </c>
      <c r="W176" s="285">
        <v>176</v>
      </c>
      <c r="X176" s="285">
        <v>176</v>
      </c>
      <c r="Y176" s="285">
        <v>176</v>
      </c>
      <c r="Z176" s="285">
        <v>172</v>
      </c>
      <c r="AA176" s="285">
        <v>172</v>
      </c>
      <c r="AB176" s="285">
        <v>172</v>
      </c>
      <c r="AC176" s="285">
        <v>172</v>
      </c>
      <c r="AD176" s="285">
        <v>172</v>
      </c>
      <c r="AE176" s="285">
        <v>168</v>
      </c>
      <c r="AF176" s="285">
        <v>168</v>
      </c>
      <c r="AG176" s="285">
        <v>168</v>
      </c>
      <c r="AH176" s="285">
        <v>168</v>
      </c>
      <c r="AI176" s="285">
        <v>168</v>
      </c>
      <c r="AJ176" s="285">
        <v>164</v>
      </c>
      <c r="AK176" s="220"/>
    </row>
    <row r="177" spans="1:37" ht="13.5" customHeight="1" x14ac:dyDescent="0.45">
      <c r="A177" s="622"/>
      <c r="B177" s="220"/>
      <c r="C177" s="243" t="s">
        <v>710</v>
      </c>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285"/>
      <c r="AH177" s="285"/>
      <c r="AI177" s="285"/>
      <c r="AJ177" s="285"/>
      <c r="AK177" s="220"/>
    </row>
    <row r="178" spans="1:37" ht="13.5" customHeight="1" x14ac:dyDescent="0.45">
      <c r="A178" s="622"/>
      <c r="B178" s="220"/>
      <c r="C178" s="221" t="s">
        <v>680</v>
      </c>
      <c r="D178" s="285">
        <v>19.100000000000001</v>
      </c>
      <c r="E178" s="285">
        <v>19.100000000000001</v>
      </c>
      <c r="F178" s="285">
        <v>19.100000000000001</v>
      </c>
      <c r="G178" s="285">
        <v>19.100000000000001</v>
      </c>
      <c r="H178" s="285">
        <v>19.100000000000001</v>
      </c>
      <c r="I178" s="285">
        <v>19.100000000000001</v>
      </c>
      <c r="J178" s="285">
        <v>19.100000000000001</v>
      </c>
      <c r="K178" s="285">
        <v>19.100000000000001</v>
      </c>
      <c r="L178" s="285">
        <v>19.100000000000001</v>
      </c>
      <c r="M178" s="285">
        <v>19.100000000000001</v>
      </c>
      <c r="N178" s="285">
        <v>19.100000000000001</v>
      </c>
      <c r="O178" s="285">
        <v>19.100000000000001</v>
      </c>
      <c r="P178" s="285">
        <v>19.100000000000001</v>
      </c>
      <c r="Q178" s="285">
        <v>19.100000000000001</v>
      </c>
      <c r="R178" s="285">
        <v>19.100000000000001</v>
      </c>
      <c r="S178" s="285">
        <v>19.100000000000001</v>
      </c>
      <c r="T178" s="285">
        <v>19.100000000000001</v>
      </c>
      <c r="U178" s="285">
        <v>17.2</v>
      </c>
      <c r="V178" s="285">
        <v>17.2</v>
      </c>
      <c r="W178" s="285">
        <v>17.2</v>
      </c>
      <c r="X178" s="285">
        <v>17.2</v>
      </c>
      <c r="Y178" s="285">
        <v>17.2</v>
      </c>
      <c r="Z178" s="285">
        <v>14.3</v>
      </c>
      <c r="AA178" s="285">
        <v>14.3</v>
      </c>
      <c r="AB178" s="285">
        <v>14.3</v>
      </c>
      <c r="AC178" s="285">
        <v>14.3</v>
      </c>
      <c r="AD178" s="285">
        <v>14.3</v>
      </c>
      <c r="AE178" s="285">
        <v>14.3</v>
      </c>
      <c r="AF178" s="285">
        <v>14.3</v>
      </c>
      <c r="AG178" s="285">
        <v>14.3</v>
      </c>
      <c r="AH178" s="285">
        <v>14.3</v>
      </c>
      <c r="AI178" s="285">
        <v>14.3</v>
      </c>
      <c r="AJ178" s="285">
        <v>14.3</v>
      </c>
      <c r="AK178" s="220"/>
    </row>
    <row r="179" spans="1:37" ht="13.5" customHeight="1" x14ac:dyDescent="0.45">
      <c r="A179" s="622"/>
      <c r="B179" s="220"/>
      <c r="C179" s="221" t="s">
        <v>681</v>
      </c>
      <c r="D179" s="285">
        <v>28.6</v>
      </c>
      <c r="E179" s="285">
        <v>28.6</v>
      </c>
      <c r="F179" s="285">
        <v>28.6</v>
      </c>
      <c r="G179" s="285">
        <v>28.6</v>
      </c>
      <c r="H179" s="285">
        <v>28.6</v>
      </c>
      <c r="I179" s="285">
        <v>28.6</v>
      </c>
      <c r="J179" s="285">
        <v>28.6</v>
      </c>
      <c r="K179" s="285">
        <v>28.6</v>
      </c>
      <c r="L179" s="285">
        <v>28.6</v>
      </c>
      <c r="M179" s="285">
        <v>28.6</v>
      </c>
      <c r="N179" s="285">
        <v>28.6</v>
      </c>
      <c r="O179" s="285">
        <v>28.6</v>
      </c>
      <c r="P179" s="285">
        <v>28.6</v>
      </c>
      <c r="Q179" s="285">
        <v>28.6</v>
      </c>
      <c r="R179" s="285">
        <v>28.6</v>
      </c>
      <c r="S179" s="285">
        <v>28.6</v>
      </c>
      <c r="T179" s="285">
        <v>28.6</v>
      </c>
      <c r="U179" s="285">
        <v>28.6</v>
      </c>
      <c r="V179" s="285">
        <v>28.6</v>
      </c>
      <c r="W179" s="285">
        <v>28.6</v>
      </c>
      <c r="X179" s="285">
        <v>28.6</v>
      </c>
      <c r="Y179" s="285">
        <v>28.6</v>
      </c>
      <c r="Z179" s="285">
        <v>23.9</v>
      </c>
      <c r="AA179" s="285">
        <v>23.9</v>
      </c>
      <c r="AB179" s="285">
        <v>23.9</v>
      </c>
      <c r="AC179" s="285">
        <v>23.9</v>
      </c>
      <c r="AD179" s="285">
        <v>23.9</v>
      </c>
      <c r="AE179" s="285">
        <v>23.9</v>
      </c>
      <c r="AF179" s="285">
        <v>23.9</v>
      </c>
      <c r="AG179" s="285">
        <v>23.9</v>
      </c>
      <c r="AH179" s="285">
        <v>23.9</v>
      </c>
      <c r="AI179" s="285">
        <v>23.9</v>
      </c>
      <c r="AJ179" s="285">
        <v>23.9</v>
      </c>
      <c r="AK179" s="220"/>
    </row>
    <row r="180" spans="1:37" ht="13.5" customHeight="1" x14ac:dyDescent="0.45">
      <c r="A180" s="622"/>
      <c r="B180" s="220"/>
      <c r="C180" s="243" t="s">
        <v>711</v>
      </c>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c r="AE180" s="285"/>
      <c r="AF180" s="285"/>
      <c r="AG180" s="285"/>
      <c r="AH180" s="285"/>
      <c r="AI180" s="285"/>
      <c r="AJ180" s="285"/>
      <c r="AK180" s="220"/>
    </row>
    <row r="181" spans="1:37" ht="13.5" customHeight="1" x14ac:dyDescent="0.45">
      <c r="A181" s="622"/>
      <c r="B181" s="220"/>
      <c r="C181" s="243" t="s">
        <v>712</v>
      </c>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c r="AA181" s="285"/>
      <c r="AB181" s="285"/>
      <c r="AC181" s="285"/>
      <c r="AD181" s="285"/>
      <c r="AE181" s="285"/>
      <c r="AF181" s="285"/>
      <c r="AG181" s="285"/>
      <c r="AH181" s="285"/>
      <c r="AI181" s="285"/>
      <c r="AJ181" s="285"/>
      <c r="AK181" s="220"/>
    </row>
    <row r="182" spans="1:37" ht="13.5" customHeight="1" x14ac:dyDescent="0.45">
      <c r="A182" s="622"/>
      <c r="B182" s="220"/>
      <c r="C182" s="243" t="s">
        <v>710</v>
      </c>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c r="AA182" s="285"/>
      <c r="AB182" s="285"/>
      <c r="AC182" s="285"/>
      <c r="AD182" s="285"/>
      <c r="AE182" s="285"/>
      <c r="AF182" s="285"/>
      <c r="AG182" s="285"/>
      <c r="AH182" s="285"/>
      <c r="AI182" s="285"/>
      <c r="AJ182" s="285"/>
      <c r="AK182" s="220"/>
    </row>
    <row r="183" spans="1:37" ht="13.5" customHeight="1" x14ac:dyDescent="0.45">
      <c r="A183" s="622"/>
      <c r="B183" s="220"/>
      <c r="C183" s="243" t="s">
        <v>713</v>
      </c>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c r="AA183" s="285"/>
      <c r="AB183" s="285"/>
      <c r="AC183" s="285"/>
      <c r="AD183" s="285"/>
      <c r="AE183" s="285"/>
      <c r="AF183" s="285"/>
      <c r="AG183" s="285"/>
      <c r="AH183" s="285"/>
      <c r="AI183" s="285"/>
      <c r="AJ183" s="285"/>
      <c r="AK183" s="220"/>
    </row>
    <row r="184" spans="1:37" ht="13.5" customHeight="1" x14ac:dyDescent="0.45">
      <c r="A184" s="622"/>
      <c r="B184" s="220"/>
      <c r="C184" s="243" t="s">
        <v>714</v>
      </c>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c r="AA184" s="285"/>
      <c r="AB184" s="285"/>
      <c r="AC184" s="285"/>
      <c r="AD184" s="285"/>
      <c r="AE184" s="285"/>
      <c r="AF184" s="285"/>
      <c r="AG184" s="285"/>
      <c r="AH184" s="285"/>
      <c r="AI184" s="285"/>
      <c r="AJ184" s="285"/>
      <c r="AK184" s="220"/>
    </row>
    <row r="185" spans="1:37" ht="13.5" customHeight="1" x14ac:dyDescent="0.45">
      <c r="A185" s="1"/>
      <c r="B185" s="220"/>
      <c r="C185" s="221" t="s">
        <v>686</v>
      </c>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20"/>
    </row>
    <row r="186" spans="1:37" ht="13.5" customHeight="1" x14ac:dyDescent="0.45">
      <c r="A186" s="1"/>
      <c r="B186" s="220"/>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c r="Y186" s="285"/>
      <c r="Z186" s="285"/>
      <c r="AA186" s="285"/>
      <c r="AB186" s="285"/>
      <c r="AC186" s="285"/>
      <c r="AD186" s="285"/>
      <c r="AE186" s="285"/>
      <c r="AF186" s="285"/>
      <c r="AG186" s="285"/>
      <c r="AH186" s="285"/>
      <c r="AI186" s="285"/>
      <c r="AJ186" s="285"/>
      <c r="AK186" s="220"/>
    </row>
    <row r="187" spans="1:37" ht="13.5" customHeight="1" x14ac:dyDescent="0.45">
      <c r="A187" s="1"/>
      <c r="B187" s="220"/>
      <c r="C187" s="285" t="s">
        <v>715</v>
      </c>
      <c r="D187" s="285"/>
      <c r="E187" s="285"/>
      <c r="F187" s="285"/>
      <c r="G187" s="285"/>
      <c r="H187" s="285"/>
      <c r="I187" s="285"/>
      <c r="J187" s="285"/>
      <c r="K187" s="285"/>
      <c r="L187" s="285"/>
      <c r="M187" s="285"/>
      <c r="N187" s="285"/>
      <c r="O187" s="285"/>
      <c r="P187" s="285"/>
      <c r="Q187" s="285"/>
      <c r="R187" s="285"/>
      <c r="S187" s="285"/>
      <c r="T187" s="285"/>
      <c r="U187" s="285"/>
      <c r="V187" s="285"/>
      <c r="W187" s="285"/>
      <c r="X187" s="285"/>
      <c r="Y187" s="285"/>
      <c r="Z187" s="285"/>
      <c r="AA187" s="285"/>
      <c r="AB187" s="285"/>
      <c r="AC187" s="285"/>
      <c r="AD187" s="285"/>
      <c r="AE187" s="285"/>
      <c r="AF187" s="285"/>
      <c r="AG187" s="285"/>
      <c r="AH187" s="285"/>
      <c r="AI187" s="285"/>
      <c r="AJ187" s="285"/>
      <c r="AK187" s="220"/>
    </row>
    <row r="188" spans="1:37" ht="13.5" customHeight="1" x14ac:dyDescent="0.45">
      <c r="A188" s="1"/>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c r="AA188" s="220"/>
      <c r="AB188" s="220"/>
      <c r="AC188" s="220"/>
      <c r="AD188" s="220"/>
      <c r="AE188" s="220"/>
      <c r="AF188" s="220"/>
      <c r="AG188" s="220"/>
      <c r="AH188" s="220"/>
      <c r="AI188" s="220"/>
      <c r="AJ188" s="220"/>
      <c r="AK188" s="220"/>
    </row>
    <row r="189" spans="1:37" ht="13.5" customHeight="1" x14ac:dyDescent="0.45">
      <c r="A189" s="1"/>
      <c r="B189" s="220"/>
      <c r="C189" s="420" t="s">
        <v>716</v>
      </c>
      <c r="D189" s="285"/>
      <c r="E189" s="285"/>
      <c r="F189" s="285"/>
      <c r="G189" s="285"/>
      <c r="H189" s="285"/>
      <c r="I189" s="285"/>
      <c r="J189" s="285"/>
      <c r="K189" s="285"/>
      <c r="L189" s="285"/>
      <c r="M189" s="285"/>
      <c r="N189" s="285"/>
      <c r="O189" s="285"/>
      <c r="P189" s="285"/>
      <c r="Q189" s="285"/>
      <c r="R189" s="285"/>
      <c r="S189" s="285"/>
      <c r="T189" s="285"/>
      <c r="U189" s="285"/>
      <c r="V189" s="285"/>
      <c r="W189" s="285"/>
      <c r="X189" s="285"/>
      <c r="Y189" s="285"/>
      <c r="Z189" s="285"/>
      <c r="AA189" s="285"/>
      <c r="AB189" s="285"/>
      <c r="AC189" s="285"/>
      <c r="AD189" s="285"/>
      <c r="AE189" s="285"/>
      <c r="AF189" s="285"/>
      <c r="AG189" s="285"/>
      <c r="AH189" s="285"/>
      <c r="AI189" s="285"/>
      <c r="AJ189" s="285"/>
      <c r="AK189" s="220"/>
    </row>
    <row r="190" spans="1:37" ht="13.5" customHeight="1" x14ac:dyDescent="0.45">
      <c r="A190" s="1">
        <v>3</v>
      </c>
      <c r="B190" s="220"/>
      <c r="C190" s="281" t="s">
        <v>717</v>
      </c>
      <c r="D190" s="285"/>
      <c r="E190" s="285"/>
      <c r="F190" s="285" t="s">
        <v>718</v>
      </c>
      <c r="G190" s="285"/>
      <c r="H190" s="285"/>
      <c r="I190" s="285"/>
      <c r="J190" s="285"/>
      <c r="K190" s="285"/>
      <c r="L190" s="285"/>
      <c r="M190" s="285"/>
      <c r="N190" s="285"/>
      <c r="O190" s="285"/>
      <c r="P190" s="285"/>
      <c r="Q190" s="285"/>
      <c r="R190" s="285"/>
      <c r="S190" s="285"/>
      <c r="T190" s="285"/>
      <c r="U190" s="285"/>
      <c r="V190" s="285"/>
      <c r="W190" s="285"/>
      <c r="X190" s="285"/>
      <c r="Y190" s="285"/>
      <c r="Z190" s="285"/>
      <c r="AA190" s="285"/>
      <c r="AB190" s="285"/>
      <c r="AC190" s="285"/>
      <c r="AD190" s="285"/>
      <c r="AE190" s="285"/>
      <c r="AF190" s="285"/>
      <c r="AG190" s="285"/>
      <c r="AH190" s="285"/>
      <c r="AI190" s="285"/>
      <c r="AJ190" s="285"/>
      <c r="AK190" s="220"/>
    </row>
    <row r="191" spans="1:37" ht="13.5" customHeight="1" x14ac:dyDescent="0.45">
      <c r="A191" s="1">
        <v>3</v>
      </c>
      <c r="B191" s="220"/>
      <c r="C191" s="281" t="s">
        <v>719</v>
      </c>
      <c r="D191" s="285"/>
      <c r="E191" s="285"/>
      <c r="F191" s="285" t="s">
        <v>720</v>
      </c>
      <c r="G191" s="285"/>
      <c r="H191" s="285"/>
      <c r="I191" s="285"/>
      <c r="J191" s="285"/>
      <c r="K191" s="285"/>
      <c r="L191" s="285"/>
      <c r="M191" s="285"/>
      <c r="N191" s="285"/>
      <c r="O191" s="285"/>
      <c r="P191" s="285"/>
      <c r="Q191" s="285"/>
      <c r="R191" s="285"/>
      <c r="S191" s="285"/>
      <c r="T191" s="285"/>
      <c r="U191" s="285"/>
      <c r="V191" s="285"/>
      <c r="W191" s="285"/>
      <c r="X191" s="285"/>
      <c r="Y191" s="285"/>
      <c r="Z191" s="285"/>
      <c r="AA191" s="285"/>
      <c r="AB191" s="285"/>
      <c r="AC191" s="285"/>
      <c r="AD191" s="285"/>
      <c r="AE191" s="285"/>
      <c r="AF191" s="285"/>
      <c r="AG191" s="285"/>
      <c r="AH191" s="285"/>
      <c r="AI191" s="285"/>
      <c r="AJ191" s="285"/>
      <c r="AK191" s="220"/>
    </row>
    <row r="192" spans="1:37" ht="13.5" customHeight="1" x14ac:dyDescent="0.45">
      <c r="A192" s="1">
        <v>3</v>
      </c>
      <c r="B192" s="220"/>
      <c r="C192" s="281" t="s">
        <v>721</v>
      </c>
      <c r="D192" s="285"/>
      <c r="E192" s="285"/>
      <c r="F192" s="285" t="s">
        <v>722</v>
      </c>
      <c r="G192" s="285"/>
      <c r="H192" s="285"/>
      <c r="I192" s="285"/>
      <c r="J192" s="285"/>
      <c r="K192" s="285"/>
      <c r="L192" s="285"/>
      <c r="M192" s="285"/>
      <c r="N192" s="285"/>
      <c r="O192" s="285"/>
      <c r="P192" s="285"/>
      <c r="Q192" s="285"/>
      <c r="R192" s="285"/>
      <c r="S192" s="285"/>
      <c r="T192" s="285"/>
      <c r="U192" s="285"/>
      <c r="V192" s="285"/>
      <c r="W192" s="285"/>
      <c r="X192" s="285"/>
      <c r="Y192" s="285"/>
      <c r="Z192" s="285"/>
      <c r="AA192" s="285"/>
      <c r="AB192" s="285"/>
      <c r="AC192" s="285"/>
      <c r="AD192" s="285"/>
      <c r="AE192" s="285"/>
      <c r="AF192" s="285"/>
      <c r="AG192" s="285"/>
      <c r="AH192" s="285"/>
      <c r="AI192" s="285"/>
      <c r="AJ192" s="285"/>
      <c r="AK192" s="220"/>
    </row>
    <row r="193" spans="1:37" ht="13.5" customHeight="1" x14ac:dyDescent="0.45">
      <c r="A193" s="1"/>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row>
    <row r="194" spans="1:37" ht="13.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3.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3.5" customHeight="1" x14ac:dyDescent="0.45">
      <c r="A196" s="1"/>
      <c r="B196" s="1">
        <v>1</v>
      </c>
      <c r="C196" s="1" t="s">
        <v>723</v>
      </c>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3.5" customHeight="1" x14ac:dyDescent="0.45">
      <c r="A197" s="1"/>
      <c r="B197" s="1">
        <v>2</v>
      </c>
      <c r="C197" s="1" t="s">
        <v>724</v>
      </c>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3.5" customHeight="1" x14ac:dyDescent="0.45">
      <c r="A198" s="1"/>
      <c r="B198" s="1">
        <v>3</v>
      </c>
      <c r="C198" s="421" t="s">
        <v>725</v>
      </c>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3.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3.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3.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3.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3.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3.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3.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3.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3.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3.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3.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3.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3.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3.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3.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3.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3.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3.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3.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3.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3.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3.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3.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3.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3.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3.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3.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3.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3.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3.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3.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3.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3.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3.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3.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3.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3.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3.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3.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3.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3.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3.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3.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3.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3.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3.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3.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3.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3.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3.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3.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3.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3.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3.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3.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3.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3.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3.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3.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3.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3.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3.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3.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3.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3.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3.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3.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3.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3.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3.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3.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3.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3.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3.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3.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3.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3.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3.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3.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3.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3.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3.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3.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3.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3.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3.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3.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3.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3.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3.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3.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3.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3.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3.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3.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3.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3.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3.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3.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3.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3.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3.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3.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3.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3.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3.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3.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3.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3.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3.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3.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3.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3.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3.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3.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3.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3.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3.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3.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3.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3.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3.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3.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3.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3.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3.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3.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3.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3.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3.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3.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3.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3.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3.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3.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3.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3.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3.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3.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3.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3.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3.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3.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3.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3.5" customHeight="1"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3.5" customHeight="1"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3.5" customHeight="1"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3.5" customHeight="1"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3.5" customHeight="1"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3.5" customHeight="1"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3.5" customHeight="1"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3.5" customHeight="1"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3.5" customHeight="1"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3.5" customHeight="1"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3.5" customHeight="1"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3.5" customHeight="1"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3.5" customHeight="1"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3.5" customHeight="1"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3.5" customHeight="1"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3.5" customHeight="1"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3.5" customHeight="1"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3.5" customHeight="1"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3.5" customHeight="1"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3.5" customHeight="1"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3.5" customHeight="1"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3.5" customHeight="1"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3.5" customHeight="1"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3.5" customHeight="1"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3.5" customHeight="1"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3.5" customHeight="1"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3.5" customHeight="1"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3.5" customHeight="1"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3.5" customHeight="1"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3.5" customHeight="1"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3.5" customHeight="1"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3.5" customHeight="1"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3.5" customHeight="1"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3.5" customHeight="1"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3.5" customHeight="1"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3.5" customHeight="1"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3.5" customHeight="1"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3.5" customHeight="1"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3.5" customHeight="1"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3.5" customHeight="1"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3.5" customHeight="1"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3.5" customHeight="1"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3.5" customHeight="1"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3.5" customHeight="1"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3.5" customHeight="1"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3.5" customHeight="1"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3.5" customHeight="1"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3.5" customHeight="1"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3.5" customHeight="1"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3.5" customHeight="1"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3.5" customHeight="1"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3.5" customHeight="1"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3.5" customHeight="1"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3.5" customHeight="1"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3.5" customHeight="1"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3.5" customHeight="1"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5.75" customHeight="1" x14ac:dyDescent="0.4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row>
    <row r="400" spans="1:37" ht="15.75" customHeight="1" x14ac:dyDescent="0.4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row>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2">
    <mergeCell ref="A6:A10"/>
    <mergeCell ref="A67:A184"/>
  </mergeCells>
  <hyperlinks>
    <hyperlink ref="C198" r:id="rId1" xr:uid="{00000000-0004-0000-0500-000000000000}"/>
  </hyperlinks>
  <pageMargins left="0.7" right="0.7" top="0.75" bottom="0.75" header="0" footer="0"/>
  <pageSetup orientation="landscape"/>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01"/>
  <sheetViews>
    <sheetView workbookViewId="0">
      <pane ySplit="1" topLeftCell="A2" activePane="bottomLeft" state="frozen"/>
      <selection pane="bottomLeft" activeCell="B3" sqref="B3"/>
    </sheetView>
  </sheetViews>
  <sheetFormatPr defaultColWidth="12.69140625" defaultRowHeight="15" customHeight="1" x14ac:dyDescent="0.45"/>
  <cols>
    <col min="1" max="1" width="9.765625" customWidth="1"/>
    <col min="2" max="2" width="2.3828125" customWidth="1"/>
    <col min="3" max="3" width="58.23046875" customWidth="1"/>
    <col min="4" max="37" width="8.3828125" customWidth="1"/>
  </cols>
  <sheetData>
    <row r="1" spans="1:37" ht="13.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3.5" customHeight="1" x14ac:dyDescent="0.45">
      <c r="A2" s="618"/>
      <c r="B2" s="618"/>
      <c r="C2" s="5"/>
      <c r="D2" s="618"/>
      <c r="E2" s="618"/>
      <c r="F2" s="618"/>
      <c r="G2" s="618"/>
      <c r="H2" s="618"/>
      <c r="I2" s="618"/>
      <c r="J2" s="618"/>
      <c r="K2" s="618"/>
      <c r="L2" s="618"/>
      <c r="M2" s="618"/>
      <c r="N2" s="618"/>
      <c r="O2" s="618"/>
      <c r="P2" s="618"/>
      <c r="Q2" s="618"/>
      <c r="R2" s="618"/>
      <c r="S2" s="618"/>
      <c r="T2" s="618"/>
      <c r="U2" s="618"/>
      <c r="V2" s="618"/>
      <c r="W2" s="618"/>
      <c r="X2" s="618"/>
      <c r="Y2" s="618"/>
      <c r="Z2" s="618"/>
      <c r="AA2" s="618"/>
      <c r="AB2" s="618"/>
      <c r="AC2" s="618"/>
      <c r="AD2" s="618"/>
      <c r="AE2" s="618"/>
      <c r="AF2" s="618"/>
      <c r="AG2" s="618"/>
      <c r="AH2" s="618"/>
      <c r="AI2" s="618"/>
      <c r="AJ2" s="618"/>
      <c r="AK2" s="618"/>
    </row>
    <row r="3" spans="1:37" ht="13.5" customHeight="1" x14ac:dyDescent="0.45">
      <c r="A3" s="618"/>
      <c r="B3" s="7"/>
      <c r="C3" s="103"/>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9"/>
    </row>
    <row r="4" spans="1:37" ht="13.5" customHeight="1" x14ac:dyDescent="0.45">
      <c r="A4" s="618"/>
      <c r="B4" s="106"/>
      <c r="C4" s="107" t="s">
        <v>20</v>
      </c>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4"/>
    </row>
    <row r="5" spans="1:37" ht="13.5" customHeight="1" x14ac:dyDescent="0.45">
      <c r="A5" s="618"/>
      <c r="B5" s="106"/>
      <c r="C5" s="419" t="s">
        <v>637</v>
      </c>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4"/>
    </row>
    <row r="6" spans="1:37" ht="13.5" customHeight="1" x14ac:dyDescent="0.45">
      <c r="A6" s="642">
        <v>1</v>
      </c>
      <c r="B6" s="106"/>
      <c r="C6" s="115" t="s">
        <v>638</v>
      </c>
      <c r="D6" s="116">
        <v>12.063902130000001</v>
      </c>
      <c r="E6" s="116">
        <v>13.0199</v>
      </c>
      <c r="F6" s="116">
        <v>10.093</v>
      </c>
      <c r="G6" s="116">
        <f t="shared" ref="G6:AJ6" si="0">AVERAGE(D6:F6)</f>
        <v>11.72560071</v>
      </c>
      <c r="H6" s="116">
        <f t="shared" si="0"/>
        <v>11.612833569999999</v>
      </c>
      <c r="I6" s="116">
        <f t="shared" si="0"/>
        <v>11.143811426666666</v>
      </c>
      <c r="J6" s="116">
        <f t="shared" si="0"/>
        <v>11.494081902222222</v>
      </c>
      <c r="K6" s="116">
        <f t="shared" si="0"/>
        <v>11.416908966296296</v>
      </c>
      <c r="L6" s="116">
        <f t="shared" si="0"/>
        <v>11.351600765061727</v>
      </c>
      <c r="M6" s="116">
        <f t="shared" si="0"/>
        <v>11.42086387786008</v>
      </c>
      <c r="N6" s="116">
        <f t="shared" si="0"/>
        <v>11.396457869739367</v>
      </c>
      <c r="O6" s="116">
        <f t="shared" si="0"/>
        <v>11.389640837553726</v>
      </c>
      <c r="P6" s="116">
        <f t="shared" si="0"/>
        <v>11.402320861717724</v>
      </c>
      <c r="Q6" s="116">
        <f t="shared" si="0"/>
        <v>11.396139856336939</v>
      </c>
      <c r="R6" s="116">
        <f t="shared" si="0"/>
        <v>11.396033851869463</v>
      </c>
      <c r="S6" s="116">
        <f t="shared" si="0"/>
        <v>11.398164856641374</v>
      </c>
      <c r="T6" s="116">
        <f t="shared" si="0"/>
        <v>11.396779521615926</v>
      </c>
      <c r="U6" s="116">
        <f t="shared" si="0"/>
        <v>11.396992743375586</v>
      </c>
      <c r="V6" s="116">
        <f t="shared" si="0"/>
        <v>11.397312373877627</v>
      </c>
      <c r="W6" s="116">
        <f t="shared" si="0"/>
        <v>11.397028212956378</v>
      </c>
      <c r="X6" s="116">
        <f t="shared" si="0"/>
        <v>11.397111110069863</v>
      </c>
      <c r="Y6" s="116">
        <f t="shared" si="0"/>
        <v>11.397150565634623</v>
      </c>
      <c r="Z6" s="116">
        <f t="shared" si="0"/>
        <v>11.397096629553623</v>
      </c>
      <c r="AA6" s="116">
        <f t="shared" si="0"/>
        <v>11.397119435086035</v>
      </c>
      <c r="AB6" s="116">
        <f t="shared" si="0"/>
        <v>11.397122210091426</v>
      </c>
      <c r="AC6" s="116">
        <f t="shared" si="0"/>
        <v>11.397112758243694</v>
      </c>
      <c r="AD6" s="116">
        <f t="shared" si="0"/>
        <v>11.39711813447372</v>
      </c>
      <c r="AE6" s="116">
        <f t="shared" si="0"/>
        <v>11.397117700936279</v>
      </c>
      <c r="AF6" s="116">
        <f t="shared" si="0"/>
        <v>11.397116197884564</v>
      </c>
      <c r="AG6" s="116">
        <f t="shared" si="0"/>
        <v>11.397117344431521</v>
      </c>
      <c r="AH6" s="116">
        <f t="shared" si="0"/>
        <v>11.39711708108412</v>
      </c>
      <c r="AI6" s="116">
        <f t="shared" si="0"/>
        <v>11.397116874466734</v>
      </c>
      <c r="AJ6" s="116">
        <f t="shared" si="0"/>
        <v>11.397117099994125</v>
      </c>
      <c r="AK6" s="184"/>
    </row>
    <row r="7" spans="1:37" ht="13.5" customHeight="1" x14ac:dyDescent="0.45">
      <c r="A7" s="622"/>
      <c r="B7" s="106"/>
      <c r="C7" s="115" t="s">
        <v>639</v>
      </c>
      <c r="D7" s="116">
        <v>10.98401215</v>
      </c>
      <c r="E7" s="116">
        <v>13.8933</v>
      </c>
      <c r="F7" s="116">
        <v>13.0825</v>
      </c>
      <c r="G7" s="116">
        <f t="shared" ref="G7:AJ7" si="1">AVERAGE(D7:F7)</f>
        <v>12.653270716666668</v>
      </c>
      <c r="H7" s="116">
        <f t="shared" si="1"/>
        <v>13.209690238888889</v>
      </c>
      <c r="I7" s="116">
        <f t="shared" si="1"/>
        <v>12.981820318518521</v>
      </c>
      <c r="J7" s="116">
        <f t="shared" si="1"/>
        <v>12.948260424691361</v>
      </c>
      <c r="K7" s="116">
        <f t="shared" si="1"/>
        <v>13.046590327366259</v>
      </c>
      <c r="L7" s="116">
        <f t="shared" si="1"/>
        <v>12.992223690192047</v>
      </c>
      <c r="M7" s="116">
        <f t="shared" si="1"/>
        <v>12.995691480749889</v>
      </c>
      <c r="N7" s="116">
        <f t="shared" si="1"/>
        <v>13.011501832769397</v>
      </c>
      <c r="O7" s="116">
        <f t="shared" si="1"/>
        <v>12.999805667903777</v>
      </c>
      <c r="P7" s="116">
        <f t="shared" si="1"/>
        <v>13.002332993807689</v>
      </c>
      <c r="Q7" s="116">
        <f t="shared" si="1"/>
        <v>13.004546831493622</v>
      </c>
      <c r="R7" s="116">
        <f t="shared" si="1"/>
        <v>13.002228497735031</v>
      </c>
      <c r="S7" s="116">
        <f t="shared" si="1"/>
        <v>13.003036107678781</v>
      </c>
      <c r="T7" s="116">
        <f t="shared" si="1"/>
        <v>13.003270478969144</v>
      </c>
      <c r="U7" s="116">
        <f t="shared" si="1"/>
        <v>13.002845028127652</v>
      </c>
      <c r="V7" s="116">
        <f t="shared" si="1"/>
        <v>13.003050538258526</v>
      </c>
      <c r="W7" s="116">
        <f t="shared" si="1"/>
        <v>13.003055348451774</v>
      </c>
      <c r="X7" s="116">
        <f t="shared" si="1"/>
        <v>13.002983638279318</v>
      </c>
      <c r="Y7" s="116">
        <f t="shared" si="1"/>
        <v>13.003029841663206</v>
      </c>
      <c r="Z7" s="116">
        <f t="shared" si="1"/>
        <v>13.003022942798099</v>
      </c>
      <c r="AA7" s="116">
        <f t="shared" si="1"/>
        <v>13.00301214091354</v>
      </c>
      <c r="AB7" s="116">
        <f t="shared" si="1"/>
        <v>13.003021641791614</v>
      </c>
      <c r="AC7" s="116">
        <f t="shared" si="1"/>
        <v>13.003018908501083</v>
      </c>
      <c r="AD7" s="116">
        <f t="shared" si="1"/>
        <v>13.003017563735412</v>
      </c>
      <c r="AE7" s="116">
        <f t="shared" si="1"/>
        <v>13.003019371342702</v>
      </c>
      <c r="AF7" s="116">
        <f t="shared" si="1"/>
        <v>13.003018614526399</v>
      </c>
      <c r="AG7" s="116">
        <f t="shared" si="1"/>
        <v>13.003018516534837</v>
      </c>
      <c r="AH7" s="116">
        <f t="shared" si="1"/>
        <v>13.003018834134645</v>
      </c>
      <c r="AI7" s="116">
        <f t="shared" si="1"/>
        <v>13.003018655065292</v>
      </c>
      <c r="AJ7" s="116">
        <f t="shared" si="1"/>
        <v>13.003018668578257</v>
      </c>
      <c r="AK7" s="184"/>
    </row>
    <row r="8" spans="1:37" ht="13.5" customHeight="1" x14ac:dyDescent="0.45">
      <c r="A8" s="622"/>
      <c r="B8" s="106"/>
      <c r="C8" s="115" t="s">
        <v>640</v>
      </c>
      <c r="D8" s="116">
        <v>3.4628884389999999</v>
      </c>
      <c r="E8" s="116">
        <v>3.3956900000000001</v>
      </c>
      <c r="F8" s="116">
        <v>3.0583999999999998</v>
      </c>
      <c r="G8" s="116">
        <f t="shared" ref="G8:AJ8" si="2">AVERAGE(D8:F8)</f>
        <v>3.3056594796666672</v>
      </c>
      <c r="H8" s="116">
        <f t="shared" si="2"/>
        <v>3.2532498265555554</v>
      </c>
      <c r="I8" s="116">
        <f t="shared" si="2"/>
        <v>3.2057697687407405</v>
      </c>
      <c r="J8" s="116">
        <f t="shared" si="2"/>
        <v>3.2548930249876542</v>
      </c>
      <c r="K8" s="116">
        <f t="shared" si="2"/>
        <v>3.2379708734279831</v>
      </c>
      <c r="L8" s="116">
        <f t="shared" si="2"/>
        <v>3.2328778890521259</v>
      </c>
      <c r="M8" s="116">
        <f t="shared" si="2"/>
        <v>3.2419139291559209</v>
      </c>
      <c r="N8" s="116">
        <f t="shared" si="2"/>
        <v>3.2375875638786766</v>
      </c>
      <c r="O8" s="116">
        <f t="shared" si="2"/>
        <v>3.2374597940289078</v>
      </c>
      <c r="P8" s="116">
        <f t="shared" si="2"/>
        <v>3.2389870956878348</v>
      </c>
      <c r="Q8" s="116">
        <f t="shared" si="2"/>
        <v>3.2380114845318064</v>
      </c>
      <c r="R8" s="116">
        <f t="shared" si="2"/>
        <v>3.2381527914161832</v>
      </c>
      <c r="S8" s="116">
        <f t="shared" si="2"/>
        <v>3.2383837905452748</v>
      </c>
      <c r="T8" s="116">
        <f t="shared" si="2"/>
        <v>3.2381826888310883</v>
      </c>
      <c r="U8" s="116">
        <f t="shared" si="2"/>
        <v>3.2382397569308488</v>
      </c>
      <c r="V8" s="116">
        <f t="shared" si="2"/>
        <v>3.2382687454357373</v>
      </c>
      <c r="W8" s="116">
        <f t="shared" si="2"/>
        <v>3.2382303970658914</v>
      </c>
      <c r="X8" s="116">
        <f t="shared" si="2"/>
        <v>3.2382462998108257</v>
      </c>
      <c r="Y8" s="116">
        <f t="shared" si="2"/>
        <v>3.2382484807708178</v>
      </c>
      <c r="Z8" s="116">
        <f t="shared" si="2"/>
        <v>3.2382417258825118</v>
      </c>
      <c r="AA8" s="116">
        <f t="shared" si="2"/>
        <v>3.2382455021547187</v>
      </c>
      <c r="AB8" s="116">
        <f t="shared" si="2"/>
        <v>3.2382452362693495</v>
      </c>
      <c r="AC8" s="116">
        <f t="shared" si="2"/>
        <v>3.2382441547688603</v>
      </c>
      <c r="AD8" s="116">
        <f t="shared" si="2"/>
        <v>3.238244964397643</v>
      </c>
      <c r="AE8" s="116">
        <f t="shared" si="2"/>
        <v>3.2382447851452842</v>
      </c>
      <c r="AF8" s="116">
        <f t="shared" si="2"/>
        <v>3.2382446347705955</v>
      </c>
      <c r="AG8" s="116">
        <f t="shared" si="2"/>
        <v>3.2382447947711746</v>
      </c>
      <c r="AH8" s="116">
        <f t="shared" si="2"/>
        <v>3.2382447382290178</v>
      </c>
      <c r="AI8" s="116">
        <f t="shared" si="2"/>
        <v>3.2382447225902626</v>
      </c>
      <c r="AJ8" s="116">
        <f t="shared" si="2"/>
        <v>3.2382447518634851</v>
      </c>
      <c r="AK8" s="184"/>
    </row>
    <row r="9" spans="1:37" ht="13.5" customHeight="1" x14ac:dyDescent="0.45">
      <c r="A9" s="622"/>
      <c r="B9" s="106"/>
      <c r="C9" s="115" t="s">
        <v>641</v>
      </c>
      <c r="D9" s="116">
        <v>0.80418051499999998</v>
      </c>
      <c r="E9" s="116">
        <v>0.78913</v>
      </c>
      <c r="F9" s="116">
        <v>0.55557000000000001</v>
      </c>
      <c r="G9" s="116">
        <f t="shared" ref="G9:AJ9" si="3">AVERAGE(D9:F9)</f>
        <v>0.716293505</v>
      </c>
      <c r="H9" s="116">
        <f t="shared" si="3"/>
        <v>0.686997835</v>
      </c>
      <c r="I9" s="116">
        <f t="shared" si="3"/>
        <v>0.65295377999999993</v>
      </c>
      <c r="J9" s="116">
        <f t="shared" si="3"/>
        <v>0.68541503999999998</v>
      </c>
      <c r="K9" s="116">
        <f t="shared" si="3"/>
        <v>0.6751222183333333</v>
      </c>
      <c r="L9" s="116">
        <f t="shared" si="3"/>
        <v>0.67116367944444433</v>
      </c>
      <c r="M9" s="116">
        <f t="shared" si="3"/>
        <v>0.67723364592592583</v>
      </c>
      <c r="N9" s="116">
        <f t="shared" si="3"/>
        <v>0.67450651456790123</v>
      </c>
      <c r="O9" s="116">
        <f t="shared" si="3"/>
        <v>0.6743012799794238</v>
      </c>
      <c r="P9" s="116">
        <f t="shared" si="3"/>
        <v>0.67534714682441699</v>
      </c>
      <c r="Q9" s="116">
        <f t="shared" si="3"/>
        <v>0.67471831379058067</v>
      </c>
      <c r="R9" s="116">
        <f t="shared" si="3"/>
        <v>0.67478891353147386</v>
      </c>
      <c r="S9" s="116">
        <f t="shared" si="3"/>
        <v>0.67495145804882384</v>
      </c>
      <c r="T9" s="116">
        <f t="shared" si="3"/>
        <v>0.67481956179029279</v>
      </c>
      <c r="U9" s="116">
        <f t="shared" si="3"/>
        <v>0.6748533111235302</v>
      </c>
      <c r="V9" s="116">
        <f t="shared" si="3"/>
        <v>0.67487477698754894</v>
      </c>
      <c r="W9" s="116">
        <f t="shared" si="3"/>
        <v>0.67484921663379061</v>
      </c>
      <c r="X9" s="116">
        <f t="shared" si="3"/>
        <v>0.67485910158162321</v>
      </c>
      <c r="Y9" s="116">
        <f t="shared" si="3"/>
        <v>0.67486103173432088</v>
      </c>
      <c r="Z9" s="116">
        <f t="shared" si="3"/>
        <v>0.6748564499832449</v>
      </c>
      <c r="AA9" s="116">
        <f t="shared" si="3"/>
        <v>0.6748588610997297</v>
      </c>
      <c r="AB9" s="116">
        <f t="shared" si="3"/>
        <v>0.67485878093909857</v>
      </c>
      <c r="AC9" s="116">
        <f t="shared" si="3"/>
        <v>0.6748580306740245</v>
      </c>
      <c r="AD9" s="116">
        <f t="shared" si="3"/>
        <v>0.67485855757095103</v>
      </c>
      <c r="AE9" s="116">
        <f t="shared" si="3"/>
        <v>0.67485845639469133</v>
      </c>
      <c r="AF9" s="116">
        <f t="shared" si="3"/>
        <v>0.67485834821322221</v>
      </c>
      <c r="AG9" s="116">
        <f t="shared" si="3"/>
        <v>0.67485845405962153</v>
      </c>
      <c r="AH9" s="116">
        <f t="shared" si="3"/>
        <v>0.67485841955584502</v>
      </c>
      <c r="AI9" s="116">
        <f t="shared" si="3"/>
        <v>0.67485840727622959</v>
      </c>
      <c r="AJ9" s="116">
        <f t="shared" si="3"/>
        <v>0.67485842696389875</v>
      </c>
      <c r="AK9" s="184"/>
    </row>
    <row r="10" spans="1:37" ht="13.5" customHeight="1" x14ac:dyDescent="0.45">
      <c r="A10" s="622"/>
      <c r="B10" s="106"/>
      <c r="C10" s="115" t="s">
        <v>642</v>
      </c>
      <c r="D10" s="116">
        <v>16.109515869999999</v>
      </c>
      <c r="E10" s="116">
        <v>16.086500000000001</v>
      </c>
      <c r="F10" s="116">
        <v>12.6517</v>
      </c>
      <c r="G10" s="116">
        <f t="shared" ref="G10:AJ10" si="4">AVERAGE(D10:F10)</f>
        <v>14.949238623333331</v>
      </c>
      <c r="H10" s="116">
        <f t="shared" si="4"/>
        <v>14.562479541111109</v>
      </c>
      <c r="I10" s="116">
        <f t="shared" si="4"/>
        <v>14.05447272148148</v>
      </c>
      <c r="J10" s="116">
        <f t="shared" si="4"/>
        <v>14.522063628641973</v>
      </c>
      <c r="K10" s="116">
        <f t="shared" si="4"/>
        <v>14.379671963744855</v>
      </c>
      <c r="L10" s="116">
        <f t="shared" si="4"/>
        <v>14.31873610462277</v>
      </c>
      <c r="M10" s="116">
        <f t="shared" si="4"/>
        <v>14.4068238990032</v>
      </c>
      <c r="N10" s="116">
        <f t="shared" si="4"/>
        <v>14.368410655790276</v>
      </c>
      <c r="O10" s="116">
        <f t="shared" si="4"/>
        <v>14.364656886472083</v>
      </c>
      <c r="P10" s="116">
        <f t="shared" si="4"/>
        <v>14.379963813755188</v>
      </c>
      <c r="Q10" s="116">
        <f t="shared" si="4"/>
        <v>14.37101045200585</v>
      </c>
      <c r="R10" s="116">
        <f t="shared" si="4"/>
        <v>14.371877050744374</v>
      </c>
      <c r="S10" s="116">
        <f t="shared" si="4"/>
        <v>14.37428377216847</v>
      </c>
      <c r="T10" s="116">
        <f t="shared" si="4"/>
        <v>14.372390424972897</v>
      </c>
      <c r="U10" s="116">
        <f t="shared" si="4"/>
        <v>14.372850415961913</v>
      </c>
      <c r="V10" s="116">
        <f t="shared" si="4"/>
        <v>14.373174871034427</v>
      </c>
      <c r="W10" s="116">
        <f t="shared" si="4"/>
        <v>14.37280523732308</v>
      </c>
      <c r="X10" s="116">
        <f t="shared" si="4"/>
        <v>14.372943508106474</v>
      </c>
      <c r="Y10" s="116">
        <f t="shared" si="4"/>
        <v>14.372974538821326</v>
      </c>
      <c r="Z10" s="116">
        <f t="shared" si="4"/>
        <v>14.372907761416959</v>
      </c>
      <c r="AA10" s="116">
        <f t="shared" si="4"/>
        <v>14.37294193611492</v>
      </c>
      <c r="AB10" s="116">
        <f t="shared" si="4"/>
        <v>14.372941412117735</v>
      </c>
      <c r="AC10" s="116">
        <f t="shared" si="4"/>
        <v>14.372930369883205</v>
      </c>
      <c r="AD10" s="116">
        <f t="shared" si="4"/>
        <v>14.37293790603862</v>
      </c>
      <c r="AE10" s="116">
        <f t="shared" si="4"/>
        <v>14.372936562679854</v>
      </c>
      <c r="AF10" s="116">
        <f t="shared" si="4"/>
        <v>14.372934946200559</v>
      </c>
      <c r="AG10" s="116">
        <f t="shared" si="4"/>
        <v>14.372936471639678</v>
      </c>
      <c r="AH10" s="116">
        <f t="shared" si="4"/>
        <v>14.372935993506696</v>
      </c>
      <c r="AI10" s="116">
        <f t="shared" si="4"/>
        <v>14.37293580378231</v>
      </c>
      <c r="AJ10" s="116">
        <f t="shared" si="4"/>
        <v>14.372936089642893</v>
      </c>
      <c r="AK10" s="184"/>
    </row>
    <row r="11" spans="1:37" ht="13.5" customHeight="1" x14ac:dyDescent="0.45">
      <c r="A11" s="618"/>
      <c r="B11" s="106"/>
      <c r="C11" s="115" t="s">
        <v>643</v>
      </c>
      <c r="D11" s="162"/>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84"/>
    </row>
    <row r="12" spans="1:37" ht="13.5" customHeight="1" x14ac:dyDescent="0.45">
      <c r="A12" s="618"/>
      <c r="B12" s="106"/>
      <c r="C12" s="115" t="s">
        <v>98</v>
      </c>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84"/>
    </row>
    <row r="13" spans="1:37" ht="13.5" customHeight="1" x14ac:dyDescent="0.45">
      <c r="A13" s="618"/>
      <c r="B13" s="106"/>
      <c r="C13" s="115" t="s">
        <v>644</v>
      </c>
      <c r="D13" s="116">
        <f t="shared" ref="D13:AJ13" si="5">SUM(D6:D10)</f>
        <v>43.424499103999999</v>
      </c>
      <c r="E13" s="116">
        <f t="shared" si="5"/>
        <v>47.184519999999999</v>
      </c>
      <c r="F13" s="116">
        <f t="shared" si="5"/>
        <v>39.44117</v>
      </c>
      <c r="G13" s="116">
        <f t="shared" si="5"/>
        <v>43.350063034666668</v>
      </c>
      <c r="H13" s="116">
        <f t="shared" si="5"/>
        <v>43.325251011555551</v>
      </c>
      <c r="I13" s="116">
        <f t="shared" si="5"/>
        <v>42.038828015407411</v>
      </c>
      <c r="J13" s="116">
        <f t="shared" si="5"/>
        <v>42.90471402054321</v>
      </c>
      <c r="K13" s="116">
        <f t="shared" si="5"/>
        <v>42.756264349168724</v>
      </c>
      <c r="L13" s="116">
        <f t="shared" si="5"/>
        <v>42.566602128373113</v>
      </c>
      <c r="M13" s="116">
        <f t="shared" si="5"/>
        <v>42.74252683269502</v>
      </c>
      <c r="N13" s="116">
        <f t="shared" si="5"/>
        <v>42.688464436745619</v>
      </c>
      <c r="O13" s="116">
        <f t="shared" si="5"/>
        <v>42.665864465937915</v>
      </c>
      <c r="P13" s="116">
        <f t="shared" si="5"/>
        <v>42.698951911792854</v>
      </c>
      <c r="Q13" s="116">
        <f t="shared" si="5"/>
        <v>42.684426938158801</v>
      </c>
      <c r="R13" s="116">
        <f t="shared" si="5"/>
        <v>42.683081105296523</v>
      </c>
      <c r="S13" s="116">
        <f t="shared" si="5"/>
        <v>42.688819985082723</v>
      </c>
      <c r="T13" s="116">
        <f t="shared" si="5"/>
        <v>42.685442676179349</v>
      </c>
      <c r="U13" s="116">
        <f t="shared" si="5"/>
        <v>42.68578125551953</v>
      </c>
      <c r="V13" s="116">
        <f t="shared" si="5"/>
        <v>42.686681305593865</v>
      </c>
      <c r="W13" s="116">
        <f t="shared" si="5"/>
        <v>42.685968412430917</v>
      </c>
      <c r="X13" s="116">
        <f t="shared" si="5"/>
        <v>42.686143657848106</v>
      </c>
      <c r="Y13" s="116">
        <f t="shared" si="5"/>
        <v>42.686264458624294</v>
      </c>
      <c r="Z13" s="116">
        <f t="shared" si="5"/>
        <v>42.686125509634437</v>
      </c>
      <c r="AA13" s="116">
        <f t="shared" si="5"/>
        <v>42.686177875368941</v>
      </c>
      <c r="AB13" s="116">
        <f t="shared" si="5"/>
        <v>42.686189281209224</v>
      </c>
      <c r="AC13" s="116">
        <f t="shared" si="5"/>
        <v>42.686164222070865</v>
      </c>
      <c r="AD13" s="116">
        <f t="shared" si="5"/>
        <v>42.68617712621635</v>
      </c>
      <c r="AE13" s="116">
        <f t="shared" si="5"/>
        <v>42.686176876498806</v>
      </c>
      <c r="AF13" s="116">
        <f t="shared" si="5"/>
        <v>42.686172741595335</v>
      </c>
      <c r="AG13" s="116">
        <f t="shared" si="5"/>
        <v>42.686175581436828</v>
      </c>
      <c r="AH13" s="116">
        <f t="shared" si="5"/>
        <v>42.686175066510323</v>
      </c>
      <c r="AI13" s="116">
        <f t="shared" si="5"/>
        <v>42.686174463180826</v>
      </c>
      <c r="AJ13" s="116">
        <f t="shared" si="5"/>
        <v>42.686175037042659</v>
      </c>
      <c r="AK13" s="184"/>
    </row>
    <row r="14" spans="1:37" ht="13.5" customHeight="1" x14ac:dyDescent="0.45">
      <c r="A14" s="618"/>
      <c r="B14" s="106"/>
      <c r="C14" s="32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4"/>
    </row>
    <row r="15" spans="1:37" ht="13.5" customHeight="1" x14ac:dyDescent="0.45">
      <c r="A15" s="618">
        <v>2</v>
      </c>
      <c r="B15" s="106"/>
      <c r="C15" s="419" t="s">
        <v>645</v>
      </c>
      <c r="D15" s="183"/>
      <c r="E15" s="183"/>
      <c r="F15" s="183"/>
      <c r="G15" s="183"/>
      <c r="H15" s="183"/>
      <c r="I15" s="183"/>
      <c r="J15" s="183"/>
      <c r="K15" s="183"/>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AJ15" s="183"/>
      <c r="AK15" s="184"/>
    </row>
    <row r="16" spans="1:37" ht="13.5" customHeight="1" x14ac:dyDescent="0.45">
      <c r="A16" s="618"/>
      <c r="B16" s="106"/>
      <c r="C16" s="115" t="s">
        <v>638</v>
      </c>
      <c r="D16" s="162">
        <v>0.20080000000000001</v>
      </c>
      <c r="E16" s="162"/>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84"/>
    </row>
    <row r="17" spans="1:37" ht="13.5" customHeight="1" x14ac:dyDescent="0.45">
      <c r="A17" s="618"/>
      <c r="B17" s="106"/>
      <c r="C17" s="115" t="s">
        <v>639</v>
      </c>
      <c r="D17" s="162">
        <v>0.2097</v>
      </c>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84"/>
    </row>
    <row r="18" spans="1:37" ht="13.5" customHeight="1" x14ac:dyDescent="0.45">
      <c r="A18" s="618"/>
      <c r="B18" s="106"/>
      <c r="C18" s="115" t="s">
        <v>640</v>
      </c>
      <c r="D18" s="162">
        <v>1.3899999999999999E-2</v>
      </c>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84"/>
    </row>
    <row r="19" spans="1:37" ht="13.5" customHeight="1" x14ac:dyDescent="0.45">
      <c r="A19" s="618"/>
      <c r="B19" s="106"/>
      <c r="C19" s="115" t="s">
        <v>641</v>
      </c>
      <c r="D19" s="162">
        <v>0.441</v>
      </c>
      <c r="E19" s="162"/>
      <c r="F19" s="162"/>
      <c r="G19" s="162"/>
      <c r="H19" s="162"/>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84"/>
    </row>
    <row r="20" spans="1:37" ht="13.5" customHeight="1" x14ac:dyDescent="0.45">
      <c r="A20" s="618"/>
      <c r="B20" s="106"/>
      <c r="C20" s="115" t="s">
        <v>726</v>
      </c>
      <c r="D20" s="162">
        <v>4.8899999999999999E-2</v>
      </c>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84"/>
    </row>
    <row r="21" spans="1:37" ht="13.5" customHeight="1" x14ac:dyDescent="0.45">
      <c r="A21" s="618"/>
      <c r="B21" s="106"/>
      <c r="C21" s="115" t="s">
        <v>727</v>
      </c>
      <c r="D21" s="162">
        <v>5.0000000000000001E-4</v>
      </c>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84"/>
    </row>
    <row r="22" spans="1:37" ht="13.5" customHeight="1" x14ac:dyDescent="0.45">
      <c r="A22" s="618"/>
      <c r="B22" s="106"/>
      <c r="C22" s="115" t="s">
        <v>98</v>
      </c>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84"/>
    </row>
    <row r="23" spans="1:37" ht="13.5" customHeight="1" x14ac:dyDescent="0.45">
      <c r="A23" s="618"/>
      <c r="B23" s="106"/>
      <c r="C23" s="115" t="s">
        <v>644</v>
      </c>
      <c r="D23" s="162">
        <f t="shared" ref="D23:AJ23" si="6">SUM(D16:D21)</f>
        <v>0.91479999999999984</v>
      </c>
      <c r="E23" s="162">
        <f t="shared" si="6"/>
        <v>0</v>
      </c>
      <c r="F23" s="162">
        <f t="shared" si="6"/>
        <v>0</v>
      </c>
      <c r="G23" s="162">
        <f t="shared" si="6"/>
        <v>0</v>
      </c>
      <c r="H23" s="162">
        <f t="shared" si="6"/>
        <v>0</v>
      </c>
      <c r="I23" s="162">
        <f t="shared" si="6"/>
        <v>0</v>
      </c>
      <c r="J23" s="162">
        <f t="shared" si="6"/>
        <v>0</v>
      </c>
      <c r="K23" s="162">
        <f t="shared" si="6"/>
        <v>0</v>
      </c>
      <c r="L23" s="162">
        <f t="shared" si="6"/>
        <v>0</v>
      </c>
      <c r="M23" s="162">
        <f t="shared" si="6"/>
        <v>0</v>
      </c>
      <c r="N23" s="162">
        <f t="shared" si="6"/>
        <v>0</v>
      </c>
      <c r="O23" s="162">
        <f t="shared" si="6"/>
        <v>0</v>
      </c>
      <c r="P23" s="162">
        <f t="shared" si="6"/>
        <v>0</v>
      </c>
      <c r="Q23" s="162">
        <f t="shared" si="6"/>
        <v>0</v>
      </c>
      <c r="R23" s="162">
        <f t="shared" si="6"/>
        <v>0</v>
      </c>
      <c r="S23" s="162">
        <f t="shared" si="6"/>
        <v>0</v>
      </c>
      <c r="T23" s="162">
        <f t="shared" si="6"/>
        <v>0</v>
      </c>
      <c r="U23" s="162">
        <f t="shared" si="6"/>
        <v>0</v>
      </c>
      <c r="V23" s="162">
        <f t="shared" si="6"/>
        <v>0</v>
      </c>
      <c r="W23" s="162">
        <f t="shared" si="6"/>
        <v>0</v>
      </c>
      <c r="X23" s="162">
        <f t="shared" si="6"/>
        <v>0</v>
      </c>
      <c r="Y23" s="162">
        <f t="shared" si="6"/>
        <v>0</v>
      </c>
      <c r="Z23" s="162">
        <f t="shared" si="6"/>
        <v>0</v>
      </c>
      <c r="AA23" s="162">
        <f t="shared" si="6"/>
        <v>0</v>
      </c>
      <c r="AB23" s="162">
        <f t="shared" si="6"/>
        <v>0</v>
      </c>
      <c r="AC23" s="162">
        <f t="shared" si="6"/>
        <v>0</v>
      </c>
      <c r="AD23" s="162">
        <f t="shared" si="6"/>
        <v>0</v>
      </c>
      <c r="AE23" s="162">
        <f t="shared" si="6"/>
        <v>0</v>
      </c>
      <c r="AF23" s="162">
        <f t="shared" si="6"/>
        <v>0</v>
      </c>
      <c r="AG23" s="162">
        <f t="shared" si="6"/>
        <v>0</v>
      </c>
      <c r="AH23" s="162">
        <f t="shared" si="6"/>
        <v>0</v>
      </c>
      <c r="AI23" s="162">
        <f t="shared" si="6"/>
        <v>0</v>
      </c>
      <c r="AJ23" s="162">
        <f t="shared" si="6"/>
        <v>0</v>
      </c>
      <c r="AK23" s="184"/>
    </row>
    <row r="24" spans="1:37" ht="13.5" customHeight="1" x14ac:dyDescent="0.45">
      <c r="A24" s="618"/>
      <c r="B24" s="106"/>
      <c r="C24" s="323"/>
      <c r="D24" s="183"/>
      <c r="E24" s="183"/>
      <c r="F24" s="183"/>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4"/>
    </row>
    <row r="25" spans="1:37" ht="13.5" customHeight="1" x14ac:dyDescent="0.45">
      <c r="A25" s="618">
        <v>2</v>
      </c>
      <c r="B25" s="106"/>
      <c r="C25" s="419" t="s">
        <v>646</v>
      </c>
      <c r="D25" s="183"/>
      <c r="E25" s="183"/>
      <c r="F25" s="183"/>
      <c r="G25" s="183"/>
      <c r="H25" s="183"/>
      <c r="I25" s="183"/>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4"/>
    </row>
    <row r="26" spans="1:37" ht="13.5" customHeight="1" x14ac:dyDescent="0.45">
      <c r="A26" s="618"/>
      <c r="B26" s="106"/>
      <c r="C26" s="115" t="s">
        <v>638</v>
      </c>
      <c r="D26" s="162">
        <v>2.68</v>
      </c>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84"/>
    </row>
    <row r="27" spans="1:37" ht="13.5" customHeight="1" x14ac:dyDescent="0.45">
      <c r="A27" s="618"/>
      <c r="B27" s="106"/>
      <c r="C27" s="115" t="s">
        <v>639</v>
      </c>
      <c r="D27" s="162">
        <v>2.8</v>
      </c>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84"/>
    </row>
    <row r="28" spans="1:37" ht="13.5" customHeight="1" x14ac:dyDescent="0.45">
      <c r="A28" s="618"/>
      <c r="B28" s="106"/>
      <c r="C28" s="115" t="s">
        <v>640</v>
      </c>
      <c r="D28" s="162">
        <v>0.19</v>
      </c>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84"/>
    </row>
    <row r="29" spans="1:37" ht="13.5" customHeight="1" x14ac:dyDescent="0.45">
      <c r="A29" s="618"/>
      <c r="B29" s="106"/>
      <c r="C29" s="115" t="s">
        <v>641</v>
      </c>
      <c r="D29" s="162">
        <v>5.88</v>
      </c>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84"/>
    </row>
    <row r="30" spans="1:37" ht="13.5" customHeight="1" x14ac:dyDescent="0.45">
      <c r="A30" s="618"/>
      <c r="B30" s="106"/>
      <c r="C30" s="115" t="s">
        <v>726</v>
      </c>
      <c r="D30" s="162">
        <v>0.65</v>
      </c>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84"/>
    </row>
    <row r="31" spans="1:37" ht="13.5" customHeight="1" x14ac:dyDescent="0.45">
      <c r="A31" s="618"/>
      <c r="B31" s="106"/>
      <c r="C31" s="115" t="s">
        <v>727</v>
      </c>
      <c r="D31" s="162">
        <v>0.01</v>
      </c>
      <c r="E31" s="162"/>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84"/>
    </row>
    <row r="32" spans="1:37" ht="13.5" customHeight="1" x14ac:dyDescent="0.45">
      <c r="A32" s="618"/>
      <c r="B32" s="106"/>
      <c r="C32" s="115" t="s">
        <v>98</v>
      </c>
      <c r="D32" s="162"/>
      <c r="E32" s="162"/>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84"/>
    </row>
    <row r="33" spans="1:37" ht="13.5" customHeight="1" x14ac:dyDescent="0.45">
      <c r="A33" s="618"/>
      <c r="B33" s="106"/>
      <c r="C33" s="115" t="s">
        <v>644</v>
      </c>
      <c r="D33" s="162">
        <f t="shared" ref="D33:AJ33" si="7">SUM(D26:D30)</f>
        <v>12.200000000000001</v>
      </c>
      <c r="E33" s="162">
        <f t="shared" si="7"/>
        <v>0</v>
      </c>
      <c r="F33" s="162">
        <f t="shared" si="7"/>
        <v>0</v>
      </c>
      <c r="G33" s="162">
        <f t="shared" si="7"/>
        <v>0</v>
      </c>
      <c r="H33" s="162">
        <f t="shared" si="7"/>
        <v>0</v>
      </c>
      <c r="I33" s="162">
        <f t="shared" si="7"/>
        <v>0</v>
      </c>
      <c r="J33" s="162">
        <f t="shared" si="7"/>
        <v>0</v>
      </c>
      <c r="K33" s="162">
        <f t="shared" si="7"/>
        <v>0</v>
      </c>
      <c r="L33" s="162">
        <f t="shared" si="7"/>
        <v>0</v>
      </c>
      <c r="M33" s="162">
        <f t="shared" si="7"/>
        <v>0</v>
      </c>
      <c r="N33" s="162">
        <f t="shared" si="7"/>
        <v>0</v>
      </c>
      <c r="O33" s="162">
        <f t="shared" si="7"/>
        <v>0</v>
      </c>
      <c r="P33" s="162">
        <f t="shared" si="7"/>
        <v>0</v>
      </c>
      <c r="Q33" s="162">
        <f t="shared" si="7"/>
        <v>0</v>
      </c>
      <c r="R33" s="162">
        <f t="shared" si="7"/>
        <v>0</v>
      </c>
      <c r="S33" s="162">
        <f t="shared" si="7"/>
        <v>0</v>
      </c>
      <c r="T33" s="162">
        <f t="shared" si="7"/>
        <v>0</v>
      </c>
      <c r="U33" s="162">
        <f t="shared" si="7"/>
        <v>0</v>
      </c>
      <c r="V33" s="162">
        <f t="shared" si="7"/>
        <v>0</v>
      </c>
      <c r="W33" s="162">
        <f t="shared" si="7"/>
        <v>0</v>
      </c>
      <c r="X33" s="162">
        <f t="shared" si="7"/>
        <v>0</v>
      </c>
      <c r="Y33" s="162">
        <f t="shared" si="7"/>
        <v>0</v>
      </c>
      <c r="Z33" s="162">
        <f t="shared" si="7"/>
        <v>0</v>
      </c>
      <c r="AA33" s="162">
        <f t="shared" si="7"/>
        <v>0</v>
      </c>
      <c r="AB33" s="162">
        <f t="shared" si="7"/>
        <v>0</v>
      </c>
      <c r="AC33" s="162">
        <f t="shared" si="7"/>
        <v>0</v>
      </c>
      <c r="AD33" s="162">
        <f t="shared" si="7"/>
        <v>0</v>
      </c>
      <c r="AE33" s="162">
        <f t="shared" si="7"/>
        <v>0</v>
      </c>
      <c r="AF33" s="162">
        <f t="shared" si="7"/>
        <v>0</v>
      </c>
      <c r="AG33" s="162">
        <f t="shared" si="7"/>
        <v>0</v>
      </c>
      <c r="AH33" s="162">
        <f t="shared" si="7"/>
        <v>0</v>
      </c>
      <c r="AI33" s="162">
        <f t="shared" si="7"/>
        <v>0</v>
      </c>
      <c r="AJ33" s="162">
        <f t="shared" si="7"/>
        <v>0</v>
      </c>
      <c r="AK33" s="184"/>
    </row>
    <row r="34" spans="1:37" ht="13.5" customHeight="1" x14ac:dyDescent="0.45">
      <c r="A34" s="618"/>
      <c r="B34" s="106"/>
      <c r="C34" s="32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4"/>
    </row>
    <row r="35" spans="1:37" ht="13.5" customHeight="1" x14ac:dyDescent="0.45">
      <c r="A35" s="618">
        <v>3</v>
      </c>
      <c r="B35" s="106"/>
      <c r="C35" s="419" t="s">
        <v>728</v>
      </c>
      <c r="D35" s="183"/>
      <c r="E35" s="183"/>
      <c r="F35" s="183"/>
      <c r="G35" s="183"/>
      <c r="H35" s="183"/>
      <c r="I35" s="183"/>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AJ35" s="183"/>
      <c r="AK35" s="184"/>
    </row>
    <row r="36" spans="1:37" ht="13.5" customHeight="1" x14ac:dyDescent="0.45">
      <c r="A36" s="618"/>
      <c r="B36" s="106"/>
      <c r="C36" s="115" t="s">
        <v>729</v>
      </c>
      <c r="D36" s="162">
        <v>87.9</v>
      </c>
      <c r="E36" s="162">
        <v>79.599999999999994</v>
      </c>
      <c r="F36" s="162">
        <v>58.1</v>
      </c>
      <c r="G36" s="162">
        <v>88.6</v>
      </c>
      <c r="H36" s="162"/>
      <c r="I36" s="162"/>
      <c r="J36" s="162"/>
      <c r="K36" s="162"/>
      <c r="L36" s="162"/>
      <c r="M36" s="162"/>
      <c r="N36" s="162"/>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84"/>
    </row>
    <row r="37" spans="1:37" ht="13.5" customHeight="1" x14ac:dyDescent="0.45">
      <c r="A37" s="618"/>
      <c r="B37" s="106"/>
      <c r="C37" s="115" t="s">
        <v>730</v>
      </c>
      <c r="D37" s="162">
        <v>90</v>
      </c>
      <c r="E37" s="162">
        <v>84.1</v>
      </c>
      <c r="F37" s="162">
        <v>57.1</v>
      </c>
      <c r="G37" s="162">
        <v>84.6</v>
      </c>
      <c r="H37" s="162"/>
      <c r="I37" s="162"/>
      <c r="J37" s="162"/>
      <c r="K37" s="162"/>
      <c r="L37" s="162"/>
      <c r="M37" s="162"/>
      <c r="N37" s="162"/>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84"/>
    </row>
    <row r="38" spans="1:37" ht="13.5" customHeight="1" x14ac:dyDescent="0.45">
      <c r="A38" s="618"/>
      <c r="B38" s="106"/>
      <c r="C38" s="115" t="s">
        <v>731</v>
      </c>
      <c r="D38" s="162">
        <v>47.5</v>
      </c>
      <c r="E38" s="162">
        <v>32.1</v>
      </c>
      <c r="F38" s="162">
        <v>28.5</v>
      </c>
      <c r="G38" s="162">
        <v>54.7</v>
      </c>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84"/>
    </row>
    <row r="39" spans="1:37" ht="13.5" customHeight="1" x14ac:dyDescent="0.45">
      <c r="A39" s="618"/>
      <c r="B39" s="106"/>
      <c r="C39" s="115" t="s">
        <v>732</v>
      </c>
      <c r="D39" s="162">
        <v>12.13</v>
      </c>
      <c r="E39" s="162">
        <v>13.34</v>
      </c>
      <c r="F39" s="162">
        <v>14.03</v>
      </c>
      <c r="G39" s="162">
        <v>7.09</v>
      </c>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84"/>
    </row>
    <row r="40" spans="1:37" ht="13.5" customHeight="1" x14ac:dyDescent="0.45">
      <c r="A40" s="618"/>
      <c r="B40" s="106"/>
      <c r="C40" s="115" t="s">
        <v>733</v>
      </c>
      <c r="D40" s="115" t="s">
        <v>734</v>
      </c>
      <c r="E40" s="162"/>
      <c r="F40" s="162"/>
      <c r="G40" s="162"/>
      <c r="H40" s="162"/>
      <c r="I40" s="162"/>
      <c r="J40" s="162"/>
      <c r="K40" s="162"/>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84"/>
    </row>
    <row r="41" spans="1:37" ht="13.5" customHeight="1" x14ac:dyDescent="0.45">
      <c r="A41" s="618"/>
      <c r="B41" s="118"/>
      <c r="C41" s="181"/>
      <c r="D41" s="191"/>
      <c r="E41" s="191"/>
      <c r="F41" s="191"/>
      <c r="G41" s="191"/>
      <c r="H41" s="191"/>
      <c r="I41" s="191"/>
      <c r="J41" s="19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c r="AI41" s="191"/>
      <c r="AJ41" s="191"/>
      <c r="AK41" s="192"/>
    </row>
    <row r="42" spans="1:37" ht="13.5" customHeight="1" x14ac:dyDescent="0.4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3.5" customHeight="1" x14ac:dyDescent="0.45">
      <c r="A43" s="618"/>
      <c r="B43" s="7"/>
      <c r="C43" s="103"/>
      <c r="D43" s="158"/>
      <c r="E43" s="158"/>
      <c r="F43" s="158"/>
      <c r="G43" s="158"/>
      <c r="H43" s="158"/>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9"/>
    </row>
    <row r="44" spans="1:37" ht="13.5" customHeight="1" x14ac:dyDescent="0.45">
      <c r="A44" s="618"/>
      <c r="B44" s="106"/>
      <c r="C44" s="107" t="s">
        <v>92</v>
      </c>
      <c r="D44" s="183"/>
      <c r="E44" s="183"/>
      <c r="F44" s="183"/>
      <c r="G44" s="183"/>
      <c r="H44" s="183"/>
      <c r="I44" s="183"/>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4"/>
    </row>
    <row r="45" spans="1:37" ht="13.5" customHeight="1" x14ac:dyDescent="0.45">
      <c r="A45" s="618"/>
      <c r="B45" s="106"/>
      <c r="C45" s="419" t="s">
        <v>647</v>
      </c>
      <c r="D45" s="183"/>
      <c r="E45" s="183"/>
      <c r="F45" s="183"/>
      <c r="G45" s="183"/>
      <c r="H45" s="183"/>
      <c r="I45" s="183"/>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AJ45" s="183"/>
      <c r="AK45" s="184"/>
    </row>
    <row r="46" spans="1:37" ht="13.5" customHeight="1" x14ac:dyDescent="0.45">
      <c r="A46" s="618"/>
      <c r="B46" s="106"/>
      <c r="C46" s="115" t="s">
        <v>648</v>
      </c>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84"/>
    </row>
    <row r="47" spans="1:37" ht="13.5" customHeight="1" x14ac:dyDescent="0.45">
      <c r="A47" s="618"/>
      <c r="B47" s="106"/>
      <c r="C47" s="115" t="s">
        <v>649</v>
      </c>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84"/>
    </row>
    <row r="48" spans="1:37" ht="13.5" customHeight="1" x14ac:dyDescent="0.45">
      <c r="A48" s="618"/>
      <c r="B48" s="106"/>
      <c r="C48" s="115" t="s">
        <v>650</v>
      </c>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84"/>
    </row>
    <row r="49" spans="1:37" ht="13.5" customHeight="1" x14ac:dyDescent="0.45">
      <c r="A49" s="618">
        <v>4</v>
      </c>
      <c r="B49" s="106"/>
      <c r="C49" s="115" t="s">
        <v>651</v>
      </c>
      <c r="D49" s="162">
        <v>1.27</v>
      </c>
      <c r="E49" s="162">
        <v>1.27</v>
      </c>
      <c r="F49" s="162">
        <v>1.27</v>
      </c>
      <c r="G49" s="162">
        <v>1.27</v>
      </c>
      <c r="H49" s="162">
        <v>1.27</v>
      </c>
      <c r="I49" s="162">
        <v>1.27</v>
      </c>
      <c r="J49" s="162">
        <v>1.27</v>
      </c>
      <c r="K49" s="162">
        <v>1.27</v>
      </c>
      <c r="L49" s="162">
        <v>1.27</v>
      </c>
      <c r="M49" s="162">
        <v>1.27</v>
      </c>
      <c r="N49" s="162">
        <v>1.27</v>
      </c>
      <c r="O49" s="162">
        <v>1.27</v>
      </c>
      <c r="P49" s="162">
        <v>1.27</v>
      </c>
      <c r="Q49" s="162">
        <v>1.27</v>
      </c>
      <c r="R49" s="162">
        <v>1.27</v>
      </c>
      <c r="S49" s="162">
        <v>1.27</v>
      </c>
      <c r="T49" s="162">
        <v>1.27</v>
      </c>
      <c r="U49" s="162">
        <v>1.27</v>
      </c>
      <c r="V49" s="162">
        <v>1.27</v>
      </c>
      <c r="W49" s="162">
        <v>1.27</v>
      </c>
      <c r="X49" s="162">
        <v>1.27</v>
      </c>
      <c r="Y49" s="162">
        <v>1.27</v>
      </c>
      <c r="Z49" s="162">
        <v>1.27</v>
      </c>
      <c r="AA49" s="162">
        <v>1.27</v>
      </c>
      <c r="AB49" s="162">
        <v>1.27</v>
      </c>
      <c r="AC49" s="162">
        <v>1.27</v>
      </c>
      <c r="AD49" s="162">
        <v>1.27</v>
      </c>
      <c r="AE49" s="162">
        <v>1.27</v>
      </c>
      <c r="AF49" s="162">
        <v>1.27</v>
      </c>
      <c r="AG49" s="162">
        <v>1.27</v>
      </c>
      <c r="AH49" s="162">
        <v>1.27</v>
      </c>
      <c r="AI49" s="162">
        <v>1.27</v>
      </c>
      <c r="AJ49" s="162">
        <v>1.27</v>
      </c>
      <c r="AK49" s="184"/>
    </row>
    <row r="50" spans="1:37" ht="13.5" customHeight="1" x14ac:dyDescent="0.45">
      <c r="A50" s="618"/>
      <c r="B50" s="106"/>
      <c r="C50" s="115" t="s">
        <v>98</v>
      </c>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84"/>
    </row>
    <row r="51" spans="1:37" ht="13.5" customHeight="1" x14ac:dyDescent="0.45">
      <c r="A51" s="618"/>
      <c r="B51" s="106"/>
      <c r="C51" s="115" t="s">
        <v>644</v>
      </c>
      <c r="D51" s="162">
        <f t="shared" ref="D51:AJ51" si="8">SUM(D46:D48)</f>
        <v>0</v>
      </c>
      <c r="E51" s="162">
        <f t="shared" si="8"/>
        <v>0</v>
      </c>
      <c r="F51" s="162">
        <f t="shared" si="8"/>
        <v>0</v>
      </c>
      <c r="G51" s="162">
        <f t="shared" si="8"/>
        <v>0</v>
      </c>
      <c r="H51" s="162">
        <f t="shared" si="8"/>
        <v>0</v>
      </c>
      <c r="I51" s="162">
        <f t="shared" si="8"/>
        <v>0</v>
      </c>
      <c r="J51" s="162">
        <f t="shared" si="8"/>
        <v>0</v>
      </c>
      <c r="K51" s="162">
        <f t="shared" si="8"/>
        <v>0</v>
      </c>
      <c r="L51" s="162">
        <f t="shared" si="8"/>
        <v>0</v>
      </c>
      <c r="M51" s="162">
        <f t="shared" si="8"/>
        <v>0</v>
      </c>
      <c r="N51" s="162">
        <f t="shared" si="8"/>
        <v>0</v>
      </c>
      <c r="O51" s="162">
        <f t="shared" si="8"/>
        <v>0</v>
      </c>
      <c r="P51" s="162">
        <f t="shared" si="8"/>
        <v>0</v>
      </c>
      <c r="Q51" s="162">
        <f t="shared" si="8"/>
        <v>0</v>
      </c>
      <c r="R51" s="162">
        <f t="shared" si="8"/>
        <v>0</v>
      </c>
      <c r="S51" s="162">
        <f t="shared" si="8"/>
        <v>0</v>
      </c>
      <c r="T51" s="162">
        <f t="shared" si="8"/>
        <v>0</v>
      </c>
      <c r="U51" s="162">
        <f t="shared" si="8"/>
        <v>0</v>
      </c>
      <c r="V51" s="162">
        <f t="shared" si="8"/>
        <v>0</v>
      </c>
      <c r="W51" s="162">
        <f t="shared" si="8"/>
        <v>0</v>
      </c>
      <c r="X51" s="162">
        <f t="shared" si="8"/>
        <v>0</v>
      </c>
      <c r="Y51" s="162">
        <f t="shared" si="8"/>
        <v>0</v>
      </c>
      <c r="Z51" s="162">
        <f t="shared" si="8"/>
        <v>0</v>
      </c>
      <c r="AA51" s="162">
        <f t="shared" si="8"/>
        <v>0</v>
      </c>
      <c r="AB51" s="162">
        <f t="shared" si="8"/>
        <v>0</v>
      </c>
      <c r="AC51" s="162">
        <f t="shared" si="8"/>
        <v>0</v>
      </c>
      <c r="AD51" s="162">
        <f t="shared" si="8"/>
        <v>0</v>
      </c>
      <c r="AE51" s="162">
        <f t="shared" si="8"/>
        <v>0</v>
      </c>
      <c r="AF51" s="162">
        <f t="shared" si="8"/>
        <v>0</v>
      </c>
      <c r="AG51" s="162">
        <f t="shared" si="8"/>
        <v>0</v>
      </c>
      <c r="AH51" s="162">
        <f t="shared" si="8"/>
        <v>0</v>
      </c>
      <c r="AI51" s="162">
        <f t="shared" si="8"/>
        <v>0</v>
      </c>
      <c r="AJ51" s="162">
        <f t="shared" si="8"/>
        <v>0</v>
      </c>
      <c r="AK51" s="184"/>
    </row>
    <row r="52" spans="1:37" ht="13.5" customHeight="1" x14ac:dyDescent="0.45">
      <c r="A52" s="618"/>
      <c r="B52" s="106"/>
      <c r="C52" s="323"/>
      <c r="D52" s="183"/>
      <c r="E52" s="183"/>
      <c r="F52" s="183"/>
      <c r="G52" s="183"/>
      <c r="H52" s="183"/>
      <c r="I52" s="183"/>
      <c r="J52" s="183"/>
      <c r="K52" s="183"/>
      <c r="L52" s="183"/>
      <c r="M52" s="183"/>
      <c r="N52" s="183"/>
      <c r="O52" s="183"/>
      <c r="P52" s="183"/>
      <c r="Q52" s="183"/>
      <c r="R52" s="183"/>
      <c r="S52" s="183"/>
      <c r="T52" s="183"/>
      <c r="U52" s="183"/>
      <c r="V52" s="183"/>
      <c r="W52" s="183"/>
      <c r="X52" s="183"/>
      <c r="Y52" s="183"/>
      <c r="Z52" s="183"/>
      <c r="AA52" s="183"/>
      <c r="AB52" s="183"/>
      <c r="AC52" s="183"/>
      <c r="AD52" s="183"/>
      <c r="AE52" s="183"/>
      <c r="AF52" s="183"/>
      <c r="AG52" s="183"/>
      <c r="AH52" s="183"/>
      <c r="AI52" s="183"/>
      <c r="AJ52" s="183"/>
      <c r="AK52" s="184"/>
    </row>
    <row r="53" spans="1:37" ht="13.5" customHeight="1" x14ac:dyDescent="0.45">
      <c r="A53" s="618"/>
      <c r="B53" s="106"/>
      <c r="C53" s="419" t="s">
        <v>645</v>
      </c>
      <c r="D53" s="183"/>
      <c r="E53" s="183"/>
      <c r="F53" s="183"/>
      <c r="G53" s="183"/>
      <c r="H53" s="183"/>
      <c r="I53" s="183"/>
      <c r="J53" s="183"/>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c r="AH53" s="183"/>
      <c r="AI53" s="183"/>
      <c r="AJ53" s="183"/>
      <c r="AK53" s="184"/>
    </row>
    <row r="54" spans="1:37" ht="13.5" customHeight="1" x14ac:dyDescent="0.45">
      <c r="A54" s="618"/>
      <c r="B54" s="106"/>
      <c r="C54" s="115" t="s">
        <v>648</v>
      </c>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84"/>
    </row>
    <row r="55" spans="1:37" ht="13.5" customHeight="1" x14ac:dyDescent="0.45">
      <c r="A55" s="618"/>
      <c r="B55" s="106"/>
      <c r="C55" s="115" t="s">
        <v>649</v>
      </c>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84"/>
    </row>
    <row r="56" spans="1:37" ht="13.5" customHeight="1" x14ac:dyDescent="0.45">
      <c r="A56" s="618"/>
      <c r="B56" s="106"/>
      <c r="C56" s="115" t="s">
        <v>650</v>
      </c>
      <c r="D56" s="162"/>
      <c r="E56" s="162"/>
      <c r="F56" s="162"/>
      <c r="G56" s="162"/>
      <c r="H56" s="162"/>
      <c r="I56" s="162"/>
      <c r="J56" s="162"/>
      <c r="K56" s="162"/>
      <c r="L56" s="162"/>
      <c r="M56" s="162"/>
      <c r="N56" s="162"/>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84"/>
    </row>
    <row r="57" spans="1:37" ht="13.5" customHeight="1" x14ac:dyDescent="0.45">
      <c r="A57" s="618"/>
      <c r="B57" s="106"/>
      <c r="C57" s="115" t="s">
        <v>651</v>
      </c>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84"/>
    </row>
    <row r="58" spans="1:37" ht="13.5" customHeight="1" x14ac:dyDescent="0.45">
      <c r="A58" s="618"/>
      <c r="B58" s="106"/>
      <c r="C58" s="115" t="s">
        <v>98</v>
      </c>
      <c r="D58" s="162"/>
      <c r="E58" s="162"/>
      <c r="F58" s="162"/>
      <c r="G58" s="162"/>
      <c r="H58" s="162"/>
      <c r="I58" s="162"/>
      <c r="J58" s="162"/>
      <c r="K58" s="162"/>
      <c r="L58" s="162"/>
      <c r="M58" s="162"/>
      <c r="N58" s="162"/>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84"/>
    </row>
    <row r="59" spans="1:37" ht="13.5" customHeight="1" x14ac:dyDescent="0.45">
      <c r="A59" s="618"/>
      <c r="B59" s="106"/>
      <c r="C59" s="115" t="s">
        <v>644</v>
      </c>
      <c r="D59" s="162">
        <f t="shared" ref="D59:AJ59" si="9">SUM(D54:D56)</f>
        <v>0</v>
      </c>
      <c r="E59" s="162">
        <f t="shared" si="9"/>
        <v>0</v>
      </c>
      <c r="F59" s="162">
        <f t="shared" si="9"/>
        <v>0</v>
      </c>
      <c r="G59" s="162">
        <f t="shared" si="9"/>
        <v>0</v>
      </c>
      <c r="H59" s="162">
        <f t="shared" si="9"/>
        <v>0</v>
      </c>
      <c r="I59" s="162">
        <f t="shared" si="9"/>
        <v>0</v>
      </c>
      <c r="J59" s="162">
        <f t="shared" si="9"/>
        <v>0</v>
      </c>
      <c r="K59" s="162">
        <f t="shared" si="9"/>
        <v>0</v>
      </c>
      <c r="L59" s="162">
        <f t="shared" si="9"/>
        <v>0</v>
      </c>
      <c r="M59" s="162">
        <f t="shared" si="9"/>
        <v>0</v>
      </c>
      <c r="N59" s="162">
        <f t="shared" si="9"/>
        <v>0</v>
      </c>
      <c r="O59" s="162">
        <f t="shared" si="9"/>
        <v>0</v>
      </c>
      <c r="P59" s="162">
        <f t="shared" si="9"/>
        <v>0</v>
      </c>
      <c r="Q59" s="162">
        <f t="shared" si="9"/>
        <v>0</v>
      </c>
      <c r="R59" s="162">
        <f t="shared" si="9"/>
        <v>0</v>
      </c>
      <c r="S59" s="162">
        <f t="shared" si="9"/>
        <v>0</v>
      </c>
      <c r="T59" s="162">
        <f t="shared" si="9"/>
        <v>0</v>
      </c>
      <c r="U59" s="162">
        <f t="shared" si="9"/>
        <v>0</v>
      </c>
      <c r="V59" s="162">
        <f t="shared" si="9"/>
        <v>0</v>
      </c>
      <c r="W59" s="162">
        <f t="shared" si="9"/>
        <v>0</v>
      </c>
      <c r="X59" s="162">
        <f t="shared" si="9"/>
        <v>0</v>
      </c>
      <c r="Y59" s="162">
        <f t="shared" si="9"/>
        <v>0</v>
      </c>
      <c r="Z59" s="162">
        <f t="shared" si="9"/>
        <v>0</v>
      </c>
      <c r="AA59" s="162">
        <f t="shared" si="9"/>
        <v>0</v>
      </c>
      <c r="AB59" s="162">
        <f t="shared" si="9"/>
        <v>0</v>
      </c>
      <c r="AC59" s="162">
        <f t="shared" si="9"/>
        <v>0</v>
      </c>
      <c r="AD59" s="162">
        <f t="shared" si="9"/>
        <v>0</v>
      </c>
      <c r="AE59" s="162">
        <f t="shared" si="9"/>
        <v>0</v>
      </c>
      <c r="AF59" s="162">
        <f t="shared" si="9"/>
        <v>0</v>
      </c>
      <c r="AG59" s="162">
        <f t="shared" si="9"/>
        <v>0</v>
      </c>
      <c r="AH59" s="162">
        <f t="shared" si="9"/>
        <v>0</v>
      </c>
      <c r="AI59" s="162">
        <f t="shared" si="9"/>
        <v>0</v>
      </c>
      <c r="AJ59" s="162">
        <f t="shared" si="9"/>
        <v>0</v>
      </c>
      <c r="AK59" s="184"/>
    </row>
    <row r="60" spans="1:37" ht="13.5" customHeight="1" x14ac:dyDescent="0.45">
      <c r="A60" s="618"/>
      <c r="B60" s="106"/>
      <c r="C60" s="32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4"/>
    </row>
    <row r="61" spans="1:37" ht="13.5" customHeight="1" x14ac:dyDescent="0.45">
      <c r="A61" s="618"/>
      <c r="B61" s="106"/>
      <c r="C61" s="419" t="s">
        <v>646</v>
      </c>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4"/>
    </row>
    <row r="62" spans="1:37" ht="13.5" customHeight="1" x14ac:dyDescent="0.45">
      <c r="A62" s="618"/>
      <c r="B62" s="106"/>
      <c r="C62" s="115" t="s">
        <v>648</v>
      </c>
      <c r="D62" s="162"/>
      <c r="E62" s="162"/>
      <c r="F62" s="162"/>
      <c r="G62" s="162"/>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2"/>
      <c r="AJ62" s="162"/>
      <c r="AK62" s="184"/>
    </row>
    <row r="63" spans="1:37" ht="13.5" customHeight="1" x14ac:dyDescent="0.45">
      <c r="A63" s="618"/>
      <c r="B63" s="106"/>
      <c r="C63" s="115" t="s">
        <v>649</v>
      </c>
      <c r="D63" s="162"/>
      <c r="E63" s="162"/>
      <c r="F63" s="162"/>
      <c r="G63" s="162"/>
      <c r="H63" s="162"/>
      <c r="I63" s="162"/>
      <c r="J63" s="162"/>
      <c r="K63" s="162"/>
      <c r="L63" s="162"/>
      <c r="M63" s="162"/>
      <c r="N63" s="162"/>
      <c r="O63" s="162"/>
      <c r="P63" s="162"/>
      <c r="Q63" s="162"/>
      <c r="R63" s="162"/>
      <c r="S63" s="162"/>
      <c r="T63" s="162"/>
      <c r="U63" s="162"/>
      <c r="V63" s="162"/>
      <c r="W63" s="162"/>
      <c r="X63" s="162"/>
      <c r="Y63" s="162"/>
      <c r="Z63" s="162"/>
      <c r="AA63" s="162"/>
      <c r="AB63" s="162"/>
      <c r="AC63" s="162"/>
      <c r="AD63" s="162"/>
      <c r="AE63" s="162"/>
      <c r="AF63" s="162"/>
      <c r="AG63" s="162"/>
      <c r="AH63" s="162"/>
      <c r="AI63" s="162"/>
      <c r="AJ63" s="162"/>
      <c r="AK63" s="184"/>
    </row>
    <row r="64" spans="1:37" ht="13.5" customHeight="1" x14ac:dyDescent="0.45">
      <c r="A64" s="618"/>
      <c r="B64" s="106"/>
      <c r="C64" s="115" t="s">
        <v>650</v>
      </c>
      <c r="D64" s="162"/>
      <c r="E64" s="162"/>
      <c r="F64" s="162"/>
      <c r="G64" s="162"/>
      <c r="H64" s="162"/>
      <c r="I64" s="162"/>
      <c r="J64" s="162"/>
      <c r="K64" s="162"/>
      <c r="L64" s="162"/>
      <c r="M64" s="162"/>
      <c r="N64" s="162"/>
      <c r="O64" s="162"/>
      <c r="P64" s="162"/>
      <c r="Q64" s="162"/>
      <c r="R64" s="162"/>
      <c r="S64" s="162"/>
      <c r="T64" s="162"/>
      <c r="U64" s="162"/>
      <c r="V64" s="162"/>
      <c r="W64" s="162"/>
      <c r="X64" s="162"/>
      <c r="Y64" s="162"/>
      <c r="Z64" s="162"/>
      <c r="AA64" s="162"/>
      <c r="AB64" s="162"/>
      <c r="AC64" s="162"/>
      <c r="AD64" s="162"/>
      <c r="AE64" s="162"/>
      <c r="AF64" s="162"/>
      <c r="AG64" s="162"/>
      <c r="AH64" s="162"/>
      <c r="AI64" s="162"/>
      <c r="AJ64" s="162"/>
      <c r="AK64" s="184"/>
    </row>
    <row r="65" spans="1:37" ht="13.5" customHeight="1" x14ac:dyDescent="0.45">
      <c r="A65" s="618">
        <v>4</v>
      </c>
      <c r="B65" s="106"/>
      <c r="C65" s="115" t="s">
        <v>651</v>
      </c>
      <c r="D65" s="162"/>
      <c r="E65" s="162"/>
      <c r="F65" s="162"/>
      <c r="G65" s="162"/>
      <c r="H65" s="162"/>
      <c r="I65" s="162"/>
      <c r="J65" s="162"/>
      <c r="K65" s="162"/>
      <c r="L65" s="162"/>
      <c r="M65" s="162"/>
      <c r="N65" s="162"/>
      <c r="O65" s="162"/>
      <c r="P65" s="162"/>
      <c r="Q65" s="162"/>
      <c r="R65" s="162"/>
      <c r="S65" s="162"/>
      <c r="T65" s="162"/>
      <c r="U65" s="162"/>
      <c r="V65" s="162"/>
      <c r="W65" s="162"/>
      <c r="X65" s="162"/>
      <c r="Y65" s="162"/>
      <c r="Z65" s="162"/>
      <c r="AA65" s="162"/>
      <c r="AB65" s="162"/>
      <c r="AC65" s="162"/>
      <c r="AD65" s="162"/>
      <c r="AE65" s="162"/>
      <c r="AF65" s="162"/>
      <c r="AG65" s="162"/>
      <c r="AH65" s="162"/>
      <c r="AI65" s="162"/>
      <c r="AJ65" s="162"/>
      <c r="AK65" s="184"/>
    </row>
    <row r="66" spans="1:37" ht="13.5" customHeight="1" x14ac:dyDescent="0.45">
      <c r="A66" s="618"/>
      <c r="B66" s="106"/>
      <c r="C66" s="115" t="s">
        <v>735</v>
      </c>
      <c r="D66" s="162">
        <v>35.32</v>
      </c>
      <c r="E66" s="162">
        <v>35.32</v>
      </c>
      <c r="F66" s="162">
        <v>34.340000000000003</v>
      </c>
      <c r="G66" s="162">
        <v>34.340000000000003</v>
      </c>
      <c r="H66" s="162">
        <v>34.340000000000003</v>
      </c>
      <c r="I66" s="162">
        <v>34.340000000000003</v>
      </c>
      <c r="J66" s="162">
        <v>34.340000000000003</v>
      </c>
      <c r="K66" s="162">
        <v>33.770000000000003</v>
      </c>
      <c r="L66" s="162">
        <v>33.770000000000003</v>
      </c>
      <c r="M66" s="162">
        <v>33.770000000000003</v>
      </c>
      <c r="N66" s="162">
        <v>33.770000000000003</v>
      </c>
      <c r="O66" s="162">
        <v>33.770000000000003</v>
      </c>
      <c r="P66" s="162">
        <v>23.37</v>
      </c>
      <c r="Q66" s="162">
        <v>23.37</v>
      </c>
      <c r="R66" s="162">
        <v>23.37</v>
      </c>
      <c r="S66" s="162">
        <v>23.37</v>
      </c>
      <c r="T66" s="162">
        <v>23.37</v>
      </c>
      <c r="U66" s="162">
        <v>23.37</v>
      </c>
      <c r="V66" s="162">
        <v>23.37</v>
      </c>
      <c r="W66" s="162">
        <v>23.37</v>
      </c>
      <c r="X66" s="162">
        <v>23.37</v>
      </c>
      <c r="Y66" s="162">
        <v>23.37</v>
      </c>
      <c r="Z66" s="162">
        <v>23.37</v>
      </c>
      <c r="AA66" s="162">
        <v>23.37</v>
      </c>
      <c r="AB66" s="162">
        <v>23.37</v>
      </c>
      <c r="AC66" s="162">
        <v>23.37</v>
      </c>
      <c r="AD66" s="162">
        <v>23.37</v>
      </c>
      <c r="AE66" s="162">
        <v>23.37</v>
      </c>
      <c r="AF66" s="162">
        <v>23.37</v>
      </c>
      <c r="AG66" s="162">
        <v>23.37</v>
      </c>
      <c r="AH66" s="162">
        <v>23.37</v>
      </c>
      <c r="AI66" s="162">
        <v>23.37</v>
      </c>
      <c r="AJ66" s="162">
        <v>23.37</v>
      </c>
      <c r="AK66" s="184"/>
    </row>
    <row r="67" spans="1:37" ht="13.5" customHeight="1" x14ac:dyDescent="0.45">
      <c r="A67" s="618"/>
      <c r="B67" s="106"/>
      <c r="C67" s="115" t="s">
        <v>736</v>
      </c>
      <c r="D67" s="162">
        <v>35.32</v>
      </c>
      <c r="E67" s="162">
        <v>35.32</v>
      </c>
      <c r="F67" s="162">
        <v>35.32</v>
      </c>
      <c r="G67" s="162">
        <v>35.32</v>
      </c>
      <c r="H67" s="162">
        <v>35.32</v>
      </c>
      <c r="I67" s="162">
        <v>35.32</v>
      </c>
      <c r="J67" s="162">
        <v>35.32</v>
      </c>
      <c r="K67" s="162">
        <v>33.770000000000003</v>
      </c>
      <c r="L67" s="162">
        <v>33.770000000000003</v>
      </c>
      <c r="M67" s="162">
        <v>33.770000000000003</v>
      </c>
      <c r="N67" s="162">
        <v>33.770000000000003</v>
      </c>
      <c r="O67" s="162">
        <v>33.770000000000003</v>
      </c>
      <c r="P67" s="162">
        <v>23.37</v>
      </c>
      <c r="Q67" s="162">
        <v>23.37</v>
      </c>
      <c r="R67" s="162">
        <v>23.37</v>
      </c>
      <c r="S67" s="162">
        <v>23.37</v>
      </c>
      <c r="T67" s="162">
        <v>23.37</v>
      </c>
      <c r="U67" s="162">
        <v>23.37</v>
      </c>
      <c r="V67" s="162">
        <v>23.37</v>
      </c>
      <c r="W67" s="162">
        <v>23.37</v>
      </c>
      <c r="X67" s="162">
        <v>23.37</v>
      </c>
      <c r="Y67" s="162">
        <v>23.37</v>
      </c>
      <c r="Z67" s="162">
        <v>23.37</v>
      </c>
      <c r="AA67" s="162">
        <v>23.37</v>
      </c>
      <c r="AB67" s="162">
        <v>23.37</v>
      </c>
      <c r="AC67" s="162">
        <v>23.37</v>
      </c>
      <c r="AD67" s="162">
        <v>23.37</v>
      </c>
      <c r="AE67" s="162">
        <v>23.37</v>
      </c>
      <c r="AF67" s="162">
        <v>23.37</v>
      </c>
      <c r="AG67" s="162">
        <v>23.37</v>
      </c>
      <c r="AH67" s="162">
        <v>23.37</v>
      </c>
      <c r="AI67" s="162">
        <v>23.37</v>
      </c>
      <c r="AJ67" s="162">
        <v>23.37</v>
      </c>
      <c r="AK67" s="184"/>
    </row>
    <row r="68" spans="1:37" ht="13.5" customHeight="1" x14ac:dyDescent="0.45">
      <c r="A68" s="618"/>
      <c r="B68" s="106"/>
      <c r="C68" s="115" t="s">
        <v>737</v>
      </c>
      <c r="D68" s="162">
        <v>73.09</v>
      </c>
      <c r="E68" s="162">
        <v>73.09</v>
      </c>
      <c r="F68" s="162">
        <v>34.090000000000003</v>
      </c>
      <c r="G68" s="162">
        <v>34.090000000000003</v>
      </c>
      <c r="H68" s="162">
        <v>34.090000000000003</v>
      </c>
      <c r="I68" s="162">
        <v>34.090000000000003</v>
      </c>
      <c r="J68" s="162">
        <v>34.090000000000003</v>
      </c>
      <c r="K68" s="162">
        <v>33.520000000000003</v>
      </c>
      <c r="L68" s="162">
        <v>33.520000000000003</v>
      </c>
      <c r="M68" s="162">
        <v>33.520000000000003</v>
      </c>
      <c r="N68" s="162">
        <v>33.520000000000003</v>
      </c>
      <c r="O68" s="162">
        <v>33.520000000000003</v>
      </c>
      <c r="P68" s="162">
        <v>23.37</v>
      </c>
      <c r="Q68" s="162">
        <v>23.37</v>
      </c>
      <c r="R68" s="162">
        <v>23.37</v>
      </c>
      <c r="S68" s="162">
        <v>23.37</v>
      </c>
      <c r="T68" s="162">
        <v>23.37</v>
      </c>
      <c r="U68" s="162">
        <v>23.37</v>
      </c>
      <c r="V68" s="162">
        <v>23.37</v>
      </c>
      <c r="W68" s="162">
        <v>23.37</v>
      </c>
      <c r="X68" s="162">
        <v>23.37</v>
      </c>
      <c r="Y68" s="162">
        <v>23.37</v>
      </c>
      <c r="Z68" s="162">
        <v>23.37</v>
      </c>
      <c r="AA68" s="162">
        <v>23.37</v>
      </c>
      <c r="AB68" s="162">
        <v>23.37</v>
      </c>
      <c r="AC68" s="162">
        <v>23.37</v>
      </c>
      <c r="AD68" s="162">
        <v>23.37</v>
      </c>
      <c r="AE68" s="162">
        <v>23.37</v>
      </c>
      <c r="AF68" s="162">
        <v>23.37</v>
      </c>
      <c r="AG68" s="162">
        <v>23.37</v>
      </c>
      <c r="AH68" s="162">
        <v>23.37</v>
      </c>
      <c r="AI68" s="162">
        <v>23.37</v>
      </c>
      <c r="AJ68" s="162">
        <v>23.37</v>
      </c>
      <c r="AK68" s="184"/>
    </row>
    <row r="69" spans="1:37" ht="13.5" customHeight="1" x14ac:dyDescent="0.45">
      <c r="A69" s="618"/>
      <c r="B69" s="106"/>
      <c r="C69" s="115" t="s">
        <v>98</v>
      </c>
      <c r="D69" s="162"/>
      <c r="E69" s="162"/>
      <c r="F69" s="162"/>
      <c r="G69" s="162"/>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84"/>
    </row>
    <row r="70" spans="1:37" ht="13.5" customHeight="1" x14ac:dyDescent="0.45">
      <c r="A70" s="618"/>
      <c r="B70" s="106"/>
      <c r="C70" s="115" t="s">
        <v>644</v>
      </c>
      <c r="D70" s="162">
        <f t="shared" ref="D70:AJ70" si="10">SUM(D62:D64)</f>
        <v>0</v>
      </c>
      <c r="E70" s="162">
        <f t="shared" si="10"/>
        <v>0</v>
      </c>
      <c r="F70" s="162">
        <f t="shared" si="10"/>
        <v>0</v>
      </c>
      <c r="G70" s="162">
        <f t="shared" si="10"/>
        <v>0</v>
      </c>
      <c r="H70" s="162">
        <f t="shared" si="10"/>
        <v>0</v>
      </c>
      <c r="I70" s="162">
        <f t="shared" si="10"/>
        <v>0</v>
      </c>
      <c r="J70" s="162">
        <f t="shared" si="10"/>
        <v>0</v>
      </c>
      <c r="K70" s="162">
        <f t="shared" si="10"/>
        <v>0</v>
      </c>
      <c r="L70" s="162">
        <f t="shared" si="10"/>
        <v>0</v>
      </c>
      <c r="M70" s="162">
        <f t="shared" si="10"/>
        <v>0</v>
      </c>
      <c r="N70" s="162">
        <f t="shared" si="10"/>
        <v>0</v>
      </c>
      <c r="O70" s="162">
        <f t="shared" si="10"/>
        <v>0</v>
      </c>
      <c r="P70" s="162">
        <f t="shared" si="10"/>
        <v>0</v>
      </c>
      <c r="Q70" s="162">
        <f t="shared" si="10"/>
        <v>0</v>
      </c>
      <c r="R70" s="162">
        <f t="shared" si="10"/>
        <v>0</v>
      </c>
      <c r="S70" s="162">
        <f t="shared" si="10"/>
        <v>0</v>
      </c>
      <c r="T70" s="162">
        <f t="shared" si="10"/>
        <v>0</v>
      </c>
      <c r="U70" s="162">
        <f t="shared" si="10"/>
        <v>0</v>
      </c>
      <c r="V70" s="162">
        <f t="shared" si="10"/>
        <v>0</v>
      </c>
      <c r="W70" s="162">
        <f t="shared" si="10"/>
        <v>0</v>
      </c>
      <c r="X70" s="162">
        <f t="shared" si="10"/>
        <v>0</v>
      </c>
      <c r="Y70" s="162">
        <f t="shared" si="10"/>
        <v>0</v>
      </c>
      <c r="Z70" s="162">
        <f t="shared" si="10"/>
        <v>0</v>
      </c>
      <c r="AA70" s="162">
        <f t="shared" si="10"/>
        <v>0</v>
      </c>
      <c r="AB70" s="162">
        <f t="shared" si="10"/>
        <v>0</v>
      </c>
      <c r="AC70" s="162">
        <f t="shared" si="10"/>
        <v>0</v>
      </c>
      <c r="AD70" s="162">
        <f t="shared" si="10"/>
        <v>0</v>
      </c>
      <c r="AE70" s="162">
        <f t="shared" si="10"/>
        <v>0</v>
      </c>
      <c r="AF70" s="162">
        <f t="shared" si="10"/>
        <v>0</v>
      </c>
      <c r="AG70" s="162">
        <f t="shared" si="10"/>
        <v>0</v>
      </c>
      <c r="AH70" s="162">
        <f t="shared" si="10"/>
        <v>0</v>
      </c>
      <c r="AI70" s="162">
        <f t="shared" si="10"/>
        <v>0</v>
      </c>
      <c r="AJ70" s="162">
        <f t="shared" si="10"/>
        <v>0</v>
      </c>
      <c r="AK70" s="184"/>
    </row>
    <row r="71" spans="1:37" ht="13.5" customHeight="1" x14ac:dyDescent="0.45">
      <c r="A71" s="618"/>
      <c r="B71" s="118"/>
      <c r="C71" s="181"/>
      <c r="D71" s="191"/>
      <c r="E71" s="191"/>
      <c r="F71" s="191"/>
      <c r="G71" s="191"/>
      <c r="H71" s="191"/>
      <c r="I71" s="191"/>
      <c r="J71" s="191"/>
      <c r="K71" s="191"/>
      <c r="L71" s="191"/>
      <c r="M71" s="191"/>
      <c r="N71" s="191"/>
      <c r="O71" s="191"/>
      <c r="P71" s="191"/>
      <c r="Q71" s="191"/>
      <c r="R71" s="191"/>
      <c r="S71" s="191"/>
      <c r="T71" s="191"/>
      <c r="U71" s="191"/>
      <c r="V71" s="191"/>
      <c r="W71" s="191"/>
      <c r="X71" s="191"/>
      <c r="Y71" s="191"/>
      <c r="Z71" s="191"/>
      <c r="AA71" s="191"/>
      <c r="AB71" s="191"/>
      <c r="AC71" s="191"/>
      <c r="AD71" s="191"/>
      <c r="AE71" s="191"/>
      <c r="AF71" s="191"/>
      <c r="AG71" s="191"/>
      <c r="AH71" s="191"/>
      <c r="AI71" s="191"/>
      <c r="AJ71" s="191"/>
      <c r="AK71" s="192"/>
    </row>
    <row r="72" spans="1:37" ht="13.5" customHeight="1" x14ac:dyDescent="0.4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3.5" customHeight="1" x14ac:dyDescent="0.45">
      <c r="A73" s="618"/>
      <c r="B73" s="26"/>
      <c r="C73" s="211"/>
      <c r="D73" s="211"/>
      <c r="E73" s="211"/>
      <c r="F73" s="211"/>
      <c r="G73" s="211"/>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c r="AK73" s="351"/>
    </row>
    <row r="74" spans="1:37" ht="13.5" customHeight="1" x14ac:dyDescent="0.45">
      <c r="A74" s="618">
        <v>2</v>
      </c>
      <c r="B74" s="215"/>
      <c r="C74" s="243" t="s">
        <v>652</v>
      </c>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352"/>
    </row>
    <row r="75" spans="1:37" ht="13.5" customHeight="1" x14ac:dyDescent="0.45">
      <c r="A75" s="618"/>
      <c r="B75" s="215"/>
      <c r="C75" s="243"/>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352"/>
    </row>
    <row r="76" spans="1:37" ht="13.5" customHeight="1" x14ac:dyDescent="0.45">
      <c r="A76" s="618"/>
      <c r="B76" s="215"/>
      <c r="C76" s="243" t="s">
        <v>738</v>
      </c>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352"/>
    </row>
    <row r="77" spans="1:37" ht="13.5" customHeight="1" x14ac:dyDescent="0.45">
      <c r="A77" s="618"/>
      <c r="B77" s="215"/>
      <c r="C77" s="243"/>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352"/>
    </row>
    <row r="78" spans="1:37" ht="13.5" customHeight="1" x14ac:dyDescent="0.45">
      <c r="A78" s="618"/>
      <c r="B78" s="215"/>
      <c r="C78" s="72" t="s">
        <v>166</v>
      </c>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4"/>
      <c r="AK78" s="352"/>
    </row>
    <row r="79" spans="1:37" ht="13.5" customHeight="1" x14ac:dyDescent="0.45">
      <c r="A79" s="618"/>
      <c r="B79" s="215"/>
      <c r="C79" s="75" t="s">
        <v>739</v>
      </c>
      <c r="D79" s="422"/>
      <c r="E79" s="422"/>
      <c r="F79" s="422"/>
      <c r="G79" s="422"/>
      <c r="H79" s="422"/>
      <c r="I79" s="422"/>
      <c r="J79" s="422"/>
      <c r="K79" s="422"/>
      <c r="L79" s="422"/>
      <c r="M79" s="422"/>
      <c r="N79" s="422"/>
      <c r="O79" s="422"/>
      <c r="P79" s="422"/>
      <c r="Q79" s="422"/>
      <c r="R79" s="422"/>
      <c r="S79" s="422"/>
      <c r="T79" s="422"/>
      <c r="U79" s="422"/>
      <c r="V79" s="422"/>
      <c r="W79" s="422"/>
      <c r="X79" s="422"/>
      <c r="Y79" s="422"/>
      <c r="Z79" s="422"/>
      <c r="AA79" s="422"/>
      <c r="AB79" s="422"/>
      <c r="AC79" s="422"/>
      <c r="AD79" s="422"/>
      <c r="AE79" s="422"/>
      <c r="AF79" s="422"/>
      <c r="AG79" s="422"/>
      <c r="AH79" s="422"/>
      <c r="AI79" s="422"/>
      <c r="AJ79" s="76"/>
      <c r="AK79" s="352"/>
    </row>
    <row r="80" spans="1:37" ht="13.5" customHeight="1" x14ac:dyDescent="0.45">
      <c r="A80" s="618"/>
      <c r="B80" s="215"/>
      <c r="C80" s="77" t="s">
        <v>740</v>
      </c>
      <c r="D80" s="285">
        <v>2712</v>
      </c>
      <c r="E80" s="285">
        <v>2712</v>
      </c>
      <c r="F80" s="285">
        <v>2712</v>
      </c>
      <c r="G80" s="285">
        <v>2712</v>
      </c>
      <c r="H80" s="285">
        <v>2712</v>
      </c>
      <c r="I80" s="285">
        <v>2712</v>
      </c>
      <c r="J80" s="285">
        <v>2712</v>
      </c>
      <c r="K80" s="285">
        <v>2712</v>
      </c>
      <c r="L80" s="285">
        <v>2712</v>
      </c>
      <c r="M80" s="285">
        <v>2712</v>
      </c>
      <c r="N80" s="285">
        <v>2712</v>
      </c>
      <c r="O80" s="285">
        <v>2712</v>
      </c>
      <c r="P80" s="285">
        <v>2712</v>
      </c>
      <c r="Q80" s="285">
        <v>2712</v>
      </c>
      <c r="R80" s="285">
        <v>2712</v>
      </c>
      <c r="S80" s="285">
        <v>2712</v>
      </c>
      <c r="T80" s="285">
        <v>2712</v>
      </c>
      <c r="U80" s="285">
        <v>2712</v>
      </c>
      <c r="V80" s="285">
        <v>2712</v>
      </c>
      <c r="W80" s="285">
        <v>2712</v>
      </c>
      <c r="X80" s="285">
        <v>2712</v>
      </c>
      <c r="Y80" s="285">
        <v>2712</v>
      </c>
      <c r="Z80" s="285">
        <v>2712</v>
      </c>
      <c r="AA80" s="285">
        <v>2712</v>
      </c>
      <c r="AB80" s="285">
        <v>2712</v>
      </c>
      <c r="AC80" s="285">
        <v>2712</v>
      </c>
      <c r="AD80" s="285">
        <v>2712</v>
      </c>
      <c r="AE80" s="285">
        <v>2712</v>
      </c>
      <c r="AF80" s="285">
        <v>2712</v>
      </c>
      <c r="AG80" s="285">
        <v>2712</v>
      </c>
      <c r="AH80" s="285">
        <v>2712</v>
      </c>
      <c r="AI80" s="285">
        <v>2712</v>
      </c>
      <c r="AJ80" s="78">
        <v>2712</v>
      </c>
      <c r="AK80" s="352"/>
    </row>
    <row r="81" spans="1:37" ht="13.5" customHeight="1" x14ac:dyDescent="0.45">
      <c r="A81" s="618"/>
      <c r="B81" s="215"/>
      <c r="C81" s="77" t="s">
        <v>741</v>
      </c>
      <c r="D81" s="285">
        <v>2712</v>
      </c>
      <c r="E81" s="285">
        <v>2712</v>
      </c>
      <c r="F81" s="285">
        <v>2712</v>
      </c>
      <c r="G81" s="285">
        <v>2712</v>
      </c>
      <c r="H81" s="285">
        <v>2712</v>
      </c>
      <c r="I81" s="285">
        <v>2712</v>
      </c>
      <c r="J81" s="285">
        <v>2712</v>
      </c>
      <c r="K81" s="285">
        <v>2606</v>
      </c>
      <c r="L81" s="285">
        <v>2606</v>
      </c>
      <c r="M81" s="285">
        <v>2606</v>
      </c>
      <c r="N81" s="285">
        <v>2606</v>
      </c>
      <c r="O81" s="285">
        <v>2606</v>
      </c>
      <c r="P81" s="285">
        <v>2500</v>
      </c>
      <c r="Q81" s="285">
        <v>2500</v>
      </c>
      <c r="R81" s="285">
        <v>2500</v>
      </c>
      <c r="S81" s="285">
        <v>2500</v>
      </c>
      <c r="T81" s="285">
        <v>2500</v>
      </c>
      <c r="U81" s="285">
        <v>2473</v>
      </c>
      <c r="V81" s="285">
        <v>2473</v>
      </c>
      <c r="W81" s="285">
        <v>2473</v>
      </c>
      <c r="X81" s="285">
        <v>2473</v>
      </c>
      <c r="Y81" s="285">
        <v>2473</v>
      </c>
      <c r="Z81" s="285">
        <v>2446</v>
      </c>
      <c r="AA81" s="285">
        <v>2446</v>
      </c>
      <c r="AB81" s="285">
        <v>2446</v>
      </c>
      <c r="AC81" s="285">
        <v>2446</v>
      </c>
      <c r="AD81" s="285">
        <v>2446</v>
      </c>
      <c r="AE81" s="285">
        <v>2419</v>
      </c>
      <c r="AF81" s="285">
        <v>2419</v>
      </c>
      <c r="AG81" s="285">
        <v>2419</v>
      </c>
      <c r="AH81" s="285">
        <v>2419</v>
      </c>
      <c r="AI81" s="285">
        <v>2419</v>
      </c>
      <c r="AJ81" s="78">
        <v>2392</v>
      </c>
      <c r="AK81" s="352"/>
    </row>
    <row r="82" spans="1:37" ht="13.5" customHeight="1" x14ac:dyDescent="0.45">
      <c r="A82" s="618"/>
      <c r="B82" s="215"/>
      <c r="C82" s="75" t="s">
        <v>742</v>
      </c>
      <c r="D82" s="422"/>
      <c r="E82" s="422"/>
      <c r="F82" s="422"/>
      <c r="G82" s="422"/>
      <c r="H82" s="422"/>
      <c r="I82" s="422"/>
      <c r="J82" s="422"/>
      <c r="K82" s="422"/>
      <c r="L82" s="422"/>
      <c r="M82" s="422"/>
      <c r="N82" s="422"/>
      <c r="O82" s="422"/>
      <c r="P82" s="422"/>
      <c r="Q82" s="422"/>
      <c r="R82" s="422"/>
      <c r="S82" s="422"/>
      <c r="T82" s="422"/>
      <c r="U82" s="422"/>
      <c r="V82" s="422"/>
      <c r="W82" s="422"/>
      <c r="X82" s="422"/>
      <c r="Y82" s="422"/>
      <c r="Z82" s="422"/>
      <c r="AA82" s="422"/>
      <c r="AB82" s="422"/>
      <c r="AC82" s="422"/>
      <c r="AD82" s="422"/>
      <c r="AE82" s="422"/>
      <c r="AF82" s="422"/>
      <c r="AG82" s="422"/>
      <c r="AH82" s="422"/>
      <c r="AI82" s="422"/>
      <c r="AJ82" s="76"/>
      <c r="AK82" s="352"/>
    </row>
    <row r="83" spans="1:37" ht="13.5" customHeight="1" x14ac:dyDescent="0.45">
      <c r="A83" s="618"/>
      <c r="B83" s="215"/>
      <c r="C83" s="79" t="s">
        <v>743</v>
      </c>
      <c r="D83" s="423">
        <v>2500</v>
      </c>
      <c r="E83" s="423">
        <v>2500</v>
      </c>
      <c r="F83" s="423">
        <v>2500</v>
      </c>
      <c r="G83" s="423">
        <v>2500</v>
      </c>
      <c r="H83" s="423">
        <v>2500</v>
      </c>
      <c r="I83" s="423">
        <v>2500</v>
      </c>
      <c r="J83" s="423">
        <v>2500</v>
      </c>
      <c r="K83" s="423">
        <v>2500</v>
      </c>
      <c r="L83" s="423">
        <v>2500</v>
      </c>
      <c r="M83" s="423">
        <v>2500</v>
      </c>
      <c r="N83" s="423">
        <v>2500</v>
      </c>
      <c r="O83" s="423">
        <v>2500</v>
      </c>
      <c r="P83" s="423">
        <v>2500</v>
      </c>
      <c r="Q83" s="423">
        <v>2500</v>
      </c>
      <c r="R83" s="423">
        <v>2500</v>
      </c>
      <c r="S83" s="423">
        <v>2500</v>
      </c>
      <c r="T83" s="423">
        <v>2500</v>
      </c>
      <c r="U83" s="423">
        <v>2500</v>
      </c>
      <c r="V83" s="423">
        <v>2500</v>
      </c>
      <c r="W83" s="423">
        <v>2500</v>
      </c>
      <c r="X83" s="423">
        <v>2500</v>
      </c>
      <c r="Y83" s="423">
        <v>2500</v>
      </c>
      <c r="Z83" s="423">
        <v>2500</v>
      </c>
      <c r="AA83" s="423">
        <v>2500</v>
      </c>
      <c r="AB83" s="423">
        <v>2500</v>
      </c>
      <c r="AC83" s="423">
        <v>2500</v>
      </c>
      <c r="AD83" s="423">
        <v>2500</v>
      </c>
      <c r="AE83" s="423">
        <v>2500</v>
      </c>
      <c r="AF83" s="423">
        <v>2500</v>
      </c>
      <c r="AG83" s="423">
        <v>2500</v>
      </c>
      <c r="AH83" s="423">
        <v>2500</v>
      </c>
      <c r="AI83" s="423">
        <v>2500</v>
      </c>
      <c r="AJ83" s="80">
        <v>2500</v>
      </c>
      <c r="AK83" s="352"/>
    </row>
    <row r="84" spans="1:37" ht="13.5" customHeight="1" x14ac:dyDescent="0.45">
      <c r="A84" s="618"/>
      <c r="B84" s="215"/>
      <c r="C84" s="79" t="s">
        <v>744</v>
      </c>
      <c r="D84" s="423">
        <v>3300</v>
      </c>
      <c r="E84" s="423">
        <v>3300</v>
      </c>
      <c r="F84" s="423">
        <v>3300</v>
      </c>
      <c r="G84" s="423">
        <v>3300</v>
      </c>
      <c r="H84" s="423">
        <v>3300</v>
      </c>
      <c r="I84" s="423">
        <v>3300</v>
      </c>
      <c r="J84" s="423">
        <v>3300</v>
      </c>
      <c r="K84" s="423">
        <v>3300</v>
      </c>
      <c r="L84" s="423">
        <v>3300</v>
      </c>
      <c r="M84" s="423">
        <v>3300</v>
      </c>
      <c r="N84" s="423">
        <v>3300</v>
      </c>
      <c r="O84" s="423">
        <v>3300</v>
      </c>
      <c r="P84" s="423">
        <v>3300</v>
      </c>
      <c r="Q84" s="423">
        <v>3300</v>
      </c>
      <c r="R84" s="423">
        <v>3300</v>
      </c>
      <c r="S84" s="423">
        <v>3300</v>
      </c>
      <c r="T84" s="423">
        <v>3300</v>
      </c>
      <c r="U84" s="423">
        <v>3300</v>
      </c>
      <c r="V84" s="423">
        <v>3300</v>
      </c>
      <c r="W84" s="423">
        <v>3300</v>
      </c>
      <c r="X84" s="423">
        <v>3300</v>
      </c>
      <c r="Y84" s="423">
        <v>3300</v>
      </c>
      <c r="Z84" s="423">
        <v>3300</v>
      </c>
      <c r="AA84" s="423">
        <v>3300</v>
      </c>
      <c r="AB84" s="423">
        <v>3300</v>
      </c>
      <c r="AC84" s="423">
        <v>3300</v>
      </c>
      <c r="AD84" s="423">
        <v>3300</v>
      </c>
      <c r="AE84" s="423">
        <v>3300</v>
      </c>
      <c r="AF84" s="423">
        <v>3300</v>
      </c>
      <c r="AG84" s="423">
        <v>3300</v>
      </c>
      <c r="AH84" s="423">
        <v>3300</v>
      </c>
      <c r="AI84" s="423">
        <v>3300</v>
      </c>
      <c r="AJ84" s="80">
        <v>3300</v>
      </c>
      <c r="AK84" s="352"/>
    </row>
    <row r="85" spans="1:37" ht="13.5" customHeight="1" x14ac:dyDescent="0.45">
      <c r="A85" s="618"/>
      <c r="B85" s="215"/>
      <c r="C85" s="81" t="s">
        <v>171</v>
      </c>
      <c r="D85" s="224"/>
      <c r="E85" s="314"/>
      <c r="F85" s="314"/>
      <c r="G85" s="314"/>
      <c r="H85" s="314"/>
      <c r="I85" s="314"/>
      <c r="J85" s="314"/>
      <c r="K85" s="314"/>
      <c r="L85" s="314"/>
      <c r="M85" s="314"/>
      <c r="N85" s="314"/>
      <c r="O85" s="314"/>
      <c r="P85" s="314"/>
      <c r="Q85" s="314"/>
      <c r="R85" s="314"/>
      <c r="S85" s="314"/>
      <c r="T85" s="314"/>
      <c r="U85" s="314"/>
      <c r="V85" s="314"/>
      <c r="W85" s="314"/>
      <c r="X85" s="314"/>
      <c r="Y85" s="314"/>
      <c r="Z85" s="314"/>
      <c r="AA85" s="314"/>
      <c r="AB85" s="314"/>
      <c r="AC85" s="314"/>
      <c r="AD85" s="314"/>
      <c r="AE85" s="314"/>
      <c r="AF85" s="314"/>
      <c r="AG85" s="314"/>
      <c r="AH85" s="314"/>
      <c r="AI85" s="314"/>
      <c r="AJ85" s="82"/>
      <c r="AK85" s="352"/>
    </row>
    <row r="86" spans="1:37" ht="13.5" customHeight="1" x14ac:dyDescent="0.45">
      <c r="A86" s="618"/>
      <c r="B86" s="215"/>
      <c r="C86" s="75" t="s">
        <v>745</v>
      </c>
      <c r="D86" s="422"/>
      <c r="E86" s="422"/>
      <c r="F86" s="422"/>
      <c r="G86" s="422"/>
      <c r="H86" s="422"/>
      <c r="I86" s="422"/>
      <c r="J86" s="422"/>
      <c r="K86" s="422"/>
      <c r="L86" s="422"/>
      <c r="M86" s="422"/>
      <c r="N86" s="422"/>
      <c r="O86" s="422"/>
      <c r="P86" s="422"/>
      <c r="Q86" s="422"/>
      <c r="R86" s="422"/>
      <c r="S86" s="422"/>
      <c r="T86" s="422"/>
      <c r="U86" s="422"/>
      <c r="V86" s="422"/>
      <c r="W86" s="422"/>
      <c r="X86" s="422"/>
      <c r="Y86" s="422"/>
      <c r="Z86" s="422"/>
      <c r="AA86" s="422"/>
      <c r="AB86" s="422"/>
      <c r="AC86" s="422"/>
      <c r="AD86" s="422"/>
      <c r="AE86" s="422"/>
      <c r="AF86" s="422"/>
      <c r="AG86" s="422"/>
      <c r="AH86" s="422"/>
      <c r="AI86" s="422"/>
      <c r="AJ86" s="76"/>
      <c r="AK86" s="352"/>
    </row>
    <row r="87" spans="1:37" ht="13.5" customHeight="1" x14ac:dyDescent="0.45">
      <c r="A87" s="618"/>
      <c r="B87" s="215"/>
      <c r="C87" s="83" t="s">
        <v>746</v>
      </c>
      <c r="D87" s="285">
        <v>2530</v>
      </c>
      <c r="E87" s="285">
        <v>2530</v>
      </c>
      <c r="F87" s="285">
        <v>2530</v>
      </c>
      <c r="G87" s="285">
        <v>2530</v>
      </c>
      <c r="H87" s="285">
        <v>2530</v>
      </c>
      <c r="I87" s="285">
        <v>2530</v>
      </c>
      <c r="J87" s="285">
        <v>2530</v>
      </c>
      <c r="K87" s="285">
        <v>2530</v>
      </c>
      <c r="L87" s="285">
        <v>2530</v>
      </c>
      <c r="M87" s="285">
        <v>2530</v>
      </c>
      <c r="N87" s="285">
        <v>2530</v>
      </c>
      <c r="O87" s="285">
        <v>2530</v>
      </c>
      <c r="P87" s="285">
        <v>2533</v>
      </c>
      <c r="Q87" s="285">
        <v>2533</v>
      </c>
      <c r="R87" s="285">
        <v>2533</v>
      </c>
      <c r="S87" s="285">
        <v>2533</v>
      </c>
      <c r="T87" s="285">
        <v>2533</v>
      </c>
      <c r="U87" s="285">
        <v>2533</v>
      </c>
      <c r="V87" s="285">
        <v>2533</v>
      </c>
      <c r="W87" s="285">
        <v>2533</v>
      </c>
      <c r="X87" s="285">
        <v>2533</v>
      </c>
      <c r="Y87" s="285">
        <v>2533</v>
      </c>
      <c r="Z87" s="285">
        <v>2533</v>
      </c>
      <c r="AA87" s="285">
        <v>2533</v>
      </c>
      <c r="AB87" s="285">
        <v>2533</v>
      </c>
      <c r="AC87" s="285">
        <v>2533</v>
      </c>
      <c r="AD87" s="285">
        <v>2533</v>
      </c>
      <c r="AE87" s="285">
        <v>2533</v>
      </c>
      <c r="AF87" s="285">
        <v>2533</v>
      </c>
      <c r="AG87" s="285">
        <v>2533</v>
      </c>
      <c r="AH87" s="285">
        <v>2533</v>
      </c>
      <c r="AI87" s="285">
        <v>2533</v>
      </c>
      <c r="AJ87" s="78">
        <v>2537</v>
      </c>
      <c r="AK87" s="352"/>
    </row>
    <row r="88" spans="1:37" ht="13.5" customHeight="1" x14ac:dyDescent="0.45">
      <c r="A88" s="618"/>
      <c r="B88" s="215"/>
      <c r="C88" s="83" t="s">
        <v>747</v>
      </c>
      <c r="D88" s="285">
        <v>2286</v>
      </c>
      <c r="E88" s="285">
        <v>2286</v>
      </c>
      <c r="F88" s="285">
        <v>2286</v>
      </c>
      <c r="G88" s="285">
        <v>2286</v>
      </c>
      <c r="H88" s="285">
        <v>2286</v>
      </c>
      <c r="I88" s="285">
        <v>2286</v>
      </c>
      <c r="J88" s="285">
        <v>2286</v>
      </c>
      <c r="K88" s="285">
        <v>2286</v>
      </c>
      <c r="L88" s="285">
        <v>2286</v>
      </c>
      <c r="M88" s="285">
        <v>2286</v>
      </c>
      <c r="N88" s="285">
        <v>2286</v>
      </c>
      <c r="O88" s="285">
        <v>2286</v>
      </c>
      <c r="P88" s="285">
        <v>1639.5</v>
      </c>
      <c r="Q88" s="285">
        <v>1639.5</v>
      </c>
      <c r="R88" s="285">
        <v>1639.5</v>
      </c>
      <c r="S88" s="285">
        <v>1639.5</v>
      </c>
      <c r="T88" s="285">
        <v>1639.5</v>
      </c>
      <c r="U88" s="285">
        <v>1639.5</v>
      </c>
      <c r="V88" s="285">
        <v>1639.5</v>
      </c>
      <c r="W88" s="285">
        <v>1639.5</v>
      </c>
      <c r="X88" s="285">
        <v>1639.5</v>
      </c>
      <c r="Y88" s="285">
        <v>1639.5</v>
      </c>
      <c r="Z88" s="285">
        <v>1639.5</v>
      </c>
      <c r="AA88" s="285">
        <v>1639.5</v>
      </c>
      <c r="AB88" s="285">
        <v>1639.5</v>
      </c>
      <c r="AC88" s="285">
        <v>1639.5</v>
      </c>
      <c r="AD88" s="285">
        <v>1639.5</v>
      </c>
      <c r="AE88" s="285">
        <v>1639.5</v>
      </c>
      <c r="AF88" s="285">
        <v>1639.5</v>
      </c>
      <c r="AG88" s="285">
        <v>1639.5</v>
      </c>
      <c r="AH88" s="285">
        <v>1639.5</v>
      </c>
      <c r="AI88" s="285">
        <v>1639.5</v>
      </c>
      <c r="AJ88" s="78">
        <v>1158</v>
      </c>
      <c r="AK88" s="352"/>
    </row>
    <row r="89" spans="1:37" ht="13.5" customHeight="1" x14ac:dyDescent="0.45">
      <c r="A89" s="618"/>
      <c r="B89" s="215"/>
      <c r="C89" s="81" t="s">
        <v>172</v>
      </c>
      <c r="D89" s="314"/>
      <c r="E89" s="314"/>
      <c r="F89" s="314"/>
      <c r="G89" s="314"/>
      <c r="H89" s="314"/>
      <c r="I89" s="314"/>
      <c r="J89" s="314"/>
      <c r="K89" s="314"/>
      <c r="L89" s="314"/>
      <c r="M89" s="314"/>
      <c r="N89" s="314"/>
      <c r="O89" s="314"/>
      <c r="P89" s="314"/>
      <c r="Q89" s="314"/>
      <c r="R89" s="314"/>
      <c r="S89" s="314"/>
      <c r="T89" s="314"/>
      <c r="U89" s="314"/>
      <c r="V89" s="314"/>
      <c r="W89" s="314"/>
      <c r="X89" s="314"/>
      <c r="Y89" s="314"/>
      <c r="Z89" s="314"/>
      <c r="AA89" s="314"/>
      <c r="AB89" s="314"/>
      <c r="AC89" s="314"/>
      <c r="AD89" s="314"/>
      <c r="AE89" s="314"/>
      <c r="AF89" s="314"/>
      <c r="AG89" s="314"/>
      <c r="AH89" s="314"/>
      <c r="AI89" s="314"/>
      <c r="AJ89" s="82"/>
      <c r="AK89" s="352"/>
    </row>
    <row r="90" spans="1:37" ht="13.5" customHeight="1" x14ac:dyDescent="0.45">
      <c r="A90" s="618"/>
      <c r="B90" s="215"/>
      <c r="C90" s="75" t="s">
        <v>748</v>
      </c>
      <c r="D90" s="422"/>
      <c r="E90" s="422"/>
      <c r="F90" s="422"/>
      <c r="G90" s="422"/>
      <c r="H90" s="422"/>
      <c r="I90" s="422"/>
      <c r="J90" s="422"/>
      <c r="K90" s="422"/>
      <c r="L90" s="422"/>
      <c r="M90" s="422"/>
      <c r="N90" s="422"/>
      <c r="O90" s="422"/>
      <c r="P90" s="422"/>
      <c r="Q90" s="422"/>
      <c r="R90" s="422"/>
      <c r="S90" s="422"/>
      <c r="T90" s="422"/>
      <c r="U90" s="422"/>
      <c r="V90" s="422"/>
      <c r="W90" s="422"/>
      <c r="X90" s="422"/>
      <c r="Y90" s="422"/>
      <c r="Z90" s="422"/>
      <c r="AA90" s="422"/>
      <c r="AB90" s="422"/>
      <c r="AC90" s="422"/>
      <c r="AD90" s="422"/>
      <c r="AE90" s="422"/>
      <c r="AF90" s="422"/>
      <c r="AG90" s="422"/>
      <c r="AH90" s="422"/>
      <c r="AI90" s="422"/>
      <c r="AJ90" s="76"/>
      <c r="AK90" s="352"/>
    </row>
    <row r="91" spans="1:37" ht="13.5" customHeight="1" x14ac:dyDescent="0.45">
      <c r="A91" s="618"/>
      <c r="B91" s="215"/>
      <c r="C91" s="79" t="s">
        <v>749</v>
      </c>
      <c r="D91" s="423"/>
      <c r="E91" s="423"/>
      <c r="F91" s="423"/>
      <c r="G91" s="423"/>
      <c r="H91" s="423"/>
      <c r="I91" s="423"/>
      <c r="J91" s="423"/>
      <c r="K91" s="423"/>
      <c r="L91" s="423"/>
      <c r="M91" s="423"/>
      <c r="N91" s="423"/>
      <c r="O91" s="423"/>
      <c r="P91" s="423"/>
      <c r="Q91" s="423"/>
      <c r="R91" s="423"/>
      <c r="S91" s="423"/>
      <c r="T91" s="423"/>
      <c r="U91" s="423"/>
      <c r="V91" s="423"/>
      <c r="W91" s="423"/>
      <c r="X91" s="423"/>
      <c r="Y91" s="423"/>
      <c r="Z91" s="423"/>
      <c r="AA91" s="423"/>
      <c r="AB91" s="423"/>
      <c r="AC91" s="423"/>
      <c r="AD91" s="423"/>
      <c r="AE91" s="423"/>
      <c r="AF91" s="423"/>
      <c r="AG91" s="423"/>
      <c r="AH91" s="423"/>
      <c r="AI91" s="423"/>
      <c r="AJ91" s="80"/>
      <c r="AK91" s="352"/>
    </row>
    <row r="92" spans="1:37" ht="13.5" customHeight="1" x14ac:dyDescent="0.45">
      <c r="A92" s="618"/>
      <c r="B92" s="215"/>
      <c r="C92" s="84" t="s">
        <v>750</v>
      </c>
      <c r="D92" s="423"/>
      <c r="E92" s="423"/>
      <c r="F92" s="423"/>
      <c r="G92" s="423"/>
      <c r="H92" s="423"/>
      <c r="I92" s="423"/>
      <c r="J92" s="423"/>
      <c r="K92" s="423"/>
      <c r="L92" s="423"/>
      <c r="M92" s="423"/>
      <c r="N92" s="423"/>
      <c r="O92" s="423"/>
      <c r="P92" s="423"/>
      <c r="Q92" s="423"/>
      <c r="R92" s="423"/>
      <c r="S92" s="423"/>
      <c r="T92" s="423"/>
      <c r="U92" s="423"/>
      <c r="V92" s="423"/>
      <c r="W92" s="423"/>
      <c r="X92" s="423"/>
      <c r="Y92" s="423"/>
      <c r="Z92" s="423"/>
      <c r="AA92" s="423"/>
      <c r="AB92" s="423"/>
      <c r="AC92" s="423"/>
      <c r="AD92" s="423"/>
      <c r="AE92" s="423"/>
      <c r="AF92" s="423"/>
      <c r="AG92" s="423"/>
      <c r="AH92" s="423"/>
      <c r="AI92" s="423"/>
      <c r="AJ92" s="80"/>
      <c r="AK92" s="352"/>
    </row>
    <row r="93" spans="1:37" ht="13.5" customHeight="1" x14ac:dyDescent="0.45">
      <c r="A93" s="618"/>
      <c r="B93" s="215"/>
      <c r="C93" s="77" t="s">
        <v>751</v>
      </c>
      <c r="D93" s="285" t="s">
        <v>221</v>
      </c>
      <c r="E93" s="285" t="s">
        <v>221</v>
      </c>
      <c r="F93" s="285" t="s">
        <v>221</v>
      </c>
      <c r="G93" s="285" t="s">
        <v>221</v>
      </c>
      <c r="H93" s="285" t="s">
        <v>221</v>
      </c>
      <c r="I93" s="285" t="s">
        <v>221</v>
      </c>
      <c r="J93" s="285" t="s">
        <v>221</v>
      </c>
      <c r="K93" s="285" t="s">
        <v>221</v>
      </c>
      <c r="L93" s="285" t="s">
        <v>221</v>
      </c>
      <c r="M93" s="285" t="s">
        <v>221</v>
      </c>
      <c r="N93" s="285" t="s">
        <v>221</v>
      </c>
      <c r="O93" s="285" t="s">
        <v>221</v>
      </c>
      <c r="P93" s="285" t="s">
        <v>221</v>
      </c>
      <c r="Q93" s="285" t="s">
        <v>221</v>
      </c>
      <c r="R93" s="285" t="s">
        <v>221</v>
      </c>
      <c r="S93" s="285" t="s">
        <v>221</v>
      </c>
      <c r="T93" s="285" t="s">
        <v>221</v>
      </c>
      <c r="U93" s="285" t="s">
        <v>221</v>
      </c>
      <c r="V93" s="285" t="s">
        <v>221</v>
      </c>
      <c r="W93" s="285" t="s">
        <v>221</v>
      </c>
      <c r="X93" s="285" t="s">
        <v>221</v>
      </c>
      <c r="Y93" s="285" t="s">
        <v>221</v>
      </c>
      <c r="Z93" s="285" t="s">
        <v>221</v>
      </c>
      <c r="AA93" s="285" t="s">
        <v>221</v>
      </c>
      <c r="AB93" s="285" t="s">
        <v>221</v>
      </c>
      <c r="AC93" s="285" t="s">
        <v>221</v>
      </c>
      <c r="AD93" s="285" t="s">
        <v>221</v>
      </c>
      <c r="AE93" s="285" t="s">
        <v>221</v>
      </c>
      <c r="AF93" s="285" t="s">
        <v>221</v>
      </c>
      <c r="AG93" s="285" t="s">
        <v>221</v>
      </c>
      <c r="AH93" s="285" t="s">
        <v>221</v>
      </c>
      <c r="AI93" s="285" t="s">
        <v>221</v>
      </c>
      <c r="AJ93" s="78" t="s">
        <v>221</v>
      </c>
      <c r="AK93" s="352"/>
    </row>
    <row r="94" spans="1:37" ht="13.5" customHeight="1" x14ac:dyDescent="0.45">
      <c r="A94" s="618"/>
      <c r="B94" s="215"/>
      <c r="C94" s="77" t="s">
        <v>752</v>
      </c>
      <c r="D94" s="285">
        <v>5065</v>
      </c>
      <c r="E94" s="285">
        <v>5065</v>
      </c>
      <c r="F94" s="285">
        <v>5065</v>
      </c>
      <c r="G94" s="285">
        <v>5065</v>
      </c>
      <c r="H94" s="285">
        <v>5065</v>
      </c>
      <c r="I94" s="285">
        <v>5065</v>
      </c>
      <c r="J94" s="285">
        <v>5065</v>
      </c>
      <c r="K94" s="285">
        <v>5065</v>
      </c>
      <c r="L94" s="285">
        <v>5065</v>
      </c>
      <c r="M94" s="285">
        <v>5065</v>
      </c>
      <c r="N94" s="285">
        <v>5065</v>
      </c>
      <c r="O94" s="285">
        <v>5065</v>
      </c>
      <c r="P94" s="285">
        <v>5065</v>
      </c>
      <c r="Q94" s="285">
        <v>5065</v>
      </c>
      <c r="R94" s="285">
        <v>5065</v>
      </c>
      <c r="S94" s="285">
        <v>5065</v>
      </c>
      <c r="T94" s="285">
        <v>5065</v>
      </c>
      <c r="U94" s="285">
        <v>5065</v>
      </c>
      <c r="V94" s="285">
        <v>5065</v>
      </c>
      <c r="W94" s="285">
        <v>5065</v>
      </c>
      <c r="X94" s="285">
        <v>5065</v>
      </c>
      <c r="Y94" s="285">
        <v>5065</v>
      </c>
      <c r="Z94" s="285">
        <v>5065</v>
      </c>
      <c r="AA94" s="285">
        <v>5065</v>
      </c>
      <c r="AB94" s="285">
        <v>5065</v>
      </c>
      <c r="AC94" s="285">
        <v>5065</v>
      </c>
      <c r="AD94" s="285">
        <v>5065</v>
      </c>
      <c r="AE94" s="285">
        <v>5065</v>
      </c>
      <c r="AF94" s="285">
        <v>5065</v>
      </c>
      <c r="AG94" s="285">
        <v>5065</v>
      </c>
      <c r="AH94" s="285">
        <v>5065</v>
      </c>
      <c r="AI94" s="285">
        <v>5065</v>
      </c>
      <c r="AJ94" s="78">
        <v>5065</v>
      </c>
      <c r="AK94" s="352"/>
    </row>
    <row r="95" spans="1:37" ht="13.5" customHeight="1" x14ac:dyDescent="0.45">
      <c r="A95" s="618"/>
      <c r="B95" s="215"/>
      <c r="C95" s="77" t="s">
        <v>753</v>
      </c>
      <c r="D95" s="285">
        <v>3360</v>
      </c>
      <c r="E95" s="285">
        <v>3360</v>
      </c>
      <c r="F95" s="285">
        <v>3360</v>
      </c>
      <c r="G95" s="285">
        <v>3360</v>
      </c>
      <c r="H95" s="285">
        <v>3360</v>
      </c>
      <c r="I95" s="285">
        <v>3360</v>
      </c>
      <c r="J95" s="285">
        <v>3360</v>
      </c>
      <c r="K95" s="285">
        <v>3360</v>
      </c>
      <c r="L95" s="285">
        <v>3360</v>
      </c>
      <c r="M95" s="285">
        <v>3360</v>
      </c>
      <c r="N95" s="285">
        <v>3360</v>
      </c>
      <c r="O95" s="285">
        <v>3360</v>
      </c>
      <c r="P95" s="285">
        <v>3360</v>
      </c>
      <c r="Q95" s="285">
        <v>3360</v>
      </c>
      <c r="R95" s="285">
        <v>3360</v>
      </c>
      <c r="S95" s="285">
        <v>3360</v>
      </c>
      <c r="T95" s="285">
        <v>3360</v>
      </c>
      <c r="U95" s="285">
        <v>3360</v>
      </c>
      <c r="V95" s="285">
        <v>3360</v>
      </c>
      <c r="W95" s="285">
        <v>3360</v>
      </c>
      <c r="X95" s="285">
        <v>3360</v>
      </c>
      <c r="Y95" s="285">
        <v>3360</v>
      </c>
      <c r="Z95" s="285">
        <v>3360</v>
      </c>
      <c r="AA95" s="285">
        <v>3360</v>
      </c>
      <c r="AB95" s="285">
        <v>3360</v>
      </c>
      <c r="AC95" s="285">
        <v>3360</v>
      </c>
      <c r="AD95" s="285">
        <v>3360</v>
      </c>
      <c r="AE95" s="285">
        <v>3360</v>
      </c>
      <c r="AF95" s="285">
        <v>3360</v>
      </c>
      <c r="AG95" s="285">
        <v>3360</v>
      </c>
      <c r="AH95" s="285">
        <v>3360</v>
      </c>
      <c r="AI95" s="285">
        <v>3360</v>
      </c>
      <c r="AJ95" s="78">
        <v>3360</v>
      </c>
      <c r="AK95" s="352"/>
    </row>
    <row r="96" spans="1:37" ht="13.5" customHeight="1" x14ac:dyDescent="0.45">
      <c r="A96" s="618"/>
      <c r="B96" s="215"/>
      <c r="C96" s="77" t="s">
        <v>754</v>
      </c>
      <c r="D96" s="285" t="s">
        <v>221</v>
      </c>
      <c r="E96" s="285" t="s">
        <v>221</v>
      </c>
      <c r="F96" s="285" t="s">
        <v>221</v>
      </c>
      <c r="G96" s="285" t="s">
        <v>221</v>
      </c>
      <c r="H96" s="285" t="s">
        <v>221</v>
      </c>
      <c r="I96" s="285" t="s">
        <v>221</v>
      </c>
      <c r="J96" s="285" t="s">
        <v>221</v>
      </c>
      <c r="K96" s="285" t="s">
        <v>221</v>
      </c>
      <c r="L96" s="285" t="s">
        <v>221</v>
      </c>
      <c r="M96" s="285" t="s">
        <v>221</v>
      </c>
      <c r="N96" s="285" t="s">
        <v>221</v>
      </c>
      <c r="O96" s="285" t="s">
        <v>221</v>
      </c>
      <c r="P96" s="285" t="s">
        <v>221</v>
      </c>
      <c r="Q96" s="285" t="s">
        <v>221</v>
      </c>
      <c r="R96" s="285" t="s">
        <v>221</v>
      </c>
      <c r="S96" s="285" t="s">
        <v>221</v>
      </c>
      <c r="T96" s="285" t="s">
        <v>221</v>
      </c>
      <c r="U96" s="285" t="s">
        <v>221</v>
      </c>
      <c r="V96" s="285" t="s">
        <v>221</v>
      </c>
      <c r="W96" s="285" t="s">
        <v>221</v>
      </c>
      <c r="X96" s="285" t="s">
        <v>221</v>
      </c>
      <c r="Y96" s="285" t="s">
        <v>221</v>
      </c>
      <c r="Z96" s="285" t="s">
        <v>221</v>
      </c>
      <c r="AA96" s="285" t="s">
        <v>221</v>
      </c>
      <c r="AB96" s="285" t="s">
        <v>221</v>
      </c>
      <c r="AC96" s="285" t="s">
        <v>221</v>
      </c>
      <c r="AD96" s="285" t="s">
        <v>221</v>
      </c>
      <c r="AE96" s="285" t="s">
        <v>221</v>
      </c>
      <c r="AF96" s="285" t="s">
        <v>221</v>
      </c>
      <c r="AG96" s="285" t="s">
        <v>221</v>
      </c>
      <c r="AH96" s="285" t="s">
        <v>221</v>
      </c>
      <c r="AI96" s="285" t="s">
        <v>221</v>
      </c>
      <c r="AJ96" s="78" t="s">
        <v>221</v>
      </c>
      <c r="AK96" s="352"/>
    </row>
    <row r="97" spans="1:37" ht="13.5" customHeight="1" x14ac:dyDescent="0.45">
      <c r="A97" s="618"/>
      <c r="B97" s="215"/>
      <c r="C97" s="77" t="s">
        <v>755</v>
      </c>
      <c r="D97" s="285">
        <v>5065</v>
      </c>
      <c r="E97" s="285">
        <v>5065</v>
      </c>
      <c r="F97" s="285">
        <v>5065</v>
      </c>
      <c r="G97" s="285">
        <v>5065</v>
      </c>
      <c r="H97" s="285">
        <v>5065</v>
      </c>
      <c r="I97" s="285">
        <v>5065</v>
      </c>
      <c r="J97" s="285">
        <v>5065</v>
      </c>
      <c r="K97" s="285">
        <v>5065</v>
      </c>
      <c r="L97" s="285">
        <v>5065</v>
      </c>
      <c r="M97" s="285">
        <v>5065</v>
      </c>
      <c r="N97" s="285">
        <v>5065</v>
      </c>
      <c r="O97" s="285">
        <v>5065</v>
      </c>
      <c r="P97" s="285">
        <v>5065</v>
      </c>
      <c r="Q97" s="285">
        <v>5065</v>
      </c>
      <c r="R97" s="285">
        <v>5065</v>
      </c>
      <c r="S97" s="285">
        <v>5065</v>
      </c>
      <c r="T97" s="285">
        <v>5065</v>
      </c>
      <c r="U97" s="285">
        <v>5065</v>
      </c>
      <c r="V97" s="285">
        <v>5065</v>
      </c>
      <c r="W97" s="285">
        <v>5065</v>
      </c>
      <c r="X97" s="285">
        <v>5065</v>
      </c>
      <c r="Y97" s="285">
        <v>5065</v>
      </c>
      <c r="Z97" s="285">
        <v>5065</v>
      </c>
      <c r="AA97" s="285">
        <v>5065</v>
      </c>
      <c r="AB97" s="285">
        <v>5065</v>
      </c>
      <c r="AC97" s="285">
        <v>5065</v>
      </c>
      <c r="AD97" s="285">
        <v>5065</v>
      </c>
      <c r="AE97" s="285">
        <v>5065</v>
      </c>
      <c r="AF97" s="285">
        <v>5065</v>
      </c>
      <c r="AG97" s="285">
        <v>5065</v>
      </c>
      <c r="AH97" s="285">
        <v>5065</v>
      </c>
      <c r="AI97" s="285">
        <v>5065</v>
      </c>
      <c r="AJ97" s="78">
        <v>5065</v>
      </c>
      <c r="AK97" s="352"/>
    </row>
    <row r="98" spans="1:37" ht="13.5" customHeight="1" x14ac:dyDescent="0.45">
      <c r="A98" s="618"/>
      <c r="B98" s="215"/>
      <c r="C98" s="77" t="s">
        <v>756</v>
      </c>
      <c r="D98" s="285">
        <v>3360</v>
      </c>
      <c r="E98" s="285">
        <v>3360</v>
      </c>
      <c r="F98" s="285">
        <v>3360</v>
      </c>
      <c r="G98" s="285">
        <v>3360</v>
      </c>
      <c r="H98" s="285">
        <v>3360</v>
      </c>
      <c r="I98" s="285">
        <v>3360</v>
      </c>
      <c r="J98" s="285">
        <v>3360</v>
      </c>
      <c r="K98" s="285">
        <v>3360</v>
      </c>
      <c r="L98" s="285">
        <v>3360</v>
      </c>
      <c r="M98" s="285">
        <v>3360</v>
      </c>
      <c r="N98" s="285">
        <v>3360</v>
      </c>
      <c r="O98" s="285">
        <v>3360</v>
      </c>
      <c r="P98" s="285">
        <v>3360</v>
      </c>
      <c r="Q98" s="285">
        <v>3360</v>
      </c>
      <c r="R98" s="285">
        <v>3360</v>
      </c>
      <c r="S98" s="285">
        <v>3360</v>
      </c>
      <c r="T98" s="285">
        <v>3360</v>
      </c>
      <c r="U98" s="285">
        <v>3360</v>
      </c>
      <c r="V98" s="285">
        <v>3360</v>
      </c>
      <c r="W98" s="285">
        <v>3360</v>
      </c>
      <c r="X98" s="285">
        <v>3360</v>
      </c>
      <c r="Y98" s="285">
        <v>3360</v>
      </c>
      <c r="Z98" s="285">
        <v>3360</v>
      </c>
      <c r="AA98" s="285">
        <v>3360</v>
      </c>
      <c r="AB98" s="285">
        <v>3360</v>
      </c>
      <c r="AC98" s="285">
        <v>3360</v>
      </c>
      <c r="AD98" s="285">
        <v>3360</v>
      </c>
      <c r="AE98" s="285">
        <v>3360</v>
      </c>
      <c r="AF98" s="285">
        <v>3360</v>
      </c>
      <c r="AG98" s="285">
        <v>3360</v>
      </c>
      <c r="AH98" s="285">
        <v>3360</v>
      </c>
      <c r="AI98" s="285">
        <v>3360</v>
      </c>
      <c r="AJ98" s="78">
        <v>3360</v>
      </c>
      <c r="AK98" s="352"/>
    </row>
    <row r="99" spans="1:37" ht="13.5" customHeight="1" x14ac:dyDescent="0.45">
      <c r="A99" s="618"/>
      <c r="B99" s="215"/>
      <c r="C99" s="79" t="s">
        <v>757</v>
      </c>
      <c r="D99" s="423"/>
      <c r="E99" s="423"/>
      <c r="F99" s="423"/>
      <c r="G99" s="423"/>
      <c r="H99" s="423"/>
      <c r="I99" s="423"/>
      <c r="J99" s="423"/>
      <c r="K99" s="423"/>
      <c r="L99" s="423"/>
      <c r="M99" s="423"/>
      <c r="N99" s="423"/>
      <c r="O99" s="423"/>
      <c r="P99" s="423"/>
      <c r="Q99" s="423"/>
      <c r="R99" s="423"/>
      <c r="S99" s="423"/>
      <c r="T99" s="423"/>
      <c r="U99" s="423"/>
      <c r="V99" s="423"/>
      <c r="W99" s="423"/>
      <c r="X99" s="423"/>
      <c r="Y99" s="423"/>
      <c r="Z99" s="423"/>
      <c r="AA99" s="423"/>
      <c r="AB99" s="423"/>
      <c r="AC99" s="423"/>
      <c r="AD99" s="423"/>
      <c r="AE99" s="423"/>
      <c r="AF99" s="423"/>
      <c r="AG99" s="423"/>
      <c r="AH99" s="423"/>
      <c r="AI99" s="423"/>
      <c r="AJ99" s="80"/>
      <c r="AK99" s="352"/>
    </row>
    <row r="100" spans="1:37" ht="13.5" customHeight="1" x14ac:dyDescent="0.45">
      <c r="A100" s="618"/>
      <c r="B100" s="215"/>
      <c r="C100" s="84" t="s">
        <v>750</v>
      </c>
      <c r="D100" s="423"/>
      <c r="E100" s="423"/>
      <c r="F100" s="423"/>
      <c r="G100" s="423"/>
      <c r="H100" s="423"/>
      <c r="I100" s="423"/>
      <c r="J100" s="423"/>
      <c r="K100" s="423"/>
      <c r="L100" s="423"/>
      <c r="M100" s="423"/>
      <c r="N100" s="423"/>
      <c r="O100" s="423"/>
      <c r="P100" s="423"/>
      <c r="Q100" s="423"/>
      <c r="R100" s="423"/>
      <c r="S100" s="423"/>
      <c r="T100" s="423"/>
      <c r="U100" s="423"/>
      <c r="V100" s="423"/>
      <c r="W100" s="423"/>
      <c r="X100" s="423"/>
      <c r="Y100" s="423"/>
      <c r="Z100" s="423"/>
      <c r="AA100" s="423"/>
      <c r="AB100" s="423"/>
      <c r="AC100" s="423"/>
      <c r="AD100" s="423"/>
      <c r="AE100" s="423"/>
      <c r="AF100" s="423"/>
      <c r="AG100" s="423"/>
      <c r="AH100" s="423"/>
      <c r="AI100" s="423"/>
      <c r="AJ100" s="80"/>
      <c r="AK100" s="352"/>
    </row>
    <row r="101" spans="1:37" ht="13.5" customHeight="1" x14ac:dyDescent="0.45">
      <c r="A101" s="618"/>
      <c r="B101" s="215"/>
      <c r="C101" s="77" t="s">
        <v>751</v>
      </c>
      <c r="D101" s="285">
        <v>5275</v>
      </c>
      <c r="E101" s="285">
        <v>5275</v>
      </c>
      <c r="F101" s="285">
        <v>5275</v>
      </c>
      <c r="G101" s="285">
        <v>5275</v>
      </c>
      <c r="H101" s="285">
        <v>5275</v>
      </c>
      <c r="I101" s="285">
        <v>5275</v>
      </c>
      <c r="J101" s="285">
        <v>5275</v>
      </c>
      <c r="K101" s="285">
        <v>5275</v>
      </c>
      <c r="L101" s="285">
        <v>5275</v>
      </c>
      <c r="M101" s="285">
        <v>5275</v>
      </c>
      <c r="N101" s="285">
        <v>5275</v>
      </c>
      <c r="O101" s="285">
        <v>5275</v>
      </c>
      <c r="P101" s="285">
        <v>5275</v>
      </c>
      <c r="Q101" s="285">
        <v>5275</v>
      </c>
      <c r="R101" s="285">
        <v>5275</v>
      </c>
      <c r="S101" s="285">
        <v>5275</v>
      </c>
      <c r="T101" s="285">
        <v>5275</v>
      </c>
      <c r="U101" s="285">
        <v>5275</v>
      </c>
      <c r="V101" s="285">
        <v>5275</v>
      </c>
      <c r="W101" s="285">
        <v>5275</v>
      </c>
      <c r="X101" s="285">
        <v>5275</v>
      </c>
      <c r="Y101" s="285">
        <v>5275</v>
      </c>
      <c r="Z101" s="285">
        <v>5275</v>
      </c>
      <c r="AA101" s="285">
        <v>5275</v>
      </c>
      <c r="AB101" s="285">
        <v>5275</v>
      </c>
      <c r="AC101" s="285">
        <v>5275</v>
      </c>
      <c r="AD101" s="285">
        <v>5275</v>
      </c>
      <c r="AE101" s="285">
        <v>5275</v>
      </c>
      <c r="AF101" s="285">
        <v>5275</v>
      </c>
      <c r="AG101" s="285">
        <v>5275</v>
      </c>
      <c r="AH101" s="285">
        <v>5275</v>
      </c>
      <c r="AI101" s="285">
        <v>5275</v>
      </c>
      <c r="AJ101" s="78">
        <v>5275</v>
      </c>
      <c r="AK101" s="352"/>
    </row>
    <row r="102" spans="1:37" ht="13.5" customHeight="1" x14ac:dyDescent="0.45">
      <c r="A102" s="618"/>
      <c r="B102" s="215"/>
      <c r="C102" s="77" t="s">
        <v>752</v>
      </c>
      <c r="D102" s="285">
        <v>3518</v>
      </c>
      <c r="E102" s="285">
        <v>3518</v>
      </c>
      <c r="F102" s="285">
        <v>3518</v>
      </c>
      <c r="G102" s="285">
        <v>3518</v>
      </c>
      <c r="H102" s="285">
        <v>3518</v>
      </c>
      <c r="I102" s="285">
        <v>3518</v>
      </c>
      <c r="J102" s="285">
        <v>3518</v>
      </c>
      <c r="K102" s="285">
        <v>3518</v>
      </c>
      <c r="L102" s="285">
        <v>3518</v>
      </c>
      <c r="M102" s="285">
        <v>3518</v>
      </c>
      <c r="N102" s="285">
        <v>3518</v>
      </c>
      <c r="O102" s="285">
        <v>3518</v>
      </c>
      <c r="P102" s="285">
        <v>3518</v>
      </c>
      <c r="Q102" s="285">
        <v>3518</v>
      </c>
      <c r="R102" s="285">
        <v>3518</v>
      </c>
      <c r="S102" s="285">
        <v>3518</v>
      </c>
      <c r="T102" s="285">
        <v>3518</v>
      </c>
      <c r="U102" s="285">
        <v>3518</v>
      </c>
      <c r="V102" s="285">
        <v>3518</v>
      </c>
      <c r="W102" s="285">
        <v>3518</v>
      </c>
      <c r="X102" s="285">
        <v>3518</v>
      </c>
      <c r="Y102" s="285">
        <v>3518</v>
      </c>
      <c r="Z102" s="285">
        <v>3518</v>
      </c>
      <c r="AA102" s="285">
        <v>3518</v>
      </c>
      <c r="AB102" s="285">
        <v>3518</v>
      </c>
      <c r="AC102" s="285">
        <v>3518</v>
      </c>
      <c r="AD102" s="285">
        <v>3518</v>
      </c>
      <c r="AE102" s="285">
        <v>3518</v>
      </c>
      <c r="AF102" s="285">
        <v>3518</v>
      </c>
      <c r="AG102" s="285">
        <v>3518</v>
      </c>
      <c r="AH102" s="285">
        <v>3518</v>
      </c>
      <c r="AI102" s="285">
        <v>3518</v>
      </c>
      <c r="AJ102" s="78">
        <v>3518</v>
      </c>
      <c r="AK102" s="352"/>
    </row>
    <row r="103" spans="1:37" ht="13.5" customHeight="1" x14ac:dyDescent="0.45">
      <c r="A103" s="618"/>
      <c r="B103" s="215"/>
      <c r="C103" s="77" t="s">
        <v>753</v>
      </c>
      <c r="D103" s="285">
        <v>3465</v>
      </c>
      <c r="E103" s="285">
        <v>3465</v>
      </c>
      <c r="F103" s="285">
        <v>3465</v>
      </c>
      <c r="G103" s="285">
        <v>3465</v>
      </c>
      <c r="H103" s="285">
        <v>3465</v>
      </c>
      <c r="I103" s="285">
        <v>3465</v>
      </c>
      <c r="J103" s="285">
        <v>3465</v>
      </c>
      <c r="K103" s="285">
        <v>3465</v>
      </c>
      <c r="L103" s="285">
        <v>3465</v>
      </c>
      <c r="M103" s="285">
        <v>3465</v>
      </c>
      <c r="N103" s="285">
        <v>3465</v>
      </c>
      <c r="O103" s="285">
        <v>3465</v>
      </c>
      <c r="P103" s="285">
        <v>3465</v>
      </c>
      <c r="Q103" s="285">
        <v>3465</v>
      </c>
      <c r="R103" s="285">
        <v>3465</v>
      </c>
      <c r="S103" s="285">
        <v>3465</v>
      </c>
      <c r="T103" s="285">
        <v>3465</v>
      </c>
      <c r="U103" s="285">
        <v>3465</v>
      </c>
      <c r="V103" s="285">
        <v>3465</v>
      </c>
      <c r="W103" s="285">
        <v>3465</v>
      </c>
      <c r="X103" s="285">
        <v>3465</v>
      </c>
      <c r="Y103" s="285">
        <v>3465</v>
      </c>
      <c r="Z103" s="285">
        <v>3465</v>
      </c>
      <c r="AA103" s="285">
        <v>3465</v>
      </c>
      <c r="AB103" s="285">
        <v>3465</v>
      </c>
      <c r="AC103" s="285">
        <v>3465</v>
      </c>
      <c r="AD103" s="285">
        <v>3465</v>
      </c>
      <c r="AE103" s="285">
        <v>3465</v>
      </c>
      <c r="AF103" s="285">
        <v>3465</v>
      </c>
      <c r="AG103" s="285">
        <v>3465</v>
      </c>
      <c r="AH103" s="285">
        <v>3465</v>
      </c>
      <c r="AI103" s="285">
        <v>3465</v>
      </c>
      <c r="AJ103" s="78">
        <v>3465</v>
      </c>
      <c r="AK103" s="352"/>
    </row>
    <row r="104" spans="1:37" ht="13.5" customHeight="1" x14ac:dyDescent="0.45">
      <c r="A104" s="618"/>
      <c r="B104" s="215"/>
      <c r="C104" s="77" t="s">
        <v>754</v>
      </c>
      <c r="D104" s="285">
        <v>5275</v>
      </c>
      <c r="E104" s="285">
        <v>5275</v>
      </c>
      <c r="F104" s="285">
        <v>5275</v>
      </c>
      <c r="G104" s="285">
        <v>5275</v>
      </c>
      <c r="H104" s="285">
        <v>5275</v>
      </c>
      <c r="I104" s="285">
        <v>5275</v>
      </c>
      <c r="J104" s="285">
        <v>5275</v>
      </c>
      <c r="K104" s="285">
        <v>5275</v>
      </c>
      <c r="L104" s="285">
        <v>5275</v>
      </c>
      <c r="M104" s="285">
        <v>5275</v>
      </c>
      <c r="N104" s="285">
        <v>5275</v>
      </c>
      <c r="O104" s="285">
        <v>5275</v>
      </c>
      <c r="P104" s="285">
        <v>5275</v>
      </c>
      <c r="Q104" s="285">
        <v>5275</v>
      </c>
      <c r="R104" s="285">
        <v>5275</v>
      </c>
      <c r="S104" s="285">
        <v>5275</v>
      </c>
      <c r="T104" s="285">
        <v>5275</v>
      </c>
      <c r="U104" s="285">
        <v>5275</v>
      </c>
      <c r="V104" s="285">
        <v>5275</v>
      </c>
      <c r="W104" s="285">
        <v>5275</v>
      </c>
      <c r="X104" s="285">
        <v>5275</v>
      </c>
      <c r="Y104" s="285">
        <v>5275</v>
      </c>
      <c r="Z104" s="285">
        <v>5275</v>
      </c>
      <c r="AA104" s="285">
        <v>5275</v>
      </c>
      <c r="AB104" s="285">
        <v>5275</v>
      </c>
      <c r="AC104" s="285">
        <v>5275</v>
      </c>
      <c r="AD104" s="285">
        <v>5275</v>
      </c>
      <c r="AE104" s="285">
        <v>5275</v>
      </c>
      <c r="AF104" s="285">
        <v>5275</v>
      </c>
      <c r="AG104" s="285">
        <v>5275</v>
      </c>
      <c r="AH104" s="285">
        <v>5275</v>
      </c>
      <c r="AI104" s="285">
        <v>5275</v>
      </c>
      <c r="AJ104" s="78">
        <v>5275</v>
      </c>
      <c r="AK104" s="352"/>
    </row>
    <row r="105" spans="1:37" ht="13.5" customHeight="1" x14ac:dyDescent="0.45">
      <c r="A105" s="618"/>
      <c r="B105" s="215"/>
      <c r="C105" s="77" t="s">
        <v>755</v>
      </c>
      <c r="D105" s="285">
        <v>3518</v>
      </c>
      <c r="E105" s="285">
        <v>3518</v>
      </c>
      <c r="F105" s="285">
        <v>3518</v>
      </c>
      <c r="G105" s="285">
        <v>3518</v>
      </c>
      <c r="H105" s="285">
        <v>3518</v>
      </c>
      <c r="I105" s="285">
        <v>3518</v>
      </c>
      <c r="J105" s="285">
        <v>3518</v>
      </c>
      <c r="K105" s="285">
        <v>3518</v>
      </c>
      <c r="L105" s="285">
        <v>3518</v>
      </c>
      <c r="M105" s="285">
        <v>3518</v>
      </c>
      <c r="N105" s="285">
        <v>3518</v>
      </c>
      <c r="O105" s="285">
        <v>3518</v>
      </c>
      <c r="P105" s="285">
        <v>3518</v>
      </c>
      <c r="Q105" s="285">
        <v>3518</v>
      </c>
      <c r="R105" s="285">
        <v>3518</v>
      </c>
      <c r="S105" s="285">
        <v>3518</v>
      </c>
      <c r="T105" s="285">
        <v>3518</v>
      </c>
      <c r="U105" s="285">
        <v>3518</v>
      </c>
      <c r="V105" s="285">
        <v>3518</v>
      </c>
      <c r="W105" s="285">
        <v>3518</v>
      </c>
      <c r="X105" s="285">
        <v>3518</v>
      </c>
      <c r="Y105" s="285">
        <v>3518</v>
      </c>
      <c r="Z105" s="285">
        <v>3518</v>
      </c>
      <c r="AA105" s="285">
        <v>3518</v>
      </c>
      <c r="AB105" s="285">
        <v>3518</v>
      </c>
      <c r="AC105" s="285">
        <v>3518</v>
      </c>
      <c r="AD105" s="285">
        <v>3518</v>
      </c>
      <c r="AE105" s="285">
        <v>3518</v>
      </c>
      <c r="AF105" s="285">
        <v>3518</v>
      </c>
      <c r="AG105" s="285">
        <v>3518</v>
      </c>
      <c r="AH105" s="285">
        <v>3518</v>
      </c>
      <c r="AI105" s="285">
        <v>3518</v>
      </c>
      <c r="AJ105" s="78">
        <v>3518</v>
      </c>
      <c r="AK105" s="352"/>
    </row>
    <row r="106" spans="1:37" ht="13.5" customHeight="1" x14ac:dyDescent="0.45">
      <c r="A106" s="618"/>
      <c r="B106" s="215"/>
      <c r="C106" s="77" t="s">
        <v>756</v>
      </c>
      <c r="D106" s="285">
        <v>3465</v>
      </c>
      <c r="E106" s="285">
        <v>3465</v>
      </c>
      <c r="F106" s="285">
        <v>3465</v>
      </c>
      <c r="G106" s="285">
        <v>3465</v>
      </c>
      <c r="H106" s="285">
        <v>3465</v>
      </c>
      <c r="I106" s="285">
        <v>3465</v>
      </c>
      <c r="J106" s="285">
        <v>3465</v>
      </c>
      <c r="K106" s="285">
        <v>3465</v>
      </c>
      <c r="L106" s="285">
        <v>3465</v>
      </c>
      <c r="M106" s="285">
        <v>3465</v>
      </c>
      <c r="N106" s="285">
        <v>3465</v>
      </c>
      <c r="O106" s="285">
        <v>3465</v>
      </c>
      <c r="P106" s="285">
        <v>3465</v>
      </c>
      <c r="Q106" s="285">
        <v>3465</v>
      </c>
      <c r="R106" s="285">
        <v>3465</v>
      </c>
      <c r="S106" s="285">
        <v>3465</v>
      </c>
      <c r="T106" s="285">
        <v>3465</v>
      </c>
      <c r="U106" s="285">
        <v>3465</v>
      </c>
      <c r="V106" s="285">
        <v>3465</v>
      </c>
      <c r="W106" s="285">
        <v>3465</v>
      </c>
      <c r="X106" s="285">
        <v>3465</v>
      </c>
      <c r="Y106" s="285">
        <v>3465</v>
      </c>
      <c r="Z106" s="285">
        <v>3465</v>
      </c>
      <c r="AA106" s="285">
        <v>3465</v>
      </c>
      <c r="AB106" s="285">
        <v>3465</v>
      </c>
      <c r="AC106" s="285">
        <v>3465</v>
      </c>
      <c r="AD106" s="285">
        <v>3465</v>
      </c>
      <c r="AE106" s="285">
        <v>3465</v>
      </c>
      <c r="AF106" s="285">
        <v>3465</v>
      </c>
      <c r="AG106" s="285">
        <v>3465</v>
      </c>
      <c r="AH106" s="285">
        <v>3465</v>
      </c>
      <c r="AI106" s="285">
        <v>3465</v>
      </c>
      <c r="AJ106" s="78">
        <v>3465</v>
      </c>
      <c r="AK106" s="352"/>
    </row>
    <row r="107" spans="1:37" ht="13.5" customHeight="1" x14ac:dyDescent="0.45">
      <c r="A107" s="618"/>
      <c r="B107" s="215"/>
      <c r="C107" s="81" t="s">
        <v>178</v>
      </c>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c r="AA107" s="314"/>
      <c r="AB107" s="314"/>
      <c r="AC107" s="314"/>
      <c r="AD107" s="314"/>
      <c r="AE107" s="314"/>
      <c r="AF107" s="314"/>
      <c r="AG107" s="314"/>
      <c r="AH107" s="314"/>
      <c r="AI107" s="314"/>
      <c r="AJ107" s="82"/>
      <c r="AK107" s="352"/>
    </row>
    <row r="108" spans="1:37" ht="13.5" customHeight="1" x14ac:dyDescent="0.45">
      <c r="A108" s="618"/>
      <c r="B108" s="215"/>
      <c r="C108" s="75" t="s">
        <v>758</v>
      </c>
      <c r="D108" s="422"/>
      <c r="E108" s="422"/>
      <c r="F108" s="422"/>
      <c r="G108" s="422"/>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422"/>
      <c r="AF108" s="422"/>
      <c r="AG108" s="422"/>
      <c r="AH108" s="422"/>
      <c r="AI108" s="422"/>
      <c r="AJ108" s="76"/>
      <c r="AK108" s="352"/>
    </row>
    <row r="109" spans="1:37" ht="13.5" customHeight="1" x14ac:dyDescent="0.45">
      <c r="A109" s="618"/>
      <c r="B109" s="215"/>
      <c r="C109" s="77" t="s">
        <v>759</v>
      </c>
      <c r="D109" s="285">
        <v>1980</v>
      </c>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78"/>
      <c r="AK109" s="352"/>
    </row>
    <row r="110" spans="1:37" ht="13.5" customHeight="1" x14ac:dyDescent="0.45">
      <c r="A110" s="618"/>
      <c r="B110" s="215"/>
      <c r="C110" s="77" t="s">
        <v>760</v>
      </c>
      <c r="D110" s="285">
        <v>1980</v>
      </c>
      <c r="E110" s="285">
        <v>1360</v>
      </c>
      <c r="F110" s="285">
        <v>1360</v>
      </c>
      <c r="G110" s="285">
        <v>1360</v>
      </c>
      <c r="H110" s="285">
        <v>1360</v>
      </c>
      <c r="I110" s="285">
        <v>1360</v>
      </c>
      <c r="J110" s="285">
        <v>1360</v>
      </c>
      <c r="K110" s="285">
        <v>1220</v>
      </c>
      <c r="L110" s="285">
        <v>1220</v>
      </c>
      <c r="M110" s="285">
        <v>1220</v>
      </c>
      <c r="N110" s="285">
        <v>1220</v>
      </c>
      <c r="O110" s="285">
        <v>1220</v>
      </c>
      <c r="P110" s="285">
        <v>1080</v>
      </c>
      <c r="Q110" s="285">
        <v>1080</v>
      </c>
      <c r="R110" s="285">
        <v>1080</v>
      </c>
      <c r="S110" s="285">
        <v>1080</v>
      </c>
      <c r="T110" s="285">
        <v>1080</v>
      </c>
      <c r="U110" s="285">
        <v>1050</v>
      </c>
      <c r="V110" s="285">
        <v>1050</v>
      </c>
      <c r="W110" s="285">
        <v>1050</v>
      </c>
      <c r="X110" s="285">
        <v>1050</v>
      </c>
      <c r="Y110" s="285">
        <v>1050</v>
      </c>
      <c r="Z110" s="285">
        <v>1020</v>
      </c>
      <c r="AA110" s="285">
        <v>1020</v>
      </c>
      <c r="AB110" s="285">
        <v>1020</v>
      </c>
      <c r="AC110" s="285">
        <v>1020</v>
      </c>
      <c r="AD110" s="285">
        <v>1020</v>
      </c>
      <c r="AE110" s="285">
        <v>990</v>
      </c>
      <c r="AF110" s="285">
        <v>990</v>
      </c>
      <c r="AG110" s="285">
        <v>990</v>
      </c>
      <c r="AH110" s="285">
        <v>990</v>
      </c>
      <c r="AI110" s="285">
        <v>990</v>
      </c>
      <c r="AJ110" s="78">
        <v>960</v>
      </c>
      <c r="AK110" s="352"/>
    </row>
    <row r="111" spans="1:37" ht="13.5" customHeight="1" x14ac:dyDescent="0.45">
      <c r="A111" s="618"/>
      <c r="B111" s="215"/>
      <c r="C111" s="75" t="s">
        <v>742</v>
      </c>
      <c r="D111" s="422"/>
      <c r="E111" s="422"/>
      <c r="F111" s="422"/>
      <c r="G111" s="422"/>
      <c r="H111" s="422"/>
      <c r="I111" s="422"/>
      <c r="J111" s="422"/>
      <c r="K111" s="422"/>
      <c r="L111" s="422"/>
      <c r="M111" s="422"/>
      <c r="N111" s="422"/>
      <c r="O111" s="422"/>
      <c r="P111" s="422"/>
      <c r="Q111" s="422"/>
      <c r="R111" s="422"/>
      <c r="S111" s="422"/>
      <c r="T111" s="422"/>
      <c r="U111" s="422"/>
      <c r="V111" s="422"/>
      <c r="W111" s="422"/>
      <c r="X111" s="422"/>
      <c r="Y111" s="422"/>
      <c r="Z111" s="422"/>
      <c r="AA111" s="422"/>
      <c r="AB111" s="422"/>
      <c r="AC111" s="422"/>
      <c r="AD111" s="422"/>
      <c r="AE111" s="422"/>
      <c r="AF111" s="422"/>
      <c r="AG111" s="422"/>
      <c r="AH111" s="422"/>
      <c r="AI111" s="422"/>
      <c r="AJ111" s="76"/>
      <c r="AK111" s="352"/>
    </row>
    <row r="112" spans="1:37" ht="13.5" customHeight="1" x14ac:dyDescent="0.45">
      <c r="A112" s="618"/>
      <c r="B112" s="215"/>
      <c r="C112" s="79" t="s">
        <v>761</v>
      </c>
      <c r="D112" s="423">
        <v>1980</v>
      </c>
      <c r="E112" s="423">
        <v>1360</v>
      </c>
      <c r="F112" s="423">
        <v>1360</v>
      </c>
      <c r="G112" s="423">
        <v>1360</v>
      </c>
      <c r="H112" s="423">
        <v>1360</v>
      </c>
      <c r="I112" s="423">
        <v>1360</v>
      </c>
      <c r="J112" s="423">
        <v>1360</v>
      </c>
      <c r="K112" s="423">
        <v>1220</v>
      </c>
      <c r="L112" s="423">
        <v>1220</v>
      </c>
      <c r="M112" s="423">
        <v>1220</v>
      </c>
      <c r="N112" s="423">
        <v>1220</v>
      </c>
      <c r="O112" s="423">
        <v>1220</v>
      </c>
      <c r="P112" s="423">
        <v>1080</v>
      </c>
      <c r="Q112" s="423">
        <v>1080</v>
      </c>
      <c r="R112" s="423">
        <v>1080</v>
      </c>
      <c r="S112" s="423">
        <v>1080</v>
      </c>
      <c r="T112" s="423">
        <v>1080</v>
      </c>
      <c r="U112" s="423">
        <v>1050</v>
      </c>
      <c r="V112" s="423">
        <v>1050</v>
      </c>
      <c r="W112" s="423">
        <v>1050</v>
      </c>
      <c r="X112" s="423">
        <v>1050</v>
      </c>
      <c r="Y112" s="423">
        <v>1050</v>
      </c>
      <c r="Z112" s="423">
        <v>1020</v>
      </c>
      <c r="AA112" s="423">
        <v>1020</v>
      </c>
      <c r="AB112" s="423">
        <v>1020</v>
      </c>
      <c r="AC112" s="423">
        <v>1020</v>
      </c>
      <c r="AD112" s="423">
        <v>1020</v>
      </c>
      <c r="AE112" s="423">
        <v>990</v>
      </c>
      <c r="AF112" s="423">
        <v>990</v>
      </c>
      <c r="AG112" s="423">
        <v>990</v>
      </c>
      <c r="AH112" s="423">
        <v>990</v>
      </c>
      <c r="AI112" s="423">
        <v>990</v>
      </c>
      <c r="AJ112" s="80">
        <v>960</v>
      </c>
      <c r="AK112" s="352"/>
    </row>
    <row r="113" spans="1:37" ht="13.5" customHeight="1" x14ac:dyDescent="0.45">
      <c r="A113" s="618"/>
      <c r="B113" s="215"/>
      <c r="C113" s="79" t="s">
        <v>762</v>
      </c>
      <c r="D113" s="423">
        <v>7254</v>
      </c>
      <c r="E113" s="423">
        <v>6849</v>
      </c>
      <c r="F113" s="423">
        <v>6849</v>
      </c>
      <c r="G113" s="423">
        <v>6849</v>
      </c>
      <c r="H113" s="423">
        <v>6849</v>
      </c>
      <c r="I113" s="423">
        <v>6849</v>
      </c>
      <c r="J113" s="423">
        <v>6849</v>
      </c>
      <c r="K113" s="423">
        <v>6445</v>
      </c>
      <c r="L113" s="423">
        <v>6445</v>
      </c>
      <c r="M113" s="423">
        <v>6445</v>
      </c>
      <c r="N113" s="423">
        <v>6445</v>
      </c>
      <c r="O113" s="423">
        <v>6445</v>
      </c>
      <c r="P113" s="423">
        <v>6040</v>
      </c>
      <c r="Q113" s="423">
        <v>6040</v>
      </c>
      <c r="R113" s="423">
        <v>6040</v>
      </c>
      <c r="S113" s="423">
        <v>6040</v>
      </c>
      <c r="T113" s="423">
        <v>6040</v>
      </c>
      <c r="U113" s="423">
        <v>5636</v>
      </c>
      <c r="V113" s="423">
        <v>5636</v>
      </c>
      <c r="W113" s="423">
        <v>5636</v>
      </c>
      <c r="X113" s="423">
        <v>5636</v>
      </c>
      <c r="Y113" s="423">
        <v>5636</v>
      </c>
      <c r="Z113" s="423">
        <v>5231</v>
      </c>
      <c r="AA113" s="423">
        <v>5231</v>
      </c>
      <c r="AB113" s="423">
        <v>5231</v>
      </c>
      <c r="AC113" s="423">
        <v>5231</v>
      </c>
      <c r="AD113" s="423">
        <v>5231</v>
      </c>
      <c r="AE113" s="423">
        <v>4827</v>
      </c>
      <c r="AF113" s="423">
        <v>4827</v>
      </c>
      <c r="AG113" s="423">
        <v>4827</v>
      </c>
      <c r="AH113" s="423">
        <v>4827</v>
      </c>
      <c r="AI113" s="423">
        <v>4827</v>
      </c>
      <c r="AJ113" s="80">
        <v>4422</v>
      </c>
      <c r="AK113" s="352"/>
    </row>
    <row r="114" spans="1:37" ht="13.5" customHeight="1" x14ac:dyDescent="0.45">
      <c r="A114" s="618"/>
      <c r="B114" s="215"/>
      <c r="C114" s="81" t="s">
        <v>179</v>
      </c>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c r="AA114" s="314"/>
      <c r="AB114" s="314"/>
      <c r="AC114" s="314"/>
      <c r="AD114" s="314"/>
      <c r="AE114" s="314"/>
      <c r="AF114" s="314"/>
      <c r="AG114" s="314"/>
      <c r="AH114" s="314"/>
      <c r="AI114" s="314"/>
      <c r="AJ114" s="82"/>
      <c r="AK114" s="352"/>
    </row>
    <row r="115" spans="1:37" ht="13.5" customHeight="1" x14ac:dyDescent="0.45">
      <c r="A115" s="618"/>
      <c r="B115" s="215"/>
      <c r="C115" s="75" t="s">
        <v>742</v>
      </c>
      <c r="D115" s="422"/>
      <c r="E115" s="422"/>
      <c r="F115" s="422"/>
      <c r="G115" s="422"/>
      <c r="H115" s="422"/>
      <c r="I115" s="422"/>
      <c r="J115" s="422"/>
      <c r="K115" s="422"/>
      <c r="L115" s="422"/>
      <c r="M115" s="422"/>
      <c r="N115" s="422"/>
      <c r="O115" s="422"/>
      <c r="P115" s="422"/>
      <c r="Q115" s="422"/>
      <c r="R115" s="422"/>
      <c r="S115" s="422"/>
      <c r="T115" s="422"/>
      <c r="U115" s="422"/>
      <c r="V115" s="422"/>
      <c r="W115" s="422"/>
      <c r="X115" s="422"/>
      <c r="Y115" s="422"/>
      <c r="Z115" s="422"/>
      <c r="AA115" s="422"/>
      <c r="AB115" s="422"/>
      <c r="AC115" s="422"/>
      <c r="AD115" s="422"/>
      <c r="AE115" s="422"/>
      <c r="AF115" s="422"/>
      <c r="AG115" s="422"/>
      <c r="AH115" s="422"/>
      <c r="AI115" s="422"/>
      <c r="AJ115" s="76"/>
      <c r="AK115" s="352"/>
    </row>
    <row r="116" spans="1:37" ht="13.5" customHeight="1" x14ac:dyDescent="0.45">
      <c r="A116" s="618"/>
      <c r="B116" s="215"/>
      <c r="C116" s="79" t="s">
        <v>763</v>
      </c>
      <c r="D116" s="423"/>
      <c r="E116" s="423"/>
      <c r="F116" s="423"/>
      <c r="G116" s="423"/>
      <c r="H116" s="423"/>
      <c r="I116" s="423"/>
      <c r="J116" s="423"/>
      <c r="K116" s="423"/>
      <c r="L116" s="423"/>
      <c r="M116" s="423"/>
      <c r="N116" s="423"/>
      <c r="O116" s="423"/>
      <c r="P116" s="423"/>
      <c r="Q116" s="423"/>
      <c r="R116" s="423"/>
      <c r="S116" s="423"/>
      <c r="T116" s="423"/>
      <c r="U116" s="423"/>
      <c r="V116" s="423"/>
      <c r="W116" s="423"/>
      <c r="X116" s="423"/>
      <c r="Y116" s="423"/>
      <c r="Z116" s="423"/>
      <c r="AA116" s="423"/>
      <c r="AB116" s="423"/>
      <c r="AC116" s="423"/>
      <c r="AD116" s="423"/>
      <c r="AE116" s="423"/>
      <c r="AF116" s="423"/>
      <c r="AG116" s="423"/>
      <c r="AH116" s="423"/>
      <c r="AI116" s="423"/>
      <c r="AJ116" s="80"/>
      <c r="AK116" s="352"/>
    </row>
    <row r="117" spans="1:37" ht="13.5" customHeight="1" x14ac:dyDescent="0.45">
      <c r="A117" s="618"/>
      <c r="B117" s="215"/>
      <c r="C117" s="84" t="s">
        <v>764</v>
      </c>
      <c r="D117" s="423"/>
      <c r="E117" s="423"/>
      <c r="F117" s="423"/>
      <c r="G117" s="423"/>
      <c r="H117" s="423"/>
      <c r="I117" s="423"/>
      <c r="J117" s="423"/>
      <c r="K117" s="423"/>
      <c r="L117" s="423"/>
      <c r="M117" s="423"/>
      <c r="N117" s="423"/>
      <c r="O117" s="423"/>
      <c r="P117" s="423"/>
      <c r="Q117" s="423"/>
      <c r="R117" s="423"/>
      <c r="S117" s="423"/>
      <c r="T117" s="423"/>
      <c r="U117" s="423"/>
      <c r="V117" s="423"/>
      <c r="W117" s="423"/>
      <c r="X117" s="423"/>
      <c r="Y117" s="423"/>
      <c r="Z117" s="423"/>
      <c r="AA117" s="423"/>
      <c r="AB117" s="423"/>
      <c r="AC117" s="423"/>
      <c r="AD117" s="423"/>
      <c r="AE117" s="423"/>
      <c r="AF117" s="423"/>
      <c r="AG117" s="423"/>
      <c r="AH117" s="423"/>
      <c r="AI117" s="423"/>
      <c r="AJ117" s="80"/>
      <c r="AK117" s="352"/>
    </row>
    <row r="118" spans="1:37" ht="13.5" customHeight="1" x14ac:dyDescent="0.45">
      <c r="A118" s="618"/>
      <c r="B118" s="215"/>
      <c r="C118" s="77" t="s">
        <v>765</v>
      </c>
      <c r="D118" s="285">
        <v>2350</v>
      </c>
      <c r="E118" s="285">
        <v>2350</v>
      </c>
      <c r="F118" s="285">
        <v>2350</v>
      </c>
      <c r="G118" s="285">
        <v>2350</v>
      </c>
      <c r="H118" s="285">
        <v>2350</v>
      </c>
      <c r="I118" s="285">
        <v>2350</v>
      </c>
      <c r="J118" s="285">
        <v>2350</v>
      </c>
      <c r="K118" s="285">
        <v>2325</v>
      </c>
      <c r="L118" s="285">
        <v>2325</v>
      </c>
      <c r="M118" s="285">
        <v>2325</v>
      </c>
      <c r="N118" s="285">
        <v>2325</v>
      </c>
      <c r="O118" s="285">
        <v>2325</v>
      </c>
      <c r="P118" s="285">
        <v>2300</v>
      </c>
      <c r="Q118" s="285">
        <v>2300</v>
      </c>
      <c r="R118" s="285">
        <v>2300</v>
      </c>
      <c r="S118" s="285">
        <v>2300</v>
      </c>
      <c r="T118" s="285">
        <v>2300</v>
      </c>
      <c r="U118" s="285">
        <v>2288</v>
      </c>
      <c r="V118" s="285">
        <v>2288</v>
      </c>
      <c r="W118" s="285">
        <v>2288</v>
      </c>
      <c r="X118" s="285">
        <v>2288</v>
      </c>
      <c r="Y118" s="285">
        <v>2288</v>
      </c>
      <c r="Z118" s="285">
        <v>2275</v>
      </c>
      <c r="AA118" s="285">
        <v>2275</v>
      </c>
      <c r="AB118" s="285">
        <v>2275</v>
      </c>
      <c r="AC118" s="285">
        <v>2275</v>
      </c>
      <c r="AD118" s="285">
        <v>2275</v>
      </c>
      <c r="AE118" s="285">
        <v>2263</v>
      </c>
      <c r="AF118" s="285">
        <v>2263</v>
      </c>
      <c r="AG118" s="285">
        <v>2263</v>
      </c>
      <c r="AH118" s="285">
        <v>2263</v>
      </c>
      <c r="AI118" s="285">
        <v>2263</v>
      </c>
      <c r="AJ118" s="78">
        <v>2250</v>
      </c>
      <c r="AK118" s="352"/>
    </row>
    <row r="119" spans="1:37" ht="13.5" customHeight="1" x14ac:dyDescent="0.45">
      <c r="A119" s="618"/>
      <c r="B119" s="215"/>
      <c r="C119" s="77" t="s">
        <v>766</v>
      </c>
      <c r="D119" s="285">
        <v>1000</v>
      </c>
      <c r="E119" s="285">
        <v>1000</v>
      </c>
      <c r="F119" s="285">
        <v>1000</v>
      </c>
      <c r="G119" s="285">
        <v>1000</v>
      </c>
      <c r="H119" s="285">
        <v>1000</v>
      </c>
      <c r="I119" s="285">
        <v>1000</v>
      </c>
      <c r="J119" s="285">
        <v>1000</v>
      </c>
      <c r="K119" s="285">
        <v>1000</v>
      </c>
      <c r="L119" s="285">
        <v>1000</v>
      </c>
      <c r="M119" s="285">
        <v>1000</v>
      </c>
      <c r="N119" s="285">
        <v>1000</v>
      </c>
      <c r="O119" s="285">
        <v>1000</v>
      </c>
      <c r="P119" s="285">
        <v>1000</v>
      </c>
      <c r="Q119" s="285">
        <v>1000</v>
      </c>
      <c r="R119" s="285">
        <v>1000</v>
      </c>
      <c r="S119" s="285">
        <v>1000</v>
      </c>
      <c r="T119" s="285">
        <v>1000</v>
      </c>
      <c r="U119" s="285">
        <v>1000</v>
      </c>
      <c r="V119" s="285">
        <v>1000</v>
      </c>
      <c r="W119" s="285">
        <v>1000</v>
      </c>
      <c r="X119" s="285">
        <v>1000</v>
      </c>
      <c r="Y119" s="285">
        <v>1000</v>
      </c>
      <c r="Z119" s="285">
        <v>1000</v>
      </c>
      <c r="AA119" s="285">
        <v>1000</v>
      </c>
      <c r="AB119" s="285">
        <v>1000</v>
      </c>
      <c r="AC119" s="285">
        <v>1000</v>
      </c>
      <c r="AD119" s="285">
        <v>1000</v>
      </c>
      <c r="AE119" s="285">
        <v>1000</v>
      </c>
      <c r="AF119" s="285">
        <v>1000</v>
      </c>
      <c r="AG119" s="285">
        <v>1000</v>
      </c>
      <c r="AH119" s="285">
        <v>1000</v>
      </c>
      <c r="AI119" s="285">
        <v>1000</v>
      </c>
      <c r="AJ119" s="78">
        <v>1000</v>
      </c>
      <c r="AK119" s="352"/>
    </row>
    <row r="120" spans="1:37" ht="13.5" customHeight="1" x14ac:dyDescent="0.45">
      <c r="A120" s="618"/>
      <c r="B120" s="215"/>
      <c r="C120" s="77" t="s">
        <v>767</v>
      </c>
      <c r="D120" s="285">
        <v>1070</v>
      </c>
      <c r="E120" s="285">
        <v>1070</v>
      </c>
      <c r="F120" s="285">
        <v>1070</v>
      </c>
      <c r="G120" s="285">
        <v>1070</v>
      </c>
      <c r="H120" s="285">
        <v>1070</v>
      </c>
      <c r="I120" s="285">
        <v>1070</v>
      </c>
      <c r="J120" s="285">
        <v>1070</v>
      </c>
      <c r="K120" s="285">
        <v>1070</v>
      </c>
      <c r="L120" s="285">
        <v>1070</v>
      </c>
      <c r="M120" s="285">
        <v>1070</v>
      </c>
      <c r="N120" s="285">
        <v>1070</v>
      </c>
      <c r="O120" s="285">
        <v>1070</v>
      </c>
      <c r="P120" s="285">
        <v>1070</v>
      </c>
      <c r="Q120" s="285">
        <v>1070</v>
      </c>
      <c r="R120" s="285">
        <v>1070</v>
      </c>
      <c r="S120" s="285">
        <v>1070</v>
      </c>
      <c r="T120" s="285">
        <v>1070</v>
      </c>
      <c r="U120" s="285">
        <v>1070</v>
      </c>
      <c r="V120" s="285">
        <v>1070</v>
      </c>
      <c r="W120" s="285">
        <v>1070</v>
      </c>
      <c r="X120" s="285">
        <v>1070</v>
      </c>
      <c r="Y120" s="285">
        <v>1070</v>
      </c>
      <c r="Z120" s="285">
        <v>1070</v>
      </c>
      <c r="AA120" s="285">
        <v>1070</v>
      </c>
      <c r="AB120" s="285">
        <v>1070</v>
      </c>
      <c r="AC120" s="285">
        <v>1070</v>
      </c>
      <c r="AD120" s="285">
        <v>1070</v>
      </c>
      <c r="AE120" s="285">
        <v>1070</v>
      </c>
      <c r="AF120" s="285">
        <v>1070</v>
      </c>
      <c r="AG120" s="285">
        <v>1070</v>
      </c>
      <c r="AH120" s="285">
        <v>1070</v>
      </c>
      <c r="AI120" s="285">
        <v>1070</v>
      </c>
      <c r="AJ120" s="78">
        <v>1070</v>
      </c>
      <c r="AK120" s="352"/>
    </row>
    <row r="121" spans="1:37" ht="13.5" customHeight="1" x14ac:dyDescent="0.45">
      <c r="A121" s="618"/>
      <c r="B121" s="215"/>
      <c r="C121" s="77" t="s">
        <v>768</v>
      </c>
      <c r="D121" s="285" t="s">
        <v>221</v>
      </c>
      <c r="E121" s="285" t="s">
        <v>221</v>
      </c>
      <c r="F121" s="285" t="s">
        <v>221</v>
      </c>
      <c r="G121" s="285" t="s">
        <v>221</v>
      </c>
      <c r="H121" s="285" t="s">
        <v>221</v>
      </c>
      <c r="I121" s="285" t="s">
        <v>221</v>
      </c>
      <c r="J121" s="285" t="s">
        <v>221</v>
      </c>
      <c r="K121" s="285" t="s">
        <v>221</v>
      </c>
      <c r="L121" s="285" t="s">
        <v>221</v>
      </c>
      <c r="M121" s="285" t="s">
        <v>221</v>
      </c>
      <c r="N121" s="285" t="s">
        <v>221</v>
      </c>
      <c r="O121" s="285" t="s">
        <v>221</v>
      </c>
      <c r="P121" s="285" t="s">
        <v>221</v>
      </c>
      <c r="Q121" s="285" t="s">
        <v>221</v>
      </c>
      <c r="R121" s="285" t="s">
        <v>221</v>
      </c>
      <c r="S121" s="285" t="s">
        <v>221</v>
      </c>
      <c r="T121" s="285" t="s">
        <v>221</v>
      </c>
      <c r="U121" s="285" t="s">
        <v>221</v>
      </c>
      <c r="V121" s="285" t="s">
        <v>221</v>
      </c>
      <c r="W121" s="285" t="s">
        <v>221</v>
      </c>
      <c r="X121" s="285" t="s">
        <v>221</v>
      </c>
      <c r="Y121" s="285" t="s">
        <v>221</v>
      </c>
      <c r="Z121" s="285" t="s">
        <v>221</v>
      </c>
      <c r="AA121" s="285" t="s">
        <v>221</v>
      </c>
      <c r="AB121" s="285" t="s">
        <v>221</v>
      </c>
      <c r="AC121" s="285" t="s">
        <v>221</v>
      </c>
      <c r="AD121" s="285" t="s">
        <v>221</v>
      </c>
      <c r="AE121" s="285" t="s">
        <v>221</v>
      </c>
      <c r="AF121" s="285" t="s">
        <v>221</v>
      </c>
      <c r="AG121" s="285" t="s">
        <v>221</v>
      </c>
      <c r="AH121" s="285" t="s">
        <v>221</v>
      </c>
      <c r="AI121" s="285" t="s">
        <v>221</v>
      </c>
      <c r="AJ121" s="78" t="s">
        <v>221</v>
      </c>
      <c r="AK121" s="352"/>
    </row>
    <row r="122" spans="1:37" ht="13.5" customHeight="1" x14ac:dyDescent="0.45">
      <c r="A122" s="618"/>
      <c r="B122" s="215"/>
      <c r="C122" s="79" t="s">
        <v>769</v>
      </c>
      <c r="D122" s="423"/>
      <c r="E122" s="423"/>
      <c r="F122" s="423"/>
      <c r="G122" s="423"/>
      <c r="H122" s="423"/>
      <c r="I122" s="423"/>
      <c r="J122" s="423"/>
      <c r="K122" s="423"/>
      <c r="L122" s="423"/>
      <c r="M122" s="423"/>
      <c r="N122" s="423"/>
      <c r="O122" s="423"/>
      <c r="P122" s="423"/>
      <c r="Q122" s="423"/>
      <c r="R122" s="423"/>
      <c r="S122" s="423"/>
      <c r="T122" s="423"/>
      <c r="U122" s="423"/>
      <c r="V122" s="423"/>
      <c r="W122" s="423"/>
      <c r="X122" s="423"/>
      <c r="Y122" s="423"/>
      <c r="Z122" s="423"/>
      <c r="AA122" s="423"/>
      <c r="AB122" s="423"/>
      <c r="AC122" s="423"/>
      <c r="AD122" s="423"/>
      <c r="AE122" s="423"/>
      <c r="AF122" s="423"/>
      <c r="AG122" s="423"/>
      <c r="AH122" s="423"/>
      <c r="AI122" s="423"/>
      <c r="AJ122" s="80"/>
      <c r="AK122" s="352"/>
    </row>
    <row r="123" spans="1:37" ht="13.5" customHeight="1" x14ac:dyDescent="0.45">
      <c r="A123" s="618"/>
      <c r="B123" s="215"/>
      <c r="C123" s="84" t="s">
        <v>770</v>
      </c>
      <c r="D123" s="423"/>
      <c r="E123" s="423"/>
      <c r="F123" s="423"/>
      <c r="G123" s="423"/>
      <c r="H123" s="423"/>
      <c r="I123" s="423"/>
      <c r="J123" s="423"/>
      <c r="K123" s="423"/>
      <c r="L123" s="423"/>
      <c r="M123" s="423"/>
      <c r="N123" s="423"/>
      <c r="O123" s="423"/>
      <c r="P123" s="423"/>
      <c r="Q123" s="423"/>
      <c r="R123" s="423"/>
      <c r="S123" s="423"/>
      <c r="T123" s="423"/>
      <c r="U123" s="423"/>
      <c r="V123" s="423"/>
      <c r="W123" s="423"/>
      <c r="X123" s="423"/>
      <c r="Y123" s="423"/>
      <c r="Z123" s="423"/>
      <c r="AA123" s="423"/>
      <c r="AB123" s="423"/>
      <c r="AC123" s="423"/>
      <c r="AD123" s="423"/>
      <c r="AE123" s="423"/>
      <c r="AF123" s="423"/>
      <c r="AG123" s="423"/>
      <c r="AH123" s="423"/>
      <c r="AI123" s="423"/>
      <c r="AJ123" s="80"/>
      <c r="AK123" s="352"/>
    </row>
    <row r="124" spans="1:37" ht="13.5" customHeight="1" x14ac:dyDescent="0.45">
      <c r="A124" s="618"/>
      <c r="B124" s="215"/>
      <c r="C124" s="85" t="s">
        <v>771</v>
      </c>
      <c r="D124" s="285">
        <v>869</v>
      </c>
      <c r="E124" s="285">
        <v>869</v>
      </c>
      <c r="F124" s="285">
        <v>869</v>
      </c>
      <c r="G124" s="285">
        <v>869</v>
      </c>
      <c r="H124" s="285">
        <v>869</v>
      </c>
      <c r="I124" s="285">
        <v>869</v>
      </c>
      <c r="J124" s="285">
        <v>869</v>
      </c>
      <c r="K124" s="285">
        <v>869</v>
      </c>
      <c r="L124" s="285">
        <v>869</v>
      </c>
      <c r="M124" s="285">
        <v>869</v>
      </c>
      <c r="N124" s="285">
        <v>869</v>
      </c>
      <c r="O124" s="285">
        <v>869</v>
      </c>
      <c r="P124" s="285">
        <v>869</v>
      </c>
      <c r="Q124" s="285">
        <v>869</v>
      </c>
      <c r="R124" s="285">
        <v>869</v>
      </c>
      <c r="S124" s="285">
        <v>869</v>
      </c>
      <c r="T124" s="285">
        <v>869</v>
      </c>
      <c r="U124" s="285">
        <v>869</v>
      </c>
      <c r="V124" s="285">
        <v>869</v>
      </c>
      <c r="W124" s="285">
        <v>869</v>
      </c>
      <c r="X124" s="285">
        <v>869</v>
      </c>
      <c r="Y124" s="285">
        <v>869</v>
      </c>
      <c r="Z124" s="285">
        <v>869</v>
      </c>
      <c r="AA124" s="285">
        <v>869</v>
      </c>
      <c r="AB124" s="285">
        <v>869</v>
      </c>
      <c r="AC124" s="285">
        <v>869</v>
      </c>
      <c r="AD124" s="285">
        <v>869</v>
      </c>
      <c r="AE124" s="285">
        <v>869</v>
      </c>
      <c r="AF124" s="285">
        <v>869</v>
      </c>
      <c r="AG124" s="285">
        <v>869</v>
      </c>
      <c r="AH124" s="285">
        <v>869</v>
      </c>
      <c r="AI124" s="285">
        <v>869</v>
      </c>
      <c r="AJ124" s="78">
        <v>869</v>
      </c>
      <c r="AK124" s="352"/>
    </row>
    <row r="125" spans="1:37" ht="13.5" customHeight="1" x14ac:dyDescent="0.45">
      <c r="A125" s="618"/>
      <c r="B125" s="215"/>
      <c r="C125" s="77" t="s">
        <v>772</v>
      </c>
      <c r="D125" s="285">
        <v>869</v>
      </c>
      <c r="E125" s="285">
        <v>845</v>
      </c>
      <c r="F125" s="285">
        <v>845</v>
      </c>
      <c r="G125" s="285">
        <v>845</v>
      </c>
      <c r="H125" s="285">
        <v>845</v>
      </c>
      <c r="I125" s="285">
        <v>845</v>
      </c>
      <c r="J125" s="285">
        <v>845</v>
      </c>
      <c r="K125" s="285">
        <v>825</v>
      </c>
      <c r="L125" s="285">
        <v>825</v>
      </c>
      <c r="M125" s="285">
        <v>825</v>
      </c>
      <c r="N125" s="285">
        <v>825</v>
      </c>
      <c r="O125" s="285">
        <v>825</v>
      </c>
      <c r="P125" s="285">
        <v>805</v>
      </c>
      <c r="Q125" s="285">
        <v>805</v>
      </c>
      <c r="R125" s="285">
        <v>805</v>
      </c>
      <c r="S125" s="285">
        <v>805</v>
      </c>
      <c r="T125" s="285">
        <v>805</v>
      </c>
      <c r="U125" s="285">
        <v>790</v>
      </c>
      <c r="V125" s="285">
        <v>790</v>
      </c>
      <c r="W125" s="285">
        <v>790</v>
      </c>
      <c r="X125" s="285">
        <v>790</v>
      </c>
      <c r="Y125" s="285">
        <v>790</v>
      </c>
      <c r="Z125" s="285">
        <v>775</v>
      </c>
      <c r="AA125" s="285">
        <v>775</v>
      </c>
      <c r="AB125" s="285">
        <v>775</v>
      </c>
      <c r="AC125" s="285">
        <v>775</v>
      </c>
      <c r="AD125" s="285">
        <v>775</v>
      </c>
      <c r="AE125" s="285">
        <v>759</v>
      </c>
      <c r="AF125" s="285">
        <v>759</v>
      </c>
      <c r="AG125" s="285">
        <v>759</v>
      </c>
      <c r="AH125" s="285">
        <v>759</v>
      </c>
      <c r="AI125" s="285">
        <v>759</v>
      </c>
      <c r="AJ125" s="78">
        <v>744</v>
      </c>
      <c r="AK125" s="352"/>
    </row>
    <row r="126" spans="1:37" ht="13.5" customHeight="1" x14ac:dyDescent="0.45">
      <c r="A126" s="618"/>
      <c r="B126" s="215"/>
      <c r="C126" s="77" t="s">
        <v>773</v>
      </c>
      <c r="D126" s="285">
        <v>1190</v>
      </c>
      <c r="E126" s="285">
        <v>1000</v>
      </c>
      <c r="F126" s="285">
        <v>1000</v>
      </c>
      <c r="G126" s="285">
        <v>1000</v>
      </c>
      <c r="H126" s="285">
        <v>1000</v>
      </c>
      <c r="I126" s="285">
        <v>1000</v>
      </c>
      <c r="J126" s="285">
        <v>1000</v>
      </c>
      <c r="K126" s="285">
        <v>991.5</v>
      </c>
      <c r="L126" s="285">
        <v>991.5</v>
      </c>
      <c r="M126" s="285">
        <v>991.5</v>
      </c>
      <c r="N126" s="285">
        <v>991.5</v>
      </c>
      <c r="O126" s="285">
        <v>991.5</v>
      </c>
      <c r="P126" s="285">
        <v>983</v>
      </c>
      <c r="Q126" s="285">
        <v>983</v>
      </c>
      <c r="R126" s="285">
        <v>983</v>
      </c>
      <c r="S126" s="285">
        <v>983</v>
      </c>
      <c r="T126" s="285">
        <v>983</v>
      </c>
      <c r="U126" s="285">
        <v>965.5</v>
      </c>
      <c r="V126" s="285">
        <v>965.5</v>
      </c>
      <c r="W126" s="285">
        <v>965.5</v>
      </c>
      <c r="X126" s="285">
        <v>965.5</v>
      </c>
      <c r="Y126" s="285">
        <v>965.5</v>
      </c>
      <c r="Z126" s="285">
        <v>948</v>
      </c>
      <c r="AA126" s="285">
        <v>948</v>
      </c>
      <c r="AB126" s="285">
        <v>948</v>
      </c>
      <c r="AC126" s="285">
        <v>948</v>
      </c>
      <c r="AD126" s="285">
        <v>948</v>
      </c>
      <c r="AE126" s="285">
        <v>930.5</v>
      </c>
      <c r="AF126" s="285">
        <v>930.5</v>
      </c>
      <c r="AG126" s="285">
        <v>930.5</v>
      </c>
      <c r="AH126" s="285">
        <v>930.5</v>
      </c>
      <c r="AI126" s="285">
        <v>930.5</v>
      </c>
      <c r="AJ126" s="78">
        <v>913</v>
      </c>
      <c r="AK126" s="352"/>
    </row>
    <row r="127" spans="1:37" ht="13.5" customHeight="1" x14ac:dyDescent="0.45">
      <c r="A127" s="618"/>
      <c r="B127" s="215"/>
      <c r="C127" s="77" t="s">
        <v>774</v>
      </c>
      <c r="D127" s="285">
        <v>2450</v>
      </c>
      <c r="E127" s="285">
        <v>2450</v>
      </c>
      <c r="F127" s="285">
        <v>2450</v>
      </c>
      <c r="G127" s="285">
        <v>2450</v>
      </c>
      <c r="H127" s="285">
        <v>2450</v>
      </c>
      <c r="I127" s="285">
        <v>2450</v>
      </c>
      <c r="J127" s="285">
        <v>2450</v>
      </c>
      <c r="K127" s="285">
        <v>2325</v>
      </c>
      <c r="L127" s="285">
        <v>2325</v>
      </c>
      <c r="M127" s="285">
        <v>2325</v>
      </c>
      <c r="N127" s="285">
        <v>2325</v>
      </c>
      <c r="O127" s="285">
        <v>2325</v>
      </c>
      <c r="P127" s="285">
        <v>2200</v>
      </c>
      <c r="Q127" s="285">
        <v>2200</v>
      </c>
      <c r="R127" s="285">
        <v>2200</v>
      </c>
      <c r="S127" s="285">
        <v>2200</v>
      </c>
      <c r="T127" s="285">
        <v>2200</v>
      </c>
      <c r="U127" s="285">
        <v>2175</v>
      </c>
      <c r="V127" s="285">
        <v>2175</v>
      </c>
      <c r="W127" s="285">
        <v>2175</v>
      </c>
      <c r="X127" s="285">
        <v>2175</v>
      </c>
      <c r="Y127" s="285">
        <v>2175</v>
      </c>
      <c r="Z127" s="285">
        <v>2150</v>
      </c>
      <c r="AA127" s="285">
        <v>2150</v>
      </c>
      <c r="AB127" s="285">
        <v>2150</v>
      </c>
      <c r="AC127" s="285">
        <v>2150</v>
      </c>
      <c r="AD127" s="285">
        <v>2150</v>
      </c>
      <c r="AE127" s="285">
        <v>2125</v>
      </c>
      <c r="AF127" s="285">
        <v>2125</v>
      </c>
      <c r="AG127" s="285">
        <v>2125</v>
      </c>
      <c r="AH127" s="285">
        <v>2125</v>
      </c>
      <c r="AI127" s="285">
        <v>2125</v>
      </c>
      <c r="AJ127" s="78">
        <v>2100</v>
      </c>
      <c r="AK127" s="352"/>
    </row>
    <row r="128" spans="1:37" ht="13.5" customHeight="1" x14ac:dyDescent="0.45">
      <c r="A128" s="618"/>
      <c r="B128" s="215"/>
      <c r="C128" s="77" t="s">
        <v>766</v>
      </c>
      <c r="D128" s="285" t="s">
        <v>221</v>
      </c>
      <c r="E128" s="285" t="s">
        <v>221</v>
      </c>
      <c r="F128" s="285" t="s">
        <v>221</v>
      </c>
      <c r="G128" s="285" t="s">
        <v>221</v>
      </c>
      <c r="H128" s="285" t="s">
        <v>221</v>
      </c>
      <c r="I128" s="285" t="s">
        <v>221</v>
      </c>
      <c r="J128" s="285" t="s">
        <v>221</v>
      </c>
      <c r="K128" s="285" t="s">
        <v>221</v>
      </c>
      <c r="L128" s="285" t="s">
        <v>221</v>
      </c>
      <c r="M128" s="285" t="s">
        <v>221</v>
      </c>
      <c r="N128" s="285" t="s">
        <v>221</v>
      </c>
      <c r="O128" s="285" t="s">
        <v>221</v>
      </c>
      <c r="P128" s="285" t="s">
        <v>221</v>
      </c>
      <c r="Q128" s="285" t="s">
        <v>221</v>
      </c>
      <c r="R128" s="285" t="s">
        <v>221</v>
      </c>
      <c r="S128" s="285" t="s">
        <v>221</v>
      </c>
      <c r="T128" s="285" t="s">
        <v>221</v>
      </c>
      <c r="U128" s="285" t="s">
        <v>221</v>
      </c>
      <c r="V128" s="285" t="s">
        <v>221</v>
      </c>
      <c r="W128" s="285" t="s">
        <v>221</v>
      </c>
      <c r="X128" s="285" t="s">
        <v>221</v>
      </c>
      <c r="Y128" s="285" t="s">
        <v>221</v>
      </c>
      <c r="Z128" s="285" t="s">
        <v>221</v>
      </c>
      <c r="AA128" s="285" t="s">
        <v>221</v>
      </c>
      <c r="AB128" s="285" t="s">
        <v>221</v>
      </c>
      <c r="AC128" s="285" t="s">
        <v>221</v>
      </c>
      <c r="AD128" s="285" t="s">
        <v>221</v>
      </c>
      <c r="AE128" s="285" t="s">
        <v>221</v>
      </c>
      <c r="AF128" s="285" t="s">
        <v>221</v>
      </c>
      <c r="AG128" s="285" t="s">
        <v>221</v>
      </c>
      <c r="AH128" s="285" t="s">
        <v>221</v>
      </c>
      <c r="AI128" s="285" t="s">
        <v>221</v>
      </c>
      <c r="AJ128" s="78" t="s">
        <v>221</v>
      </c>
      <c r="AK128" s="352"/>
    </row>
    <row r="129" spans="1:37" ht="13.5" customHeight="1" x14ac:dyDescent="0.45">
      <c r="A129" s="618"/>
      <c r="B129" s="215"/>
      <c r="C129" s="79" t="s">
        <v>775</v>
      </c>
      <c r="D129" s="423"/>
      <c r="E129" s="423"/>
      <c r="F129" s="423"/>
      <c r="G129" s="423"/>
      <c r="H129" s="423"/>
      <c r="I129" s="423"/>
      <c r="J129" s="423"/>
      <c r="K129" s="423"/>
      <c r="L129" s="423"/>
      <c r="M129" s="423"/>
      <c r="N129" s="423"/>
      <c r="O129" s="423"/>
      <c r="P129" s="423"/>
      <c r="Q129" s="423"/>
      <c r="R129" s="423"/>
      <c r="S129" s="423"/>
      <c r="T129" s="423"/>
      <c r="U129" s="423"/>
      <c r="V129" s="423"/>
      <c r="W129" s="423"/>
      <c r="X129" s="423"/>
      <c r="Y129" s="423"/>
      <c r="Z129" s="423"/>
      <c r="AA129" s="423"/>
      <c r="AB129" s="423"/>
      <c r="AC129" s="423"/>
      <c r="AD129" s="423"/>
      <c r="AE129" s="423"/>
      <c r="AF129" s="423"/>
      <c r="AG129" s="423"/>
      <c r="AH129" s="423"/>
      <c r="AI129" s="423"/>
      <c r="AJ129" s="80"/>
      <c r="AK129" s="352"/>
    </row>
    <row r="130" spans="1:37" ht="13.5" customHeight="1" x14ac:dyDescent="0.45">
      <c r="A130" s="618"/>
      <c r="B130" s="215"/>
      <c r="C130" s="84" t="s">
        <v>770</v>
      </c>
      <c r="D130" s="423"/>
      <c r="E130" s="423"/>
      <c r="F130" s="423"/>
      <c r="G130" s="423"/>
      <c r="H130" s="423"/>
      <c r="I130" s="423"/>
      <c r="J130" s="423"/>
      <c r="K130" s="423"/>
      <c r="L130" s="423"/>
      <c r="M130" s="423"/>
      <c r="N130" s="423"/>
      <c r="O130" s="423"/>
      <c r="P130" s="423"/>
      <c r="Q130" s="423"/>
      <c r="R130" s="423"/>
      <c r="S130" s="423"/>
      <c r="T130" s="423"/>
      <c r="U130" s="423"/>
      <c r="V130" s="423"/>
      <c r="W130" s="423"/>
      <c r="X130" s="423"/>
      <c r="Y130" s="423"/>
      <c r="Z130" s="423"/>
      <c r="AA130" s="423"/>
      <c r="AB130" s="423"/>
      <c r="AC130" s="423"/>
      <c r="AD130" s="423"/>
      <c r="AE130" s="423"/>
      <c r="AF130" s="423"/>
      <c r="AG130" s="423"/>
      <c r="AH130" s="423"/>
      <c r="AI130" s="423"/>
      <c r="AJ130" s="80"/>
      <c r="AK130" s="352"/>
    </row>
    <row r="131" spans="1:37" ht="13.5" customHeight="1" x14ac:dyDescent="0.45">
      <c r="A131" s="618"/>
      <c r="B131" s="215"/>
      <c r="C131" s="77" t="s">
        <v>776</v>
      </c>
      <c r="D131" s="285">
        <v>5855</v>
      </c>
      <c r="E131" s="285">
        <v>5085</v>
      </c>
      <c r="F131" s="285">
        <v>5085</v>
      </c>
      <c r="G131" s="285">
        <v>5085</v>
      </c>
      <c r="H131" s="285">
        <v>5085</v>
      </c>
      <c r="I131" s="285">
        <v>5085</v>
      </c>
      <c r="J131" s="285">
        <v>5085</v>
      </c>
      <c r="K131" s="285">
        <v>4755</v>
      </c>
      <c r="L131" s="285">
        <v>4755</v>
      </c>
      <c r="M131" s="285">
        <v>4755</v>
      </c>
      <c r="N131" s="285">
        <v>4755</v>
      </c>
      <c r="O131" s="285">
        <v>4755</v>
      </c>
      <c r="P131" s="285">
        <v>4424</v>
      </c>
      <c r="Q131" s="285">
        <v>4424</v>
      </c>
      <c r="R131" s="285">
        <v>4424</v>
      </c>
      <c r="S131" s="285">
        <v>4424</v>
      </c>
      <c r="T131" s="285">
        <v>4424</v>
      </c>
      <c r="U131" s="285">
        <v>4424</v>
      </c>
      <c r="V131" s="285">
        <v>4424</v>
      </c>
      <c r="W131" s="285">
        <v>4424</v>
      </c>
      <c r="X131" s="285">
        <v>4424</v>
      </c>
      <c r="Y131" s="285">
        <v>4424</v>
      </c>
      <c r="Z131" s="285">
        <v>4424</v>
      </c>
      <c r="AA131" s="285">
        <v>4424</v>
      </c>
      <c r="AB131" s="285">
        <v>4424</v>
      </c>
      <c r="AC131" s="285">
        <v>4424</v>
      </c>
      <c r="AD131" s="285">
        <v>4424</v>
      </c>
      <c r="AE131" s="285">
        <v>4424</v>
      </c>
      <c r="AF131" s="285">
        <v>4424</v>
      </c>
      <c r="AG131" s="285">
        <v>4424</v>
      </c>
      <c r="AH131" s="285">
        <v>4424</v>
      </c>
      <c r="AI131" s="285">
        <v>4424</v>
      </c>
      <c r="AJ131" s="78">
        <v>4424</v>
      </c>
      <c r="AK131" s="352"/>
    </row>
    <row r="132" spans="1:37" ht="13.5" customHeight="1" x14ac:dyDescent="0.45">
      <c r="A132" s="618"/>
      <c r="B132" s="215"/>
      <c r="C132" s="77" t="s">
        <v>777</v>
      </c>
      <c r="D132" s="285">
        <v>1770</v>
      </c>
      <c r="E132" s="285">
        <v>1770</v>
      </c>
      <c r="F132" s="285">
        <v>1770</v>
      </c>
      <c r="G132" s="285">
        <v>1770</v>
      </c>
      <c r="H132" s="285">
        <v>1770</v>
      </c>
      <c r="I132" s="285">
        <v>1770</v>
      </c>
      <c r="J132" s="285">
        <v>1770</v>
      </c>
      <c r="K132" s="285">
        <v>1770</v>
      </c>
      <c r="L132" s="285">
        <v>1770</v>
      </c>
      <c r="M132" s="285">
        <v>1770</v>
      </c>
      <c r="N132" s="285">
        <v>1770</v>
      </c>
      <c r="O132" s="285">
        <v>1770</v>
      </c>
      <c r="P132" s="285">
        <v>1770</v>
      </c>
      <c r="Q132" s="285">
        <v>1770</v>
      </c>
      <c r="R132" s="285">
        <v>1770</v>
      </c>
      <c r="S132" s="285">
        <v>1770</v>
      </c>
      <c r="T132" s="285">
        <v>1770</v>
      </c>
      <c r="U132" s="285">
        <v>1770</v>
      </c>
      <c r="V132" s="285">
        <v>1770</v>
      </c>
      <c r="W132" s="285">
        <v>1770</v>
      </c>
      <c r="X132" s="285">
        <v>1770</v>
      </c>
      <c r="Y132" s="285">
        <v>1770</v>
      </c>
      <c r="Z132" s="285">
        <v>1770</v>
      </c>
      <c r="AA132" s="285">
        <v>1770</v>
      </c>
      <c r="AB132" s="285">
        <v>1770</v>
      </c>
      <c r="AC132" s="285">
        <v>1770</v>
      </c>
      <c r="AD132" s="285">
        <v>1770</v>
      </c>
      <c r="AE132" s="285">
        <v>1770</v>
      </c>
      <c r="AF132" s="285">
        <v>1770</v>
      </c>
      <c r="AG132" s="285">
        <v>1770</v>
      </c>
      <c r="AH132" s="285">
        <v>1770</v>
      </c>
      <c r="AI132" s="285">
        <v>1770</v>
      </c>
      <c r="AJ132" s="78">
        <v>1770</v>
      </c>
      <c r="AK132" s="352"/>
    </row>
    <row r="133" spans="1:37" ht="13.5" customHeight="1" x14ac:dyDescent="0.45">
      <c r="A133" s="618"/>
      <c r="B133" s="215"/>
      <c r="C133" s="77" t="s">
        <v>778</v>
      </c>
      <c r="D133" s="285">
        <v>4500</v>
      </c>
      <c r="E133" s="285">
        <v>4500</v>
      </c>
      <c r="F133" s="285">
        <v>4500</v>
      </c>
      <c r="G133" s="285">
        <v>4500</v>
      </c>
      <c r="H133" s="285">
        <v>4500</v>
      </c>
      <c r="I133" s="285">
        <v>4500</v>
      </c>
      <c r="J133" s="285">
        <v>4500</v>
      </c>
      <c r="K133" s="285">
        <v>4500</v>
      </c>
      <c r="L133" s="285">
        <v>4500</v>
      </c>
      <c r="M133" s="285">
        <v>4500</v>
      </c>
      <c r="N133" s="285">
        <v>4500</v>
      </c>
      <c r="O133" s="285">
        <v>4500</v>
      </c>
      <c r="P133" s="285">
        <v>4500</v>
      </c>
      <c r="Q133" s="285">
        <v>4500</v>
      </c>
      <c r="R133" s="285">
        <v>4500</v>
      </c>
      <c r="S133" s="285">
        <v>4500</v>
      </c>
      <c r="T133" s="285">
        <v>4500</v>
      </c>
      <c r="U133" s="285">
        <v>4400</v>
      </c>
      <c r="V133" s="285">
        <v>4400</v>
      </c>
      <c r="W133" s="285">
        <v>4400</v>
      </c>
      <c r="X133" s="285">
        <v>4400</v>
      </c>
      <c r="Y133" s="285">
        <v>4400</v>
      </c>
      <c r="Z133" s="285">
        <v>4300</v>
      </c>
      <c r="AA133" s="285">
        <v>4300</v>
      </c>
      <c r="AB133" s="285">
        <v>4300</v>
      </c>
      <c r="AC133" s="285">
        <v>4300</v>
      </c>
      <c r="AD133" s="285">
        <v>4300</v>
      </c>
      <c r="AE133" s="285">
        <v>4200</v>
      </c>
      <c r="AF133" s="285">
        <v>4200</v>
      </c>
      <c r="AG133" s="285">
        <v>4200</v>
      </c>
      <c r="AH133" s="285">
        <v>4200</v>
      </c>
      <c r="AI133" s="285">
        <v>4200</v>
      </c>
      <c r="AJ133" s="78">
        <v>4100</v>
      </c>
      <c r="AK133" s="352"/>
    </row>
    <row r="134" spans="1:37" ht="13.5" customHeight="1" x14ac:dyDescent="0.45">
      <c r="A134" s="618"/>
      <c r="B134" s="215"/>
      <c r="C134" s="77" t="s">
        <v>766</v>
      </c>
      <c r="D134" s="285">
        <v>1000</v>
      </c>
      <c r="E134" s="285">
        <v>1000</v>
      </c>
      <c r="F134" s="285">
        <v>1000</v>
      </c>
      <c r="G134" s="285">
        <v>1000</v>
      </c>
      <c r="H134" s="285">
        <v>1000</v>
      </c>
      <c r="I134" s="285">
        <v>1000</v>
      </c>
      <c r="J134" s="285">
        <v>1000</v>
      </c>
      <c r="K134" s="285">
        <v>1000</v>
      </c>
      <c r="L134" s="285">
        <v>1000</v>
      </c>
      <c r="M134" s="285">
        <v>1000</v>
      </c>
      <c r="N134" s="285">
        <v>1000</v>
      </c>
      <c r="O134" s="285">
        <v>1000</v>
      </c>
      <c r="P134" s="285">
        <v>1000</v>
      </c>
      <c r="Q134" s="285">
        <v>1000</v>
      </c>
      <c r="R134" s="285">
        <v>1000</v>
      </c>
      <c r="S134" s="285">
        <v>1000</v>
      </c>
      <c r="T134" s="285">
        <v>1000</v>
      </c>
      <c r="U134" s="285">
        <v>1000</v>
      </c>
      <c r="V134" s="285">
        <v>1000</v>
      </c>
      <c r="W134" s="285">
        <v>1000</v>
      </c>
      <c r="X134" s="285">
        <v>1000</v>
      </c>
      <c r="Y134" s="285">
        <v>1000</v>
      </c>
      <c r="Z134" s="285">
        <v>1000</v>
      </c>
      <c r="AA134" s="285">
        <v>1000</v>
      </c>
      <c r="AB134" s="285">
        <v>1000</v>
      </c>
      <c r="AC134" s="285">
        <v>1000</v>
      </c>
      <c r="AD134" s="285">
        <v>1000</v>
      </c>
      <c r="AE134" s="285">
        <v>1000</v>
      </c>
      <c r="AF134" s="285">
        <v>1000</v>
      </c>
      <c r="AG134" s="285">
        <v>1000</v>
      </c>
      <c r="AH134" s="285">
        <v>1000</v>
      </c>
      <c r="AI134" s="285">
        <v>1000</v>
      </c>
      <c r="AJ134" s="78">
        <v>1000</v>
      </c>
      <c r="AK134" s="352"/>
    </row>
    <row r="135" spans="1:37" ht="13.5" customHeight="1" x14ac:dyDescent="0.45">
      <c r="A135" s="618"/>
      <c r="B135" s="215"/>
      <c r="C135" s="81" t="s">
        <v>289</v>
      </c>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c r="AA135" s="314"/>
      <c r="AB135" s="314"/>
      <c r="AC135" s="314"/>
      <c r="AD135" s="314"/>
      <c r="AE135" s="314"/>
      <c r="AF135" s="314"/>
      <c r="AG135" s="314"/>
      <c r="AH135" s="314"/>
      <c r="AI135" s="314"/>
      <c r="AJ135" s="82"/>
      <c r="AK135" s="352"/>
    </row>
    <row r="136" spans="1:37" ht="13.5" customHeight="1" x14ac:dyDescent="0.45">
      <c r="A136" s="618"/>
      <c r="B136" s="215"/>
      <c r="C136" s="75" t="s">
        <v>779</v>
      </c>
      <c r="D136" s="422"/>
      <c r="E136" s="422"/>
      <c r="F136" s="422"/>
      <c r="G136" s="422"/>
      <c r="H136" s="422"/>
      <c r="I136" s="422"/>
      <c r="J136" s="422"/>
      <c r="K136" s="422"/>
      <c r="L136" s="422"/>
      <c r="M136" s="422"/>
      <c r="N136" s="422"/>
      <c r="O136" s="422"/>
      <c r="P136" s="422"/>
      <c r="Q136" s="422"/>
      <c r="R136" s="422"/>
      <c r="S136" s="422"/>
      <c r="T136" s="422"/>
      <c r="U136" s="422"/>
      <c r="V136" s="422"/>
      <c r="W136" s="422"/>
      <c r="X136" s="422"/>
      <c r="Y136" s="422"/>
      <c r="Z136" s="422"/>
      <c r="AA136" s="422"/>
      <c r="AB136" s="422"/>
      <c r="AC136" s="422"/>
      <c r="AD136" s="422"/>
      <c r="AE136" s="422"/>
      <c r="AF136" s="422"/>
      <c r="AG136" s="422"/>
      <c r="AH136" s="422"/>
      <c r="AI136" s="422"/>
      <c r="AJ136" s="76"/>
      <c r="AK136" s="352"/>
    </row>
    <row r="137" spans="1:37" ht="13.5" customHeight="1" x14ac:dyDescent="0.45">
      <c r="A137" s="618"/>
      <c r="B137" s="215"/>
      <c r="C137" s="77" t="s">
        <v>780</v>
      </c>
      <c r="D137" s="285">
        <v>2500</v>
      </c>
      <c r="E137" s="285">
        <v>2500</v>
      </c>
      <c r="F137" s="285">
        <v>2500</v>
      </c>
      <c r="G137" s="285">
        <v>2500</v>
      </c>
      <c r="H137" s="285">
        <v>2500</v>
      </c>
      <c r="I137" s="285">
        <v>2500</v>
      </c>
      <c r="J137" s="285">
        <v>2500</v>
      </c>
      <c r="K137" s="285">
        <v>2500</v>
      </c>
      <c r="L137" s="285">
        <v>2500</v>
      </c>
      <c r="M137" s="285">
        <v>2500</v>
      </c>
      <c r="N137" s="285">
        <v>2500</v>
      </c>
      <c r="O137" s="285">
        <v>2500</v>
      </c>
      <c r="P137" s="285">
        <v>2500</v>
      </c>
      <c r="Q137" s="285">
        <v>2500</v>
      </c>
      <c r="R137" s="285">
        <v>2500</v>
      </c>
      <c r="S137" s="285">
        <v>2500</v>
      </c>
      <c r="T137" s="285">
        <v>2500</v>
      </c>
      <c r="U137" s="285">
        <v>2250</v>
      </c>
      <c r="V137" s="285">
        <v>2250</v>
      </c>
      <c r="W137" s="285">
        <v>2250</v>
      </c>
      <c r="X137" s="285">
        <v>2250</v>
      </c>
      <c r="Y137" s="285">
        <v>2250</v>
      </c>
      <c r="Z137" s="285">
        <v>1875</v>
      </c>
      <c r="AA137" s="285">
        <v>1875</v>
      </c>
      <c r="AB137" s="285">
        <v>1875</v>
      </c>
      <c r="AC137" s="285">
        <v>1875</v>
      </c>
      <c r="AD137" s="285">
        <v>1875</v>
      </c>
      <c r="AE137" s="285">
        <v>1875</v>
      </c>
      <c r="AF137" s="285">
        <v>1875</v>
      </c>
      <c r="AG137" s="285">
        <v>1875</v>
      </c>
      <c r="AH137" s="285">
        <v>1875</v>
      </c>
      <c r="AI137" s="285">
        <v>1875</v>
      </c>
      <c r="AJ137" s="78">
        <v>1875</v>
      </c>
      <c r="AK137" s="352"/>
    </row>
    <row r="138" spans="1:37" ht="13.5" customHeight="1" x14ac:dyDescent="0.45">
      <c r="A138" s="3"/>
      <c r="B138" s="215"/>
      <c r="C138" s="86" t="s">
        <v>781</v>
      </c>
      <c r="D138" s="87">
        <v>4275</v>
      </c>
      <c r="E138" s="87">
        <v>4275</v>
      </c>
      <c r="F138" s="87">
        <v>4275</v>
      </c>
      <c r="G138" s="87">
        <v>4275</v>
      </c>
      <c r="H138" s="87">
        <v>4275</v>
      </c>
      <c r="I138" s="87">
        <v>4275</v>
      </c>
      <c r="J138" s="87">
        <v>4275</v>
      </c>
      <c r="K138" s="87">
        <v>4275</v>
      </c>
      <c r="L138" s="87">
        <v>4275</v>
      </c>
      <c r="M138" s="87">
        <v>4275</v>
      </c>
      <c r="N138" s="87">
        <v>4275</v>
      </c>
      <c r="O138" s="87">
        <v>4275</v>
      </c>
      <c r="P138" s="87">
        <v>4275</v>
      </c>
      <c r="Q138" s="87">
        <v>4275</v>
      </c>
      <c r="R138" s="87">
        <v>4275</v>
      </c>
      <c r="S138" s="87">
        <v>4275</v>
      </c>
      <c r="T138" s="87">
        <v>4275</v>
      </c>
      <c r="U138" s="87">
        <v>4275</v>
      </c>
      <c r="V138" s="87">
        <v>4275</v>
      </c>
      <c r="W138" s="87">
        <v>4275</v>
      </c>
      <c r="X138" s="87">
        <v>4275</v>
      </c>
      <c r="Y138" s="87">
        <v>4275</v>
      </c>
      <c r="Z138" s="87">
        <v>3563</v>
      </c>
      <c r="AA138" s="87">
        <v>3563</v>
      </c>
      <c r="AB138" s="87">
        <v>3563</v>
      </c>
      <c r="AC138" s="87">
        <v>3563</v>
      </c>
      <c r="AD138" s="87">
        <v>3563</v>
      </c>
      <c r="AE138" s="87">
        <v>3563</v>
      </c>
      <c r="AF138" s="87">
        <v>3563</v>
      </c>
      <c r="AG138" s="87">
        <v>3563</v>
      </c>
      <c r="AH138" s="87">
        <v>3563</v>
      </c>
      <c r="AI138" s="87">
        <v>3563</v>
      </c>
      <c r="AJ138" s="88">
        <v>3563</v>
      </c>
      <c r="AK138" s="352"/>
    </row>
    <row r="139" spans="1:37" ht="13.5" customHeight="1" x14ac:dyDescent="0.45">
      <c r="A139" s="3"/>
      <c r="B139" s="215"/>
      <c r="C139" s="221"/>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352"/>
    </row>
    <row r="140" spans="1:37" ht="13.5" customHeight="1" x14ac:dyDescent="0.45">
      <c r="A140" s="3"/>
      <c r="B140" s="215"/>
      <c r="C140" s="221"/>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H140" s="285"/>
      <c r="AI140" s="285"/>
      <c r="AJ140" s="285"/>
      <c r="AK140" s="352"/>
    </row>
    <row r="141" spans="1:37" ht="13.5" customHeight="1" x14ac:dyDescent="0.45">
      <c r="A141" s="3"/>
      <c r="B141" s="215"/>
      <c r="C141" s="221"/>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352"/>
    </row>
    <row r="142" spans="1:37" ht="13.5" customHeight="1" x14ac:dyDescent="0.45">
      <c r="A142" s="3"/>
      <c r="B142" s="215"/>
      <c r="C142" s="221"/>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352"/>
    </row>
    <row r="143" spans="1:37" ht="13.5" customHeight="1" x14ac:dyDescent="0.45">
      <c r="A143" s="3"/>
      <c r="B143" s="215"/>
      <c r="C143" s="243" t="s">
        <v>782</v>
      </c>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352"/>
    </row>
    <row r="144" spans="1:37" ht="13.5" customHeight="1" x14ac:dyDescent="0.45">
      <c r="A144" s="3"/>
      <c r="B144" s="215"/>
      <c r="C144" s="243"/>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285"/>
      <c r="AF144" s="285"/>
      <c r="AG144" s="285"/>
      <c r="AH144" s="285"/>
      <c r="AI144" s="285"/>
      <c r="AJ144" s="285"/>
      <c r="AK144" s="352"/>
    </row>
    <row r="145" spans="1:37" ht="13.5" customHeight="1" x14ac:dyDescent="0.45">
      <c r="A145" s="3"/>
      <c r="B145" s="215"/>
      <c r="C145" s="72" t="s">
        <v>166</v>
      </c>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4"/>
      <c r="AK145" s="352"/>
    </row>
    <row r="146" spans="1:37" ht="13.5" customHeight="1" x14ac:dyDescent="0.45">
      <c r="A146" s="3"/>
      <c r="B146" s="215"/>
      <c r="C146" s="75" t="s">
        <v>739</v>
      </c>
      <c r="D146" s="422"/>
      <c r="E146" s="422"/>
      <c r="F146" s="422"/>
      <c r="G146" s="422"/>
      <c r="H146" s="422"/>
      <c r="I146" s="422"/>
      <c r="J146" s="422"/>
      <c r="K146" s="422"/>
      <c r="L146" s="422"/>
      <c r="M146" s="422"/>
      <c r="N146" s="422"/>
      <c r="O146" s="422"/>
      <c r="P146" s="422"/>
      <c r="Q146" s="422"/>
      <c r="R146" s="422"/>
      <c r="S146" s="422"/>
      <c r="T146" s="422"/>
      <c r="U146" s="422"/>
      <c r="V146" s="422"/>
      <c r="W146" s="422"/>
      <c r="X146" s="422"/>
      <c r="Y146" s="422"/>
      <c r="Z146" s="422"/>
      <c r="AA146" s="422"/>
      <c r="AB146" s="422"/>
      <c r="AC146" s="422"/>
      <c r="AD146" s="422"/>
      <c r="AE146" s="422"/>
      <c r="AF146" s="422"/>
      <c r="AG146" s="422"/>
      <c r="AH146" s="422"/>
      <c r="AI146" s="422"/>
      <c r="AJ146" s="76"/>
      <c r="AK146" s="352"/>
    </row>
    <row r="147" spans="1:37" ht="13.5" customHeight="1" x14ac:dyDescent="0.45">
      <c r="A147" s="3"/>
      <c r="B147" s="215"/>
      <c r="C147" s="77" t="s">
        <v>740</v>
      </c>
      <c r="D147" s="285">
        <v>90</v>
      </c>
      <c r="E147" s="285">
        <v>90</v>
      </c>
      <c r="F147" s="285">
        <v>90</v>
      </c>
      <c r="G147" s="285">
        <v>90</v>
      </c>
      <c r="H147" s="285">
        <v>90</v>
      </c>
      <c r="I147" s="285">
        <v>90</v>
      </c>
      <c r="J147" s="285">
        <v>90</v>
      </c>
      <c r="K147" s="285">
        <v>90</v>
      </c>
      <c r="L147" s="285">
        <v>90</v>
      </c>
      <c r="M147" s="285">
        <v>90</v>
      </c>
      <c r="N147" s="285">
        <v>90</v>
      </c>
      <c r="O147" s="285">
        <v>90</v>
      </c>
      <c r="P147" s="285">
        <v>90</v>
      </c>
      <c r="Q147" s="285">
        <v>90</v>
      </c>
      <c r="R147" s="285">
        <v>90</v>
      </c>
      <c r="S147" s="285">
        <v>90</v>
      </c>
      <c r="T147" s="285">
        <v>90</v>
      </c>
      <c r="U147" s="285">
        <v>90</v>
      </c>
      <c r="V147" s="285">
        <v>90</v>
      </c>
      <c r="W147" s="285">
        <v>90</v>
      </c>
      <c r="X147" s="285">
        <v>90</v>
      </c>
      <c r="Y147" s="285">
        <v>90</v>
      </c>
      <c r="Z147" s="285">
        <v>90</v>
      </c>
      <c r="AA147" s="285">
        <v>90</v>
      </c>
      <c r="AB147" s="285">
        <v>90</v>
      </c>
      <c r="AC147" s="285">
        <v>90</v>
      </c>
      <c r="AD147" s="285">
        <v>90</v>
      </c>
      <c r="AE147" s="285">
        <v>90</v>
      </c>
      <c r="AF147" s="285">
        <v>90</v>
      </c>
      <c r="AG147" s="285">
        <v>90</v>
      </c>
      <c r="AH147" s="285">
        <v>90</v>
      </c>
      <c r="AI147" s="285">
        <v>90</v>
      </c>
      <c r="AJ147" s="78">
        <v>90</v>
      </c>
      <c r="AK147" s="352"/>
    </row>
    <row r="148" spans="1:37" ht="13.5" customHeight="1" x14ac:dyDescent="0.45">
      <c r="A148" s="3"/>
      <c r="B148" s="215"/>
      <c r="C148" s="77" t="s">
        <v>741</v>
      </c>
      <c r="D148" s="285">
        <v>95</v>
      </c>
      <c r="E148" s="285">
        <v>95</v>
      </c>
      <c r="F148" s="285">
        <v>95</v>
      </c>
      <c r="G148" s="285">
        <v>95</v>
      </c>
      <c r="H148" s="285">
        <v>95</v>
      </c>
      <c r="I148" s="285">
        <v>95</v>
      </c>
      <c r="J148" s="285">
        <v>95</v>
      </c>
      <c r="K148" s="285">
        <v>91</v>
      </c>
      <c r="L148" s="285">
        <v>91</v>
      </c>
      <c r="M148" s="285">
        <v>91</v>
      </c>
      <c r="N148" s="285">
        <v>91</v>
      </c>
      <c r="O148" s="285">
        <v>91</v>
      </c>
      <c r="P148" s="285">
        <v>88</v>
      </c>
      <c r="Q148" s="285">
        <v>88</v>
      </c>
      <c r="R148" s="285">
        <v>88</v>
      </c>
      <c r="S148" s="285">
        <v>88</v>
      </c>
      <c r="T148" s="285">
        <v>88</v>
      </c>
      <c r="U148" s="285">
        <v>87</v>
      </c>
      <c r="V148" s="285">
        <v>87</v>
      </c>
      <c r="W148" s="285">
        <v>87</v>
      </c>
      <c r="X148" s="285">
        <v>87</v>
      </c>
      <c r="Y148" s="285">
        <v>87</v>
      </c>
      <c r="Z148" s="285">
        <v>86</v>
      </c>
      <c r="AA148" s="285">
        <v>86</v>
      </c>
      <c r="AB148" s="285">
        <v>86</v>
      </c>
      <c r="AC148" s="285">
        <v>86</v>
      </c>
      <c r="AD148" s="285">
        <v>86</v>
      </c>
      <c r="AE148" s="285">
        <v>85</v>
      </c>
      <c r="AF148" s="285">
        <v>85</v>
      </c>
      <c r="AG148" s="285">
        <v>85</v>
      </c>
      <c r="AH148" s="285">
        <v>85</v>
      </c>
      <c r="AI148" s="285">
        <v>85</v>
      </c>
      <c r="AJ148" s="78">
        <v>84</v>
      </c>
      <c r="AK148" s="352"/>
    </row>
    <row r="149" spans="1:37" ht="13.5" customHeight="1" x14ac:dyDescent="0.45">
      <c r="A149" s="3"/>
      <c r="B149" s="215"/>
      <c r="C149" s="75" t="s">
        <v>742</v>
      </c>
      <c r="D149" s="422"/>
      <c r="E149" s="422"/>
      <c r="F149" s="422"/>
      <c r="G149" s="422"/>
      <c r="H149" s="422"/>
      <c r="I149" s="422"/>
      <c r="J149" s="422"/>
      <c r="K149" s="422"/>
      <c r="L149" s="422"/>
      <c r="M149" s="422"/>
      <c r="N149" s="422"/>
      <c r="O149" s="422"/>
      <c r="P149" s="422"/>
      <c r="Q149" s="422"/>
      <c r="R149" s="422"/>
      <c r="S149" s="422"/>
      <c r="T149" s="422"/>
      <c r="U149" s="422"/>
      <c r="V149" s="422"/>
      <c r="W149" s="422"/>
      <c r="X149" s="422"/>
      <c r="Y149" s="422"/>
      <c r="Z149" s="422"/>
      <c r="AA149" s="422"/>
      <c r="AB149" s="422"/>
      <c r="AC149" s="422"/>
      <c r="AD149" s="422"/>
      <c r="AE149" s="422"/>
      <c r="AF149" s="422"/>
      <c r="AG149" s="422"/>
      <c r="AH149" s="422"/>
      <c r="AI149" s="422"/>
      <c r="AJ149" s="76"/>
      <c r="AK149" s="352"/>
    </row>
    <row r="150" spans="1:37" ht="13.5" customHeight="1" x14ac:dyDescent="0.45">
      <c r="A150" s="3"/>
      <c r="B150" s="215"/>
      <c r="C150" s="79" t="s">
        <v>743</v>
      </c>
      <c r="D150" s="423">
        <v>160</v>
      </c>
      <c r="E150" s="423">
        <v>160</v>
      </c>
      <c r="F150" s="423">
        <v>160</v>
      </c>
      <c r="G150" s="423">
        <v>160</v>
      </c>
      <c r="H150" s="423">
        <v>160</v>
      </c>
      <c r="I150" s="423">
        <v>160</v>
      </c>
      <c r="J150" s="423">
        <v>160</v>
      </c>
      <c r="K150" s="423">
        <v>160</v>
      </c>
      <c r="L150" s="423">
        <v>160</v>
      </c>
      <c r="M150" s="423">
        <v>160</v>
      </c>
      <c r="N150" s="423">
        <v>160</v>
      </c>
      <c r="O150" s="423">
        <v>160</v>
      </c>
      <c r="P150" s="423">
        <v>160</v>
      </c>
      <c r="Q150" s="423">
        <v>160</v>
      </c>
      <c r="R150" s="423">
        <v>160</v>
      </c>
      <c r="S150" s="423">
        <v>160</v>
      </c>
      <c r="T150" s="423">
        <v>160</v>
      </c>
      <c r="U150" s="423">
        <v>160</v>
      </c>
      <c r="V150" s="423">
        <v>160</v>
      </c>
      <c r="W150" s="423">
        <v>160</v>
      </c>
      <c r="X150" s="423">
        <v>160</v>
      </c>
      <c r="Y150" s="423">
        <v>160</v>
      </c>
      <c r="Z150" s="423">
        <v>160</v>
      </c>
      <c r="AA150" s="423">
        <v>160</v>
      </c>
      <c r="AB150" s="423">
        <v>160</v>
      </c>
      <c r="AC150" s="423">
        <v>160</v>
      </c>
      <c r="AD150" s="423">
        <v>160</v>
      </c>
      <c r="AE150" s="423">
        <v>160</v>
      </c>
      <c r="AF150" s="423">
        <v>160</v>
      </c>
      <c r="AG150" s="423">
        <v>160</v>
      </c>
      <c r="AH150" s="423">
        <v>160</v>
      </c>
      <c r="AI150" s="423">
        <v>160</v>
      </c>
      <c r="AJ150" s="80">
        <v>160</v>
      </c>
      <c r="AK150" s="352"/>
    </row>
    <row r="151" spans="1:37" ht="13.5" customHeight="1" x14ac:dyDescent="0.45">
      <c r="A151" s="3"/>
      <c r="B151" s="215"/>
      <c r="C151" s="79" t="s">
        <v>744</v>
      </c>
      <c r="D151" s="423">
        <v>195</v>
      </c>
      <c r="E151" s="423">
        <v>195</v>
      </c>
      <c r="F151" s="423">
        <v>195</v>
      </c>
      <c r="G151" s="423">
        <v>195</v>
      </c>
      <c r="H151" s="423">
        <v>195</v>
      </c>
      <c r="I151" s="423">
        <v>195</v>
      </c>
      <c r="J151" s="423">
        <v>195</v>
      </c>
      <c r="K151" s="423">
        <v>195</v>
      </c>
      <c r="L151" s="423">
        <v>195</v>
      </c>
      <c r="M151" s="423">
        <v>195</v>
      </c>
      <c r="N151" s="423">
        <v>195</v>
      </c>
      <c r="O151" s="423">
        <v>195</v>
      </c>
      <c r="P151" s="423">
        <v>195</v>
      </c>
      <c r="Q151" s="423">
        <v>195</v>
      </c>
      <c r="R151" s="423">
        <v>195</v>
      </c>
      <c r="S151" s="423">
        <v>195</v>
      </c>
      <c r="T151" s="423">
        <v>195</v>
      </c>
      <c r="U151" s="423">
        <v>195</v>
      </c>
      <c r="V151" s="423">
        <v>195</v>
      </c>
      <c r="W151" s="423">
        <v>195</v>
      </c>
      <c r="X151" s="423">
        <v>195</v>
      </c>
      <c r="Y151" s="423">
        <v>195</v>
      </c>
      <c r="Z151" s="423">
        <v>195</v>
      </c>
      <c r="AA151" s="423">
        <v>195</v>
      </c>
      <c r="AB151" s="423">
        <v>195</v>
      </c>
      <c r="AC151" s="423">
        <v>195</v>
      </c>
      <c r="AD151" s="423">
        <v>195</v>
      </c>
      <c r="AE151" s="423">
        <v>195</v>
      </c>
      <c r="AF151" s="423">
        <v>195</v>
      </c>
      <c r="AG151" s="423">
        <v>195</v>
      </c>
      <c r="AH151" s="423">
        <v>195</v>
      </c>
      <c r="AI151" s="423">
        <v>195</v>
      </c>
      <c r="AJ151" s="80">
        <v>195</v>
      </c>
      <c r="AK151" s="352"/>
    </row>
    <row r="152" spans="1:37" ht="13.5" customHeight="1" x14ac:dyDescent="0.45">
      <c r="A152" s="3"/>
      <c r="B152" s="215"/>
      <c r="C152" s="81" t="s">
        <v>171</v>
      </c>
      <c r="D152" s="424">
        <v>37.950000000000003</v>
      </c>
      <c r="E152" s="424">
        <v>37.950000000000003</v>
      </c>
      <c r="F152" s="424">
        <v>34.29</v>
      </c>
      <c r="G152" s="424">
        <v>34.29</v>
      </c>
      <c r="H152" s="424">
        <v>34.29</v>
      </c>
      <c r="I152" s="424">
        <v>34.29</v>
      </c>
      <c r="J152" s="424">
        <v>34.29</v>
      </c>
      <c r="K152" s="424">
        <v>30.65</v>
      </c>
      <c r="L152" s="424">
        <v>30.65</v>
      </c>
      <c r="M152" s="424">
        <v>30.65</v>
      </c>
      <c r="N152" s="424">
        <v>30.65</v>
      </c>
      <c r="O152" s="424">
        <v>30.65</v>
      </c>
      <c r="P152" s="424">
        <v>27</v>
      </c>
      <c r="Q152" s="424">
        <v>27</v>
      </c>
      <c r="R152" s="424">
        <v>27</v>
      </c>
      <c r="S152" s="424">
        <v>27</v>
      </c>
      <c r="T152" s="424">
        <v>27</v>
      </c>
      <c r="U152" s="424">
        <v>24.59</v>
      </c>
      <c r="V152" s="424">
        <v>24.59</v>
      </c>
      <c r="W152" s="424">
        <v>24.59</v>
      </c>
      <c r="X152" s="424">
        <v>24.59</v>
      </c>
      <c r="Y152" s="424">
        <v>24.59</v>
      </c>
      <c r="Z152" s="424">
        <v>22.19</v>
      </c>
      <c r="AA152" s="424">
        <v>22.19</v>
      </c>
      <c r="AB152" s="424">
        <v>22.19</v>
      </c>
      <c r="AC152" s="424">
        <v>22.19</v>
      </c>
      <c r="AD152" s="424">
        <v>22.19</v>
      </c>
      <c r="AE152" s="424">
        <v>19.78</v>
      </c>
      <c r="AF152" s="424">
        <v>19.78</v>
      </c>
      <c r="AG152" s="424">
        <v>19.78</v>
      </c>
      <c r="AH152" s="424">
        <v>19.78</v>
      </c>
      <c r="AI152" s="424">
        <v>19.78</v>
      </c>
      <c r="AJ152" s="89">
        <v>17.37</v>
      </c>
      <c r="AK152" s="352"/>
    </row>
    <row r="153" spans="1:37" ht="13.5" customHeight="1" x14ac:dyDescent="0.45">
      <c r="A153" s="3"/>
      <c r="B153" s="215"/>
      <c r="C153" s="81" t="s">
        <v>172</v>
      </c>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c r="AA153" s="314"/>
      <c r="AB153" s="314"/>
      <c r="AC153" s="314"/>
      <c r="AD153" s="314"/>
      <c r="AE153" s="314"/>
      <c r="AF153" s="314"/>
      <c r="AG153" s="314"/>
      <c r="AH153" s="314"/>
      <c r="AI153" s="314"/>
      <c r="AJ153" s="82"/>
      <c r="AK153" s="352"/>
    </row>
    <row r="154" spans="1:37" ht="13.5" customHeight="1" x14ac:dyDescent="0.45">
      <c r="A154" s="3"/>
      <c r="B154" s="215"/>
      <c r="C154" s="75" t="s">
        <v>748</v>
      </c>
      <c r="D154" s="422"/>
      <c r="E154" s="422"/>
      <c r="F154" s="422"/>
      <c r="G154" s="422"/>
      <c r="H154" s="422"/>
      <c r="I154" s="422"/>
      <c r="J154" s="422"/>
      <c r="K154" s="422"/>
      <c r="L154" s="422"/>
      <c r="M154" s="422"/>
      <c r="N154" s="422"/>
      <c r="O154" s="422"/>
      <c r="P154" s="422"/>
      <c r="Q154" s="422"/>
      <c r="R154" s="422"/>
      <c r="S154" s="422"/>
      <c r="T154" s="422"/>
      <c r="U154" s="422"/>
      <c r="V154" s="422"/>
      <c r="W154" s="422"/>
      <c r="X154" s="422"/>
      <c r="Y154" s="422"/>
      <c r="Z154" s="422"/>
      <c r="AA154" s="422"/>
      <c r="AB154" s="422"/>
      <c r="AC154" s="422"/>
      <c r="AD154" s="422"/>
      <c r="AE154" s="422"/>
      <c r="AF154" s="422"/>
      <c r="AG154" s="422"/>
      <c r="AH154" s="422"/>
      <c r="AI154" s="422"/>
      <c r="AJ154" s="76"/>
      <c r="AK154" s="352"/>
    </row>
    <row r="155" spans="1:37" ht="13.5" customHeight="1" x14ac:dyDescent="0.45">
      <c r="A155" s="3"/>
      <c r="B155" s="215"/>
      <c r="C155" s="79" t="s">
        <v>749</v>
      </c>
      <c r="D155" s="423"/>
      <c r="E155" s="423"/>
      <c r="F155" s="423"/>
      <c r="G155" s="423"/>
      <c r="H155" s="423"/>
      <c r="I155" s="423"/>
      <c r="J155" s="423"/>
      <c r="K155" s="423"/>
      <c r="L155" s="423"/>
      <c r="M155" s="423"/>
      <c r="N155" s="423"/>
      <c r="O155" s="423"/>
      <c r="P155" s="423"/>
      <c r="Q155" s="423"/>
      <c r="R155" s="423"/>
      <c r="S155" s="423"/>
      <c r="T155" s="423"/>
      <c r="U155" s="423"/>
      <c r="V155" s="423"/>
      <c r="W155" s="423"/>
      <c r="X155" s="423"/>
      <c r="Y155" s="423"/>
      <c r="Z155" s="423"/>
      <c r="AA155" s="423"/>
      <c r="AB155" s="423"/>
      <c r="AC155" s="423"/>
      <c r="AD155" s="423"/>
      <c r="AE155" s="423"/>
      <c r="AF155" s="423"/>
      <c r="AG155" s="423"/>
      <c r="AH155" s="423"/>
      <c r="AI155" s="423"/>
      <c r="AJ155" s="80"/>
      <c r="AK155" s="352"/>
    </row>
    <row r="156" spans="1:37" ht="13.5" customHeight="1" x14ac:dyDescent="0.45">
      <c r="A156" s="3"/>
      <c r="B156" s="215"/>
      <c r="C156" s="84" t="s">
        <v>750</v>
      </c>
      <c r="D156" s="423"/>
      <c r="E156" s="423"/>
      <c r="F156" s="423"/>
      <c r="G156" s="423"/>
      <c r="H156" s="423"/>
      <c r="I156" s="423"/>
      <c r="J156" s="423"/>
      <c r="K156" s="423"/>
      <c r="L156" s="423"/>
      <c r="M156" s="423"/>
      <c r="N156" s="423"/>
      <c r="O156" s="423"/>
      <c r="P156" s="423"/>
      <c r="Q156" s="423"/>
      <c r="R156" s="423"/>
      <c r="S156" s="423"/>
      <c r="T156" s="423"/>
      <c r="U156" s="423"/>
      <c r="V156" s="423"/>
      <c r="W156" s="423"/>
      <c r="X156" s="423"/>
      <c r="Y156" s="423"/>
      <c r="Z156" s="423"/>
      <c r="AA156" s="423"/>
      <c r="AB156" s="423"/>
      <c r="AC156" s="423"/>
      <c r="AD156" s="423"/>
      <c r="AE156" s="423"/>
      <c r="AF156" s="423"/>
      <c r="AG156" s="423"/>
      <c r="AH156" s="423"/>
      <c r="AI156" s="423"/>
      <c r="AJ156" s="80"/>
      <c r="AK156" s="352"/>
    </row>
    <row r="157" spans="1:37" ht="13.5" customHeight="1" x14ac:dyDescent="0.45">
      <c r="A157" s="3"/>
      <c r="B157" s="215"/>
      <c r="C157" s="77" t="s">
        <v>751</v>
      </c>
      <c r="D157" s="285" t="s">
        <v>221</v>
      </c>
      <c r="E157" s="285" t="s">
        <v>221</v>
      </c>
      <c r="F157" s="285" t="s">
        <v>221</v>
      </c>
      <c r="G157" s="285" t="s">
        <v>221</v>
      </c>
      <c r="H157" s="285" t="s">
        <v>221</v>
      </c>
      <c r="I157" s="285" t="s">
        <v>221</v>
      </c>
      <c r="J157" s="285" t="s">
        <v>221</v>
      </c>
      <c r="K157" s="285" t="s">
        <v>221</v>
      </c>
      <c r="L157" s="285" t="s">
        <v>221</v>
      </c>
      <c r="M157" s="285" t="s">
        <v>221</v>
      </c>
      <c r="N157" s="285" t="s">
        <v>221</v>
      </c>
      <c r="O157" s="285" t="s">
        <v>221</v>
      </c>
      <c r="P157" s="285" t="s">
        <v>221</v>
      </c>
      <c r="Q157" s="285" t="s">
        <v>221</v>
      </c>
      <c r="R157" s="285" t="s">
        <v>221</v>
      </c>
      <c r="S157" s="285" t="s">
        <v>221</v>
      </c>
      <c r="T157" s="285" t="s">
        <v>221</v>
      </c>
      <c r="U157" s="285" t="s">
        <v>221</v>
      </c>
      <c r="V157" s="285" t="s">
        <v>221</v>
      </c>
      <c r="W157" s="285" t="s">
        <v>221</v>
      </c>
      <c r="X157" s="285" t="s">
        <v>221</v>
      </c>
      <c r="Y157" s="285" t="s">
        <v>221</v>
      </c>
      <c r="Z157" s="285" t="s">
        <v>221</v>
      </c>
      <c r="AA157" s="285" t="s">
        <v>221</v>
      </c>
      <c r="AB157" s="285" t="s">
        <v>221</v>
      </c>
      <c r="AC157" s="285" t="s">
        <v>221</v>
      </c>
      <c r="AD157" s="285" t="s">
        <v>221</v>
      </c>
      <c r="AE157" s="285" t="s">
        <v>221</v>
      </c>
      <c r="AF157" s="285" t="s">
        <v>221</v>
      </c>
      <c r="AG157" s="285" t="s">
        <v>221</v>
      </c>
      <c r="AH157" s="285" t="s">
        <v>221</v>
      </c>
      <c r="AI157" s="285" t="s">
        <v>221</v>
      </c>
      <c r="AJ157" s="78" t="s">
        <v>221</v>
      </c>
      <c r="AK157" s="352"/>
    </row>
    <row r="158" spans="1:37" ht="13.5" customHeight="1" x14ac:dyDescent="0.45">
      <c r="A158" s="3"/>
      <c r="B158" s="215"/>
      <c r="C158" s="77" t="s">
        <v>752</v>
      </c>
      <c r="D158" s="285">
        <v>63.33</v>
      </c>
      <c r="E158" s="285">
        <v>63.33</v>
      </c>
      <c r="F158" s="285">
        <v>63.33</v>
      </c>
      <c r="G158" s="285">
        <v>63.33</v>
      </c>
      <c r="H158" s="285">
        <v>63.33</v>
      </c>
      <c r="I158" s="285">
        <v>63.33</v>
      </c>
      <c r="J158" s="285">
        <v>63.33</v>
      </c>
      <c r="K158" s="285">
        <v>63.33</v>
      </c>
      <c r="L158" s="285">
        <v>63.33</v>
      </c>
      <c r="M158" s="285">
        <v>63.33</v>
      </c>
      <c r="N158" s="285">
        <v>63.33</v>
      </c>
      <c r="O158" s="285">
        <v>63.33</v>
      </c>
      <c r="P158" s="285">
        <v>63.33</v>
      </c>
      <c r="Q158" s="285">
        <v>63.33</v>
      </c>
      <c r="R158" s="285">
        <v>63.33</v>
      </c>
      <c r="S158" s="285">
        <v>63.33</v>
      </c>
      <c r="T158" s="285">
        <v>63.33</v>
      </c>
      <c r="U158" s="285">
        <v>63.33</v>
      </c>
      <c r="V158" s="285">
        <v>63.33</v>
      </c>
      <c r="W158" s="285">
        <v>63.33</v>
      </c>
      <c r="X158" s="285">
        <v>63.33</v>
      </c>
      <c r="Y158" s="285">
        <v>63.33</v>
      </c>
      <c r="Z158" s="285">
        <v>63.33</v>
      </c>
      <c r="AA158" s="285">
        <v>63.33</v>
      </c>
      <c r="AB158" s="285">
        <v>63.33</v>
      </c>
      <c r="AC158" s="285">
        <v>63.33</v>
      </c>
      <c r="AD158" s="285">
        <v>63.33</v>
      </c>
      <c r="AE158" s="285">
        <v>63.33</v>
      </c>
      <c r="AF158" s="285">
        <v>63.33</v>
      </c>
      <c r="AG158" s="285">
        <v>63.33</v>
      </c>
      <c r="AH158" s="285">
        <v>63.33</v>
      </c>
      <c r="AI158" s="285">
        <v>63.33</v>
      </c>
      <c r="AJ158" s="78">
        <v>63.33</v>
      </c>
      <c r="AK158" s="352"/>
    </row>
    <row r="159" spans="1:37" ht="13.5" customHeight="1" x14ac:dyDescent="0.45">
      <c r="A159" s="3"/>
      <c r="B159" s="215"/>
      <c r="C159" s="77" t="s">
        <v>753</v>
      </c>
      <c r="D159" s="285">
        <v>42</v>
      </c>
      <c r="E159" s="285">
        <v>42</v>
      </c>
      <c r="F159" s="285">
        <v>42</v>
      </c>
      <c r="G159" s="285">
        <v>42</v>
      </c>
      <c r="H159" s="285">
        <v>42</v>
      </c>
      <c r="I159" s="285">
        <v>42</v>
      </c>
      <c r="J159" s="285">
        <v>42</v>
      </c>
      <c r="K159" s="285">
        <v>42</v>
      </c>
      <c r="L159" s="285">
        <v>42</v>
      </c>
      <c r="M159" s="285">
        <v>42</v>
      </c>
      <c r="N159" s="285">
        <v>42</v>
      </c>
      <c r="O159" s="285">
        <v>42</v>
      </c>
      <c r="P159" s="285">
        <v>42</v>
      </c>
      <c r="Q159" s="285">
        <v>42</v>
      </c>
      <c r="R159" s="285">
        <v>42</v>
      </c>
      <c r="S159" s="285">
        <v>42</v>
      </c>
      <c r="T159" s="285">
        <v>42</v>
      </c>
      <c r="U159" s="285">
        <v>42</v>
      </c>
      <c r="V159" s="285">
        <v>42</v>
      </c>
      <c r="W159" s="285">
        <v>42</v>
      </c>
      <c r="X159" s="285">
        <v>42</v>
      </c>
      <c r="Y159" s="285">
        <v>42</v>
      </c>
      <c r="Z159" s="285">
        <v>42</v>
      </c>
      <c r="AA159" s="285">
        <v>42</v>
      </c>
      <c r="AB159" s="285">
        <v>42</v>
      </c>
      <c r="AC159" s="285">
        <v>42</v>
      </c>
      <c r="AD159" s="285">
        <v>42</v>
      </c>
      <c r="AE159" s="285">
        <v>42</v>
      </c>
      <c r="AF159" s="285">
        <v>42</v>
      </c>
      <c r="AG159" s="285">
        <v>42</v>
      </c>
      <c r="AH159" s="285">
        <v>42</v>
      </c>
      <c r="AI159" s="285">
        <v>42</v>
      </c>
      <c r="AJ159" s="78">
        <v>42</v>
      </c>
      <c r="AK159" s="352"/>
    </row>
    <row r="160" spans="1:37" ht="13.5" customHeight="1" x14ac:dyDescent="0.45">
      <c r="A160" s="3"/>
      <c r="B160" s="215"/>
      <c r="C160" s="77" t="s">
        <v>754</v>
      </c>
      <c r="D160" s="285" t="s">
        <v>221</v>
      </c>
      <c r="E160" s="285" t="s">
        <v>221</v>
      </c>
      <c r="F160" s="285" t="s">
        <v>221</v>
      </c>
      <c r="G160" s="285" t="s">
        <v>221</v>
      </c>
      <c r="H160" s="285" t="s">
        <v>221</v>
      </c>
      <c r="I160" s="285" t="s">
        <v>221</v>
      </c>
      <c r="J160" s="285" t="s">
        <v>221</v>
      </c>
      <c r="K160" s="285" t="s">
        <v>221</v>
      </c>
      <c r="L160" s="285" t="s">
        <v>221</v>
      </c>
      <c r="M160" s="285" t="s">
        <v>221</v>
      </c>
      <c r="N160" s="285" t="s">
        <v>221</v>
      </c>
      <c r="O160" s="285" t="s">
        <v>221</v>
      </c>
      <c r="P160" s="285" t="s">
        <v>221</v>
      </c>
      <c r="Q160" s="285" t="s">
        <v>221</v>
      </c>
      <c r="R160" s="285" t="s">
        <v>221</v>
      </c>
      <c r="S160" s="285" t="s">
        <v>221</v>
      </c>
      <c r="T160" s="285" t="s">
        <v>221</v>
      </c>
      <c r="U160" s="285" t="s">
        <v>221</v>
      </c>
      <c r="V160" s="285" t="s">
        <v>221</v>
      </c>
      <c r="W160" s="285" t="s">
        <v>221</v>
      </c>
      <c r="X160" s="285" t="s">
        <v>221</v>
      </c>
      <c r="Y160" s="285" t="s">
        <v>221</v>
      </c>
      <c r="Z160" s="285" t="s">
        <v>221</v>
      </c>
      <c r="AA160" s="285" t="s">
        <v>221</v>
      </c>
      <c r="AB160" s="285" t="s">
        <v>221</v>
      </c>
      <c r="AC160" s="285" t="s">
        <v>221</v>
      </c>
      <c r="AD160" s="285" t="s">
        <v>221</v>
      </c>
      <c r="AE160" s="285" t="s">
        <v>221</v>
      </c>
      <c r="AF160" s="285" t="s">
        <v>221</v>
      </c>
      <c r="AG160" s="285" t="s">
        <v>221</v>
      </c>
      <c r="AH160" s="285" t="s">
        <v>221</v>
      </c>
      <c r="AI160" s="285" t="s">
        <v>221</v>
      </c>
      <c r="AJ160" s="78" t="s">
        <v>221</v>
      </c>
      <c r="AK160" s="352"/>
    </row>
    <row r="161" spans="1:37" ht="13.5" customHeight="1" x14ac:dyDescent="0.45">
      <c r="A161" s="3"/>
      <c r="B161" s="215"/>
      <c r="C161" s="77" t="s">
        <v>755</v>
      </c>
      <c r="D161" s="285">
        <v>63.33</v>
      </c>
      <c r="E161" s="285">
        <v>63.33</v>
      </c>
      <c r="F161" s="285">
        <v>63.33</v>
      </c>
      <c r="G161" s="285">
        <v>63.33</v>
      </c>
      <c r="H161" s="285">
        <v>63.33</v>
      </c>
      <c r="I161" s="285">
        <v>63.33</v>
      </c>
      <c r="J161" s="285">
        <v>63.33</v>
      </c>
      <c r="K161" s="285">
        <v>63.33</v>
      </c>
      <c r="L161" s="285">
        <v>63.33</v>
      </c>
      <c r="M161" s="285">
        <v>63.33</v>
      </c>
      <c r="N161" s="285">
        <v>63.33</v>
      </c>
      <c r="O161" s="285">
        <v>63.33</v>
      </c>
      <c r="P161" s="285">
        <v>63.33</v>
      </c>
      <c r="Q161" s="285">
        <v>63.33</v>
      </c>
      <c r="R161" s="285">
        <v>63.33</v>
      </c>
      <c r="S161" s="285">
        <v>63.33</v>
      </c>
      <c r="T161" s="285">
        <v>63.33</v>
      </c>
      <c r="U161" s="285">
        <v>63.33</v>
      </c>
      <c r="V161" s="285">
        <v>63.33</v>
      </c>
      <c r="W161" s="285">
        <v>63.33</v>
      </c>
      <c r="X161" s="285">
        <v>63.33</v>
      </c>
      <c r="Y161" s="285">
        <v>63.33</v>
      </c>
      <c r="Z161" s="285">
        <v>63.33</v>
      </c>
      <c r="AA161" s="285">
        <v>63.33</v>
      </c>
      <c r="AB161" s="285">
        <v>63.33</v>
      </c>
      <c r="AC161" s="285">
        <v>63.33</v>
      </c>
      <c r="AD161" s="285">
        <v>63.33</v>
      </c>
      <c r="AE161" s="285">
        <v>63.33</v>
      </c>
      <c r="AF161" s="285">
        <v>63.33</v>
      </c>
      <c r="AG161" s="285">
        <v>63.33</v>
      </c>
      <c r="AH161" s="285">
        <v>63.33</v>
      </c>
      <c r="AI161" s="285">
        <v>63.33</v>
      </c>
      <c r="AJ161" s="78">
        <v>63.33</v>
      </c>
      <c r="AK161" s="352"/>
    </row>
    <row r="162" spans="1:37" ht="13.5" customHeight="1" x14ac:dyDescent="0.45">
      <c r="A162" s="3"/>
      <c r="B162" s="215"/>
      <c r="C162" s="77" t="s">
        <v>756</v>
      </c>
      <c r="D162" s="285">
        <v>42</v>
      </c>
      <c r="E162" s="285">
        <v>42</v>
      </c>
      <c r="F162" s="285">
        <v>42</v>
      </c>
      <c r="G162" s="285">
        <v>42</v>
      </c>
      <c r="H162" s="285">
        <v>42</v>
      </c>
      <c r="I162" s="285">
        <v>42</v>
      </c>
      <c r="J162" s="285">
        <v>42</v>
      </c>
      <c r="K162" s="285">
        <v>42</v>
      </c>
      <c r="L162" s="285">
        <v>42</v>
      </c>
      <c r="M162" s="285">
        <v>42</v>
      </c>
      <c r="N162" s="285">
        <v>42</v>
      </c>
      <c r="O162" s="285">
        <v>42</v>
      </c>
      <c r="P162" s="285">
        <v>42</v>
      </c>
      <c r="Q162" s="285">
        <v>42</v>
      </c>
      <c r="R162" s="285">
        <v>42</v>
      </c>
      <c r="S162" s="285">
        <v>42</v>
      </c>
      <c r="T162" s="285">
        <v>42</v>
      </c>
      <c r="U162" s="285">
        <v>42</v>
      </c>
      <c r="V162" s="285">
        <v>42</v>
      </c>
      <c r="W162" s="285">
        <v>42</v>
      </c>
      <c r="X162" s="285">
        <v>42</v>
      </c>
      <c r="Y162" s="285">
        <v>42</v>
      </c>
      <c r="Z162" s="285">
        <v>42</v>
      </c>
      <c r="AA162" s="285">
        <v>42</v>
      </c>
      <c r="AB162" s="285">
        <v>42</v>
      </c>
      <c r="AC162" s="285">
        <v>42</v>
      </c>
      <c r="AD162" s="285">
        <v>42</v>
      </c>
      <c r="AE162" s="285">
        <v>42</v>
      </c>
      <c r="AF162" s="285">
        <v>42</v>
      </c>
      <c r="AG162" s="285">
        <v>42</v>
      </c>
      <c r="AH162" s="285">
        <v>42</v>
      </c>
      <c r="AI162" s="285">
        <v>42</v>
      </c>
      <c r="AJ162" s="78">
        <v>42</v>
      </c>
      <c r="AK162" s="352"/>
    </row>
    <row r="163" spans="1:37" ht="13.5" customHeight="1" x14ac:dyDescent="0.45">
      <c r="A163" s="3"/>
      <c r="B163" s="215"/>
      <c r="C163" s="79" t="s">
        <v>757</v>
      </c>
      <c r="D163" s="423"/>
      <c r="E163" s="423"/>
      <c r="F163" s="423"/>
      <c r="G163" s="423"/>
      <c r="H163" s="423"/>
      <c r="I163" s="423"/>
      <c r="J163" s="423"/>
      <c r="K163" s="423"/>
      <c r="L163" s="423"/>
      <c r="M163" s="423"/>
      <c r="N163" s="423"/>
      <c r="O163" s="423"/>
      <c r="P163" s="423"/>
      <c r="Q163" s="423"/>
      <c r="R163" s="423"/>
      <c r="S163" s="423"/>
      <c r="T163" s="423"/>
      <c r="U163" s="423"/>
      <c r="V163" s="423"/>
      <c r="W163" s="423"/>
      <c r="X163" s="423"/>
      <c r="Y163" s="423"/>
      <c r="Z163" s="423"/>
      <c r="AA163" s="423"/>
      <c r="AB163" s="423"/>
      <c r="AC163" s="423"/>
      <c r="AD163" s="423"/>
      <c r="AE163" s="423"/>
      <c r="AF163" s="423"/>
      <c r="AG163" s="423"/>
      <c r="AH163" s="423"/>
      <c r="AI163" s="423"/>
      <c r="AJ163" s="80"/>
      <c r="AK163" s="352"/>
    </row>
    <row r="164" spans="1:37" ht="13.5" customHeight="1" x14ac:dyDescent="0.45">
      <c r="A164" s="3"/>
      <c r="B164" s="215"/>
      <c r="C164" s="84" t="s">
        <v>750</v>
      </c>
      <c r="D164" s="423"/>
      <c r="E164" s="423"/>
      <c r="F164" s="423"/>
      <c r="G164" s="423"/>
      <c r="H164" s="423"/>
      <c r="I164" s="423"/>
      <c r="J164" s="423"/>
      <c r="K164" s="423"/>
      <c r="L164" s="423"/>
      <c r="M164" s="423"/>
      <c r="N164" s="423"/>
      <c r="O164" s="423"/>
      <c r="P164" s="423"/>
      <c r="Q164" s="423"/>
      <c r="R164" s="423"/>
      <c r="S164" s="423"/>
      <c r="T164" s="423"/>
      <c r="U164" s="423"/>
      <c r="V164" s="423"/>
      <c r="W164" s="423"/>
      <c r="X164" s="423"/>
      <c r="Y164" s="423"/>
      <c r="Z164" s="423"/>
      <c r="AA164" s="423"/>
      <c r="AB164" s="423"/>
      <c r="AC164" s="423"/>
      <c r="AD164" s="423"/>
      <c r="AE164" s="423"/>
      <c r="AF164" s="423"/>
      <c r="AG164" s="423"/>
      <c r="AH164" s="423"/>
      <c r="AI164" s="423"/>
      <c r="AJ164" s="80"/>
      <c r="AK164" s="352"/>
    </row>
    <row r="165" spans="1:37" ht="13.5" customHeight="1" x14ac:dyDescent="0.45">
      <c r="A165" s="3"/>
      <c r="B165" s="215"/>
      <c r="C165" s="77" t="s">
        <v>751</v>
      </c>
      <c r="D165" s="285">
        <v>65.94</v>
      </c>
      <c r="E165" s="285">
        <v>65.94</v>
      </c>
      <c r="F165" s="285">
        <v>65.94</v>
      </c>
      <c r="G165" s="285">
        <v>65.94</v>
      </c>
      <c r="H165" s="285">
        <v>65.94</v>
      </c>
      <c r="I165" s="285">
        <v>65.94</v>
      </c>
      <c r="J165" s="285">
        <v>65.94</v>
      </c>
      <c r="K165" s="285">
        <v>65.94</v>
      </c>
      <c r="L165" s="285">
        <v>65.94</v>
      </c>
      <c r="M165" s="285">
        <v>65.94</v>
      </c>
      <c r="N165" s="285">
        <v>65.94</v>
      </c>
      <c r="O165" s="285">
        <v>65.94</v>
      </c>
      <c r="P165" s="285">
        <v>65.94</v>
      </c>
      <c r="Q165" s="285">
        <v>65.94</v>
      </c>
      <c r="R165" s="285">
        <v>65.94</v>
      </c>
      <c r="S165" s="285">
        <v>65.94</v>
      </c>
      <c r="T165" s="285">
        <v>65.94</v>
      </c>
      <c r="U165" s="285">
        <v>65.94</v>
      </c>
      <c r="V165" s="285">
        <v>65.94</v>
      </c>
      <c r="W165" s="285">
        <v>65.94</v>
      </c>
      <c r="X165" s="285">
        <v>65.94</v>
      </c>
      <c r="Y165" s="285">
        <v>65.94</v>
      </c>
      <c r="Z165" s="285">
        <v>65.94</v>
      </c>
      <c r="AA165" s="285">
        <v>65.94</v>
      </c>
      <c r="AB165" s="285">
        <v>65.94</v>
      </c>
      <c r="AC165" s="285">
        <v>65.94</v>
      </c>
      <c r="AD165" s="285">
        <v>65.94</v>
      </c>
      <c r="AE165" s="285">
        <v>65.94</v>
      </c>
      <c r="AF165" s="285">
        <v>65.94</v>
      </c>
      <c r="AG165" s="285">
        <v>65.94</v>
      </c>
      <c r="AH165" s="285">
        <v>65.94</v>
      </c>
      <c r="AI165" s="285">
        <v>65.94</v>
      </c>
      <c r="AJ165" s="78">
        <v>65.94</v>
      </c>
      <c r="AK165" s="352"/>
    </row>
    <row r="166" spans="1:37" ht="13.5" customHeight="1" x14ac:dyDescent="0.45">
      <c r="A166" s="3"/>
      <c r="B166" s="215"/>
      <c r="C166" s="77" t="s">
        <v>752</v>
      </c>
      <c r="D166" s="285">
        <v>50</v>
      </c>
      <c r="E166" s="285">
        <v>50</v>
      </c>
      <c r="F166" s="285">
        <v>50</v>
      </c>
      <c r="G166" s="285">
        <v>50</v>
      </c>
      <c r="H166" s="285">
        <v>50</v>
      </c>
      <c r="I166" s="285">
        <v>50</v>
      </c>
      <c r="J166" s="285">
        <v>50</v>
      </c>
      <c r="K166" s="285">
        <v>50</v>
      </c>
      <c r="L166" s="285">
        <v>50</v>
      </c>
      <c r="M166" s="285">
        <v>50</v>
      </c>
      <c r="N166" s="285">
        <v>50</v>
      </c>
      <c r="O166" s="285">
        <v>50</v>
      </c>
      <c r="P166" s="285">
        <v>50</v>
      </c>
      <c r="Q166" s="285">
        <v>50</v>
      </c>
      <c r="R166" s="285">
        <v>50</v>
      </c>
      <c r="S166" s="285">
        <v>50</v>
      </c>
      <c r="T166" s="285">
        <v>50</v>
      </c>
      <c r="U166" s="285">
        <v>50</v>
      </c>
      <c r="V166" s="285">
        <v>50</v>
      </c>
      <c r="W166" s="285">
        <v>50</v>
      </c>
      <c r="X166" s="285">
        <v>50</v>
      </c>
      <c r="Y166" s="285">
        <v>50</v>
      </c>
      <c r="Z166" s="285">
        <v>50</v>
      </c>
      <c r="AA166" s="285">
        <v>50</v>
      </c>
      <c r="AB166" s="285">
        <v>50</v>
      </c>
      <c r="AC166" s="285">
        <v>50</v>
      </c>
      <c r="AD166" s="285">
        <v>50</v>
      </c>
      <c r="AE166" s="285">
        <v>50</v>
      </c>
      <c r="AF166" s="285">
        <v>50</v>
      </c>
      <c r="AG166" s="285">
        <v>50</v>
      </c>
      <c r="AH166" s="285">
        <v>50</v>
      </c>
      <c r="AI166" s="285">
        <v>50</v>
      </c>
      <c r="AJ166" s="78">
        <v>50</v>
      </c>
      <c r="AK166" s="352"/>
    </row>
    <row r="167" spans="1:37" ht="13.5" customHeight="1" x14ac:dyDescent="0.45">
      <c r="A167" s="3"/>
      <c r="B167" s="215"/>
      <c r="C167" s="77" t="s">
        <v>753</v>
      </c>
      <c r="D167" s="285">
        <v>42</v>
      </c>
      <c r="E167" s="285">
        <v>42</v>
      </c>
      <c r="F167" s="285">
        <v>42</v>
      </c>
      <c r="G167" s="285">
        <v>42</v>
      </c>
      <c r="H167" s="285">
        <v>42</v>
      </c>
      <c r="I167" s="285">
        <v>42</v>
      </c>
      <c r="J167" s="285">
        <v>42</v>
      </c>
      <c r="K167" s="285">
        <v>42</v>
      </c>
      <c r="L167" s="285">
        <v>42</v>
      </c>
      <c r="M167" s="285">
        <v>42</v>
      </c>
      <c r="N167" s="285">
        <v>42</v>
      </c>
      <c r="O167" s="285">
        <v>42</v>
      </c>
      <c r="P167" s="285">
        <v>42</v>
      </c>
      <c r="Q167" s="285">
        <v>42</v>
      </c>
      <c r="R167" s="285">
        <v>42</v>
      </c>
      <c r="S167" s="285">
        <v>42</v>
      </c>
      <c r="T167" s="285">
        <v>42</v>
      </c>
      <c r="U167" s="285">
        <v>42</v>
      </c>
      <c r="V167" s="285">
        <v>42</v>
      </c>
      <c r="W167" s="285">
        <v>42</v>
      </c>
      <c r="X167" s="285">
        <v>42</v>
      </c>
      <c r="Y167" s="285">
        <v>42</v>
      </c>
      <c r="Z167" s="285">
        <v>42</v>
      </c>
      <c r="AA167" s="285">
        <v>42</v>
      </c>
      <c r="AB167" s="285">
        <v>42</v>
      </c>
      <c r="AC167" s="285">
        <v>42</v>
      </c>
      <c r="AD167" s="285">
        <v>42</v>
      </c>
      <c r="AE167" s="285">
        <v>42</v>
      </c>
      <c r="AF167" s="285">
        <v>42</v>
      </c>
      <c r="AG167" s="285">
        <v>42</v>
      </c>
      <c r="AH167" s="285">
        <v>42</v>
      </c>
      <c r="AI167" s="285">
        <v>42</v>
      </c>
      <c r="AJ167" s="78">
        <v>42</v>
      </c>
      <c r="AK167" s="352"/>
    </row>
    <row r="168" spans="1:37" ht="13.5" customHeight="1" x14ac:dyDescent="0.45">
      <c r="A168" s="3"/>
      <c r="B168" s="215"/>
      <c r="C168" s="77" t="s">
        <v>754</v>
      </c>
      <c r="D168" s="285">
        <v>65.94</v>
      </c>
      <c r="E168" s="285">
        <v>65.94</v>
      </c>
      <c r="F168" s="285">
        <v>65.94</v>
      </c>
      <c r="G168" s="285">
        <v>65.94</v>
      </c>
      <c r="H168" s="285">
        <v>65.94</v>
      </c>
      <c r="I168" s="285">
        <v>65.94</v>
      </c>
      <c r="J168" s="285">
        <v>65.94</v>
      </c>
      <c r="K168" s="285">
        <v>65.94</v>
      </c>
      <c r="L168" s="285">
        <v>65.94</v>
      </c>
      <c r="M168" s="285">
        <v>65.94</v>
      </c>
      <c r="N168" s="285">
        <v>65.94</v>
      </c>
      <c r="O168" s="285">
        <v>65.94</v>
      </c>
      <c r="P168" s="285">
        <v>65.94</v>
      </c>
      <c r="Q168" s="285">
        <v>65.94</v>
      </c>
      <c r="R168" s="285">
        <v>65.94</v>
      </c>
      <c r="S168" s="285">
        <v>65.94</v>
      </c>
      <c r="T168" s="285">
        <v>65.94</v>
      </c>
      <c r="U168" s="285">
        <v>65.94</v>
      </c>
      <c r="V168" s="285">
        <v>65.94</v>
      </c>
      <c r="W168" s="285">
        <v>65.94</v>
      </c>
      <c r="X168" s="285">
        <v>65.94</v>
      </c>
      <c r="Y168" s="285">
        <v>65.94</v>
      </c>
      <c r="Z168" s="285">
        <v>65.94</v>
      </c>
      <c r="AA168" s="285">
        <v>65.94</v>
      </c>
      <c r="AB168" s="285">
        <v>65.94</v>
      </c>
      <c r="AC168" s="285">
        <v>65.94</v>
      </c>
      <c r="AD168" s="285">
        <v>65.94</v>
      </c>
      <c r="AE168" s="285">
        <v>65.94</v>
      </c>
      <c r="AF168" s="285">
        <v>65.94</v>
      </c>
      <c r="AG168" s="285">
        <v>65.94</v>
      </c>
      <c r="AH168" s="285">
        <v>65.94</v>
      </c>
      <c r="AI168" s="285">
        <v>65.94</v>
      </c>
      <c r="AJ168" s="78">
        <v>65.94</v>
      </c>
      <c r="AK168" s="352"/>
    </row>
    <row r="169" spans="1:37" ht="13.5" customHeight="1" x14ac:dyDescent="0.45">
      <c r="A169" s="3"/>
      <c r="B169" s="215"/>
      <c r="C169" s="77" t="s">
        <v>755</v>
      </c>
      <c r="D169" s="285">
        <v>50</v>
      </c>
      <c r="E169" s="285">
        <v>50</v>
      </c>
      <c r="F169" s="285">
        <v>50</v>
      </c>
      <c r="G169" s="285">
        <v>50</v>
      </c>
      <c r="H169" s="285">
        <v>50</v>
      </c>
      <c r="I169" s="285">
        <v>50</v>
      </c>
      <c r="J169" s="285">
        <v>50</v>
      </c>
      <c r="K169" s="285">
        <v>50</v>
      </c>
      <c r="L169" s="285">
        <v>50</v>
      </c>
      <c r="M169" s="285">
        <v>50</v>
      </c>
      <c r="N169" s="285">
        <v>50</v>
      </c>
      <c r="O169" s="285">
        <v>50</v>
      </c>
      <c r="P169" s="285">
        <v>50</v>
      </c>
      <c r="Q169" s="285">
        <v>50</v>
      </c>
      <c r="R169" s="285">
        <v>50</v>
      </c>
      <c r="S169" s="285">
        <v>50</v>
      </c>
      <c r="T169" s="285">
        <v>50</v>
      </c>
      <c r="U169" s="285">
        <v>50</v>
      </c>
      <c r="V169" s="285">
        <v>50</v>
      </c>
      <c r="W169" s="285">
        <v>50</v>
      </c>
      <c r="X169" s="285">
        <v>50</v>
      </c>
      <c r="Y169" s="285">
        <v>50</v>
      </c>
      <c r="Z169" s="285">
        <v>50</v>
      </c>
      <c r="AA169" s="285">
        <v>50</v>
      </c>
      <c r="AB169" s="285">
        <v>50</v>
      </c>
      <c r="AC169" s="285">
        <v>50</v>
      </c>
      <c r="AD169" s="285">
        <v>50</v>
      </c>
      <c r="AE169" s="285">
        <v>50</v>
      </c>
      <c r="AF169" s="285">
        <v>50</v>
      </c>
      <c r="AG169" s="285">
        <v>50</v>
      </c>
      <c r="AH169" s="285">
        <v>50</v>
      </c>
      <c r="AI169" s="285">
        <v>50</v>
      </c>
      <c r="AJ169" s="78">
        <v>50</v>
      </c>
      <c r="AK169" s="352"/>
    </row>
    <row r="170" spans="1:37" ht="13.5" customHeight="1" x14ac:dyDescent="0.45">
      <c r="A170" s="3"/>
      <c r="B170" s="215"/>
      <c r="C170" s="77" t="s">
        <v>756</v>
      </c>
      <c r="D170" s="285">
        <v>42</v>
      </c>
      <c r="E170" s="285">
        <v>42</v>
      </c>
      <c r="F170" s="285">
        <v>42</v>
      </c>
      <c r="G170" s="285">
        <v>42</v>
      </c>
      <c r="H170" s="285">
        <v>42</v>
      </c>
      <c r="I170" s="285">
        <v>42</v>
      </c>
      <c r="J170" s="285">
        <v>42</v>
      </c>
      <c r="K170" s="285">
        <v>42</v>
      </c>
      <c r="L170" s="285">
        <v>42</v>
      </c>
      <c r="M170" s="285">
        <v>42</v>
      </c>
      <c r="N170" s="285">
        <v>42</v>
      </c>
      <c r="O170" s="285">
        <v>42</v>
      </c>
      <c r="P170" s="285">
        <v>42</v>
      </c>
      <c r="Q170" s="285">
        <v>42</v>
      </c>
      <c r="R170" s="285">
        <v>42</v>
      </c>
      <c r="S170" s="285">
        <v>42</v>
      </c>
      <c r="T170" s="285">
        <v>42</v>
      </c>
      <c r="U170" s="285">
        <v>42</v>
      </c>
      <c r="V170" s="285">
        <v>42</v>
      </c>
      <c r="W170" s="285">
        <v>42</v>
      </c>
      <c r="X170" s="285">
        <v>42</v>
      </c>
      <c r="Y170" s="285">
        <v>42</v>
      </c>
      <c r="Z170" s="285">
        <v>42</v>
      </c>
      <c r="AA170" s="285">
        <v>42</v>
      </c>
      <c r="AB170" s="285">
        <v>42</v>
      </c>
      <c r="AC170" s="285">
        <v>42</v>
      </c>
      <c r="AD170" s="285">
        <v>42</v>
      </c>
      <c r="AE170" s="285">
        <v>42</v>
      </c>
      <c r="AF170" s="285">
        <v>42</v>
      </c>
      <c r="AG170" s="285">
        <v>42</v>
      </c>
      <c r="AH170" s="285">
        <v>42</v>
      </c>
      <c r="AI170" s="285">
        <v>42</v>
      </c>
      <c r="AJ170" s="78">
        <v>42</v>
      </c>
      <c r="AK170" s="352"/>
    </row>
    <row r="171" spans="1:37" ht="13.5" customHeight="1" x14ac:dyDescent="0.45">
      <c r="A171" s="3"/>
      <c r="B171" s="215"/>
      <c r="C171" s="81" t="s">
        <v>178</v>
      </c>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c r="AA171" s="314"/>
      <c r="AB171" s="314"/>
      <c r="AC171" s="314"/>
      <c r="AD171" s="314"/>
      <c r="AE171" s="314"/>
      <c r="AF171" s="314"/>
      <c r="AG171" s="314"/>
      <c r="AH171" s="314"/>
      <c r="AI171" s="314"/>
      <c r="AJ171" s="82"/>
      <c r="AK171" s="352"/>
    </row>
    <row r="172" spans="1:37" ht="13.5" customHeight="1" x14ac:dyDescent="0.45">
      <c r="A172" s="3"/>
      <c r="B172" s="215"/>
      <c r="C172" s="75" t="s">
        <v>758</v>
      </c>
      <c r="D172" s="422"/>
      <c r="E172" s="422"/>
      <c r="F172" s="422"/>
      <c r="G172" s="422"/>
      <c r="H172" s="422"/>
      <c r="I172" s="422"/>
      <c r="J172" s="422"/>
      <c r="K172" s="422"/>
      <c r="L172" s="422"/>
      <c r="M172" s="422"/>
      <c r="N172" s="422"/>
      <c r="O172" s="422"/>
      <c r="P172" s="422"/>
      <c r="Q172" s="422"/>
      <c r="R172" s="422"/>
      <c r="S172" s="422"/>
      <c r="T172" s="422"/>
      <c r="U172" s="422"/>
      <c r="V172" s="422"/>
      <c r="W172" s="422"/>
      <c r="X172" s="422"/>
      <c r="Y172" s="422"/>
      <c r="Z172" s="422"/>
      <c r="AA172" s="422"/>
      <c r="AB172" s="422"/>
      <c r="AC172" s="422"/>
      <c r="AD172" s="422"/>
      <c r="AE172" s="422"/>
      <c r="AF172" s="422"/>
      <c r="AG172" s="422"/>
      <c r="AH172" s="422"/>
      <c r="AI172" s="422"/>
      <c r="AJ172" s="76"/>
      <c r="AK172" s="352"/>
    </row>
    <row r="173" spans="1:37" ht="13.5" customHeight="1" x14ac:dyDescent="0.45">
      <c r="A173" s="3"/>
      <c r="B173" s="215"/>
      <c r="C173" s="77" t="s">
        <v>759</v>
      </c>
      <c r="D173" s="285">
        <v>20</v>
      </c>
      <c r="E173" s="285">
        <v>20</v>
      </c>
      <c r="F173" s="285"/>
      <c r="G173" s="285"/>
      <c r="H173" s="285"/>
      <c r="I173" s="285"/>
      <c r="J173" s="285"/>
      <c r="K173" s="285"/>
      <c r="L173" s="285"/>
      <c r="M173" s="285"/>
      <c r="N173" s="285"/>
      <c r="O173" s="285"/>
      <c r="P173" s="285"/>
      <c r="Q173" s="285"/>
      <c r="R173" s="285"/>
      <c r="S173" s="285"/>
      <c r="T173" s="285"/>
      <c r="U173" s="285"/>
      <c r="V173" s="285"/>
      <c r="W173" s="285"/>
      <c r="X173" s="285"/>
      <c r="Y173" s="285"/>
      <c r="Z173" s="285"/>
      <c r="AA173" s="285"/>
      <c r="AB173" s="285"/>
      <c r="AC173" s="285"/>
      <c r="AD173" s="285"/>
      <c r="AE173" s="285"/>
      <c r="AF173" s="285"/>
      <c r="AG173" s="285"/>
      <c r="AH173" s="285"/>
      <c r="AI173" s="285"/>
      <c r="AJ173" s="78"/>
      <c r="AK173" s="352"/>
    </row>
    <row r="174" spans="1:37" ht="13.5" customHeight="1" x14ac:dyDescent="0.45">
      <c r="A174" s="3"/>
      <c r="B174" s="215"/>
      <c r="C174" s="77" t="s">
        <v>760</v>
      </c>
      <c r="D174" s="285">
        <v>19.8</v>
      </c>
      <c r="E174" s="285">
        <v>19.8</v>
      </c>
      <c r="F174" s="285">
        <v>13.6</v>
      </c>
      <c r="G174" s="285">
        <v>13.6</v>
      </c>
      <c r="H174" s="285">
        <v>13.6</v>
      </c>
      <c r="I174" s="285">
        <v>13.6</v>
      </c>
      <c r="J174" s="285">
        <v>13.6</v>
      </c>
      <c r="K174" s="285">
        <v>12.2</v>
      </c>
      <c r="L174" s="285">
        <v>12.2</v>
      </c>
      <c r="M174" s="285">
        <v>12.2</v>
      </c>
      <c r="N174" s="285">
        <v>12.2</v>
      </c>
      <c r="O174" s="285">
        <v>12.2</v>
      </c>
      <c r="P174" s="285">
        <v>10.8</v>
      </c>
      <c r="Q174" s="285">
        <v>10.8</v>
      </c>
      <c r="R174" s="285">
        <v>10.8</v>
      </c>
      <c r="S174" s="285">
        <v>10.8</v>
      </c>
      <c r="T174" s="285">
        <v>10.8</v>
      </c>
      <c r="U174" s="285">
        <v>10.5</v>
      </c>
      <c r="V174" s="285">
        <v>10.5</v>
      </c>
      <c r="W174" s="285">
        <v>10.5</v>
      </c>
      <c r="X174" s="285">
        <v>10.5</v>
      </c>
      <c r="Y174" s="285">
        <v>10.5</v>
      </c>
      <c r="Z174" s="285">
        <v>10.199999999999999</v>
      </c>
      <c r="AA174" s="285">
        <v>10.199999999999999</v>
      </c>
      <c r="AB174" s="285">
        <v>10.199999999999999</v>
      </c>
      <c r="AC174" s="285">
        <v>10.199999999999999</v>
      </c>
      <c r="AD174" s="285">
        <v>10.199999999999999</v>
      </c>
      <c r="AE174" s="285">
        <v>9.9</v>
      </c>
      <c r="AF174" s="285">
        <v>9.9</v>
      </c>
      <c r="AG174" s="285">
        <v>9.9</v>
      </c>
      <c r="AH174" s="285">
        <v>9.9</v>
      </c>
      <c r="AI174" s="285">
        <v>9.9</v>
      </c>
      <c r="AJ174" s="78">
        <v>9.6</v>
      </c>
      <c r="AK174" s="352"/>
    </row>
    <row r="175" spans="1:37" ht="13.5" customHeight="1" x14ac:dyDescent="0.45">
      <c r="A175" s="3"/>
      <c r="B175" s="215"/>
      <c r="C175" s="75" t="s">
        <v>742</v>
      </c>
      <c r="D175" s="422"/>
      <c r="E175" s="422"/>
      <c r="F175" s="422"/>
      <c r="G175" s="422"/>
      <c r="H175" s="422"/>
      <c r="I175" s="422"/>
      <c r="J175" s="422"/>
      <c r="K175" s="422"/>
      <c r="L175" s="422"/>
      <c r="M175" s="422"/>
      <c r="N175" s="422"/>
      <c r="O175" s="422"/>
      <c r="P175" s="422"/>
      <c r="Q175" s="422"/>
      <c r="R175" s="422"/>
      <c r="S175" s="422"/>
      <c r="T175" s="422"/>
      <c r="U175" s="422"/>
      <c r="V175" s="422"/>
      <c r="W175" s="422"/>
      <c r="X175" s="422"/>
      <c r="Y175" s="422"/>
      <c r="Z175" s="422"/>
      <c r="AA175" s="422"/>
      <c r="AB175" s="422"/>
      <c r="AC175" s="422"/>
      <c r="AD175" s="422"/>
      <c r="AE175" s="422"/>
      <c r="AF175" s="422"/>
      <c r="AG175" s="422"/>
      <c r="AH175" s="422"/>
      <c r="AI175" s="422"/>
      <c r="AJ175" s="76"/>
      <c r="AK175" s="352"/>
    </row>
    <row r="176" spans="1:37" ht="13.5" customHeight="1" x14ac:dyDescent="0.45">
      <c r="A176" s="3"/>
      <c r="B176" s="215"/>
      <c r="C176" s="79" t="s">
        <v>761</v>
      </c>
      <c r="D176" s="423">
        <v>0</v>
      </c>
      <c r="E176" s="423">
        <v>0</v>
      </c>
      <c r="F176" s="423"/>
      <c r="G176" s="423"/>
      <c r="H176" s="423"/>
      <c r="I176" s="423"/>
      <c r="J176" s="423"/>
      <c r="K176" s="423"/>
      <c r="L176" s="423"/>
      <c r="M176" s="423"/>
      <c r="N176" s="423"/>
      <c r="O176" s="423"/>
      <c r="P176" s="423"/>
      <c r="Q176" s="423"/>
      <c r="R176" s="423"/>
      <c r="S176" s="423"/>
      <c r="T176" s="423"/>
      <c r="U176" s="423"/>
      <c r="V176" s="423"/>
      <c r="W176" s="423"/>
      <c r="X176" s="423"/>
      <c r="Y176" s="423"/>
      <c r="Z176" s="423"/>
      <c r="AA176" s="423"/>
      <c r="AB176" s="423"/>
      <c r="AC176" s="423"/>
      <c r="AD176" s="423"/>
      <c r="AE176" s="423"/>
      <c r="AF176" s="423"/>
      <c r="AG176" s="423"/>
      <c r="AH176" s="423"/>
      <c r="AI176" s="423"/>
      <c r="AJ176" s="80"/>
      <c r="AK176" s="352"/>
    </row>
    <row r="177" spans="1:37" ht="13.5" customHeight="1" x14ac:dyDescent="0.45">
      <c r="A177" s="3"/>
      <c r="B177" s="215"/>
      <c r="C177" s="79" t="s">
        <v>762</v>
      </c>
      <c r="D177" s="423">
        <v>145.08000000000001</v>
      </c>
      <c r="E177" s="423">
        <v>145.08000000000001</v>
      </c>
      <c r="F177" s="423">
        <v>136.99</v>
      </c>
      <c r="G177" s="423">
        <v>136.99</v>
      </c>
      <c r="H177" s="423">
        <v>136.99</v>
      </c>
      <c r="I177" s="423">
        <v>136.99</v>
      </c>
      <c r="J177" s="423">
        <v>136.99</v>
      </c>
      <c r="K177" s="423">
        <v>128.9</v>
      </c>
      <c r="L177" s="423">
        <v>128.9</v>
      </c>
      <c r="M177" s="423">
        <v>128.9</v>
      </c>
      <c r="N177" s="423">
        <v>128.9</v>
      </c>
      <c r="O177" s="423">
        <v>128.9</v>
      </c>
      <c r="P177" s="423">
        <v>120.81</v>
      </c>
      <c r="Q177" s="423">
        <v>120.81</v>
      </c>
      <c r="R177" s="423">
        <v>120.81</v>
      </c>
      <c r="S177" s="423">
        <v>120.81</v>
      </c>
      <c r="T177" s="423">
        <v>120.81</v>
      </c>
      <c r="U177" s="423">
        <v>112.71</v>
      </c>
      <c r="V177" s="423">
        <v>112.71</v>
      </c>
      <c r="W177" s="423">
        <v>112.71</v>
      </c>
      <c r="X177" s="423">
        <v>112.71</v>
      </c>
      <c r="Y177" s="423">
        <v>112.71</v>
      </c>
      <c r="Z177" s="423">
        <v>104.62</v>
      </c>
      <c r="AA177" s="423">
        <v>104.62</v>
      </c>
      <c r="AB177" s="423">
        <v>104.62</v>
      </c>
      <c r="AC177" s="423">
        <v>104.62</v>
      </c>
      <c r="AD177" s="423">
        <v>104.62</v>
      </c>
      <c r="AE177" s="423">
        <v>96.53</v>
      </c>
      <c r="AF177" s="423">
        <v>96.53</v>
      </c>
      <c r="AG177" s="423">
        <v>96.53</v>
      </c>
      <c r="AH177" s="423">
        <v>96.53</v>
      </c>
      <c r="AI177" s="423">
        <v>96.53</v>
      </c>
      <c r="AJ177" s="80">
        <v>88.44</v>
      </c>
      <c r="AK177" s="352"/>
    </row>
    <row r="178" spans="1:37" ht="13.5" customHeight="1" x14ac:dyDescent="0.45">
      <c r="A178" s="3"/>
      <c r="B178" s="215"/>
      <c r="C178" s="81" t="s">
        <v>179</v>
      </c>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c r="AA178" s="314"/>
      <c r="AB178" s="314"/>
      <c r="AC178" s="314"/>
      <c r="AD178" s="314"/>
      <c r="AE178" s="314"/>
      <c r="AF178" s="314"/>
      <c r="AG178" s="314"/>
      <c r="AH178" s="314"/>
      <c r="AI178" s="314"/>
      <c r="AJ178" s="82"/>
      <c r="AK178" s="352"/>
    </row>
    <row r="179" spans="1:37" ht="13.5" customHeight="1" x14ac:dyDescent="0.45">
      <c r="A179" s="3"/>
      <c r="B179" s="215"/>
      <c r="C179" s="75" t="s">
        <v>742</v>
      </c>
      <c r="D179" s="422"/>
      <c r="E179" s="422"/>
      <c r="F179" s="422"/>
      <c r="G179" s="422"/>
      <c r="H179" s="422"/>
      <c r="I179" s="422"/>
      <c r="J179" s="422"/>
      <c r="K179" s="422"/>
      <c r="L179" s="422"/>
      <c r="M179" s="422"/>
      <c r="N179" s="422"/>
      <c r="O179" s="422"/>
      <c r="P179" s="422"/>
      <c r="Q179" s="422"/>
      <c r="R179" s="422"/>
      <c r="S179" s="422"/>
      <c r="T179" s="422"/>
      <c r="U179" s="422"/>
      <c r="V179" s="422"/>
      <c r="W179" s="422"/>
      <c r="X179" s="422"/>
      <c r="Y179" s="422"/>
      <c r="Z179" s="422"/>
      <c r="AA179" s="422"/>
      <c r="AB179" s="422"/>
      <c r="AC179" s="422"/>
      <c r="AD179" s="422"/>
      <c r="AE179" s="422"/>
      <c r="AF179" s="422"/>
      <c r="AG179" s="422"/>
      <c r="AH179" s="422"/>
      <c r="AI179" s="422"/>
      <c r="AJ179" s="76"/>
      <c r="AK179" s="352"/>
    </row>
    <row r="180" spans="1:37" ht="13.5" customHeight="1" x14ac:dyDescent="0.45">
      <c r="A180" s="3"/>
      <c r="B180" s="215"/>
      <c r="C180" s="79" t="s">
        <v>763</v>
      </c>
      <c r="D180" s="423"/>
      <c r="E180" s="423"/>
      <c r="F180" s="423"/>
      <c r="G180" s="423"/>
      <c r="H180" s="423"/>
      <c r="I180" s="423"/>
      <c r="J180" s="423"/>
      <c r="K180" s="423"/>
      <c r="L180" s="423"/>
      <c r="M180" s="423"/>
      <c r="N180" s="423"/>
      <c r="O180" s="423"/>
      <c r="P180" s="423"/>
      <c r="Q180" s="423"/>
      <c r="R180" s="423"/>
      <c r="S180" s="423"/>
      <c r="T180" s="423"/>
      <c r="U180" s="423"/>
      <c r="V180" s="423"/>
      <c r="W180" s="423"/>
      <c r="X180" s="423"/>
      <c r="Y180" s="423"/>
      <c r="Z180" s="423"/>
      <c r="AA180" s="423"/>
      <c r="AB180" s="423"/>
      <c r="AC180" s="423"/>
      <c r="AD180" s="423"/>
      <c r="AE180" s="423"/>
      <c r="AF180" s="423"/>
      <c r="AG180" s="423"/>
      <c r="AH180" s="423"/>
      <c r="AI180" s="423"/>
      <c r="AJ180" s="80"/>
      <c r="AK180" s="352"/>
    </row>
    <row r="181" spans="1:37" ht="13.5" customHeight="1" x14ac:dyDescent="0.45">
      <c r="A181" s="3"/>
      <c r="B181" s="215"/>
      <c r="C181" s="84" t="s">
        <v>764</v>
      </c>
      <c r="D181" s="423"/>
      <c r="E181" s="423"/>
      <c r="F181" s="423"/>
      <c r="G181" s="423"/>
      <c r="H181" s="423"/>
      <c r="I181" s="423"/>
      <c r="J181" s="423"/>
      <c r="K181" s="423"/>
      <c r="L181" s="423"/>
      <c r="M181" s="423"/>
      <c r="N181" s="423"/>
      <c r="O181" s="423"/>
      <c r="P181" s="423"/>
      <c r="Q181" s="423"/>
      <c r="R181" s="423"/>
      <c r="S181" s="423"/>
      <c r="T181" s="423"/>
      <c r="U181" s="423"/>
      <c r="V181" s="423"/>
      <c r="W181" s="423"/>
      <c r="X181" s="423"/>
      <c r="Y181" s="423"/>
      <c r="Z181" s="423"/>
      <c r="AA181" s="423"/>
      <c r="AB181" s="423"/>
      <c r="AC181" s="423"/>
      <c r="AD181" s="423"/>
      <c r="AE181" s="423"/>
      <c r="AF181" s="423"/>
      <c r="AG181" s="423"/>
      <c r="AH181" s="423"/>
      <c r="AI181" s="423"/>
      <c r="AJ181" s="80"/>
      <c r="AK181" s="352"/>
    </row>
    <row r="182" spans="1:37" ht="13.5" customHeight="1" x14ac:dyDescent="0.45">
      <c r="A182" s="3"/>
      <c r="B182" s="215"/>
      <c r="C182" s="77" t="s">
        <v>765</v>
      </c>
      <c r="D182" s="285">
        <v>94</v>
      </c>
      <c r="E182" s="285">
        <v>94</v>
      </c>
      <c r="F182" s="285">
        <v>94</v>
      </c>
      <c r="G182" s="285">
        <v>94</v>
      </c>
      <c r="H182" s="285">
        <v>94</v>
      </c>
      <c r="I182" s="285">
        <v>94</v>
      </c>
      <c r="J182" s="285">
        <v>94</v>
      </c>
      <c r="K182" s="285">
        <v>93</v>
      </c>
      <c r="L182" s="285">
        <v>93</v>
      </c>
      <c r="M182" s="285">
        <v>93</v>
      </c>
      <c r="N182" s="285">
        <v>93</v>
      </c>
      <c r="O182" s="285">
        <v>93</v>
      </c>
      <c r="P182" s="285">
        <v>92</v>
      </c>
      <c r="Q182" s="285">
        <v>92</v>
      </c>
      <c r="R182" s="285">
        <v>92</v>
      </c>
      <c r="S182" s="285">
        <v>92</v>
      </c>
      <c r="T182" s="285">
        <v>92</v>
      </c>
      <c r="U182" s="285">
        <v>92</v>
      </c>
      <c r="V182" s="285">
        <v>92</v>
      </c>
      <c r="W182" s="285">
        <v>92</v>
      </c>
      <c r="X182" s="285">
        <v>92</v>
      </c>
      <c r="Y182" s="285">
        <v>92</v>
      </c>
      <c r="Z182" s="285">
        <v>91</v>
      </c>
      <c r="AA182" s="285">
        <v>91</v>
      </c>
      <c r="AB182" s="285">
        <v>91</v>
      </c>
      <c r="AC182" s="285">
        <v>91</v>
      </c>
      <c r="AD182" s="285">
        <v>91</v>
      </c>
      <c r="AE182" s="285">
        <v>91</v>
      </c>
      <c r="AF182" s="285">
        <v>91</v>
      </c>
      <c r="AG182" s="285">
        <v>91</v>
      </c>
      <c r="AH182" s="285">
        <v>91</v>
      </c>
      <c r="AI182" s="285">
        <v>91</v>
      </c>
      <c r="AJ182" s="78">
        <v>90</v>
      </c>
      <c r="AK182" s="352"/>
    </row>
    <row r="183" spans="1:37" ht="13.5" customHeight="1" x14ac:dyDescent="0.45">
      <c r="A183" s="3"/>
      <c r="B183" s="215"/>
      <c r="C183" s="77" t="s">
        <v>766</v>
      </c>
      <c r="D183" s="285">
        <v>20</v>
      </c>
      <c r="E183" s="285">
        <v>20</v>
      </c>
      <c r="F183" s="285">
        <v>20</v>
      </c>
      <c r="G183" s="285">
        <v>20</v>
      </c>
      <c r="H183" s="285">
        <v>20</v>
      </c>
      <c r="I183" s="285">
        <v>20</v>
      </c>
      <c r="J183" s="285">
        <v>20</v>
      </c>
      <c r="K183" s="285">
        <v>20</v>
      </c>
      <c r="L183" s="285">
        <v>20</v>
      </c>
      <c r="M183" s="285">
        <v>20</v>
      </c>
      <c r="N183" s="285">
        <v>20</v>
      </c>
      <c r="O183" s="285">
        <v>20</v>
      </c>
      <c r="P183" s="285">
        <v>20</v>
      </c>
      <c r="Q183" s="285">
        <v>20</v>
      </c>
      <c r="R183" s="285">
        <v>20</v>
      </c>
      <c r="S183" s="285">
        <v>20</v>
      </c>
      <c r="T183" s="285">
        <v>20</v>
      </c>
      <c r="U183" s="285">
        <v>20</v>
      </c>
      <c r="V183" s="285">
        <v>20</v>
      </c>
      <c r="W183" s="285">
        <v>20</v>
      </c>
      <c r="X183" s="285">
        <v>20</v>
      </c>
      <c r="Y183" s="285">
        <v>20</v>
      </c>
      <c r="Z183" s="285">
        <v>20</v>
      </c>
      <c r="AA183" s="285">
        <v>20</v>
      </c>
      <c r="AB183" s="285">
        <v>20</v>
      </c>
      <c r="AC183" s="285">
        <v>20</v>
      </c>
      <c r="AD183" s="285">
        <v>20</v>
      </c>
      <c r="AE183" s="285">
        <v>20</v>
      </c>
      <c r="AF183" s="285">
        <v>20</v>
      </c>
      <c r="AG183" s="285">
        <v>20</v>
      </c>
      <c r="AH183" s="285">
        <v>20</v>
      </c>
      <c r="AI183" s="285">
        <v>20</v>
      </c>
      <c r="AJ183" s="78">
        <v>20</v>
      </c>
      <c r="AK183" s="352"/>
    </row>
    <row r="184" spans="1:37" ht="13.5" customHeight="1" x14ac:dyDescent="0.45">
      <c r="A184" s="3"/>
      <c r="B184" s="215"/>
      <c r="C184" s="77" t="s">
        <v>767</v>
      </c>
      <c r="D184" s="285">
        <v>20</v>
      </c>
      <c r="E184" s="285">
        <v>20</v>
      </c>
      <c r="F184" s="285">
        <v>20</v>
      </c>
      <c r="G184" s="285">
        <v>20</v>
      </c>
      <c r="H184" s="285">
        <v>20</v>
      </c>
      <c r="I184" s="285">
        <v>20</v>
      </c>
      <c r="J184" s="285">
        <v>20</v>
      </c>
      <c r="K184" s="285">
        <v>20</v>
      </c>
      <c r="L184" s="285">
        <v>20</v>
      </c>
      <c r="M184" s="285">
        <v>20</v>
      </c>
      <c r="N184" s="285">
        <v>20</v>
      </c>
      <c r="O184" s="285">
        <v>20</v>
      </c>
      <c r="P184" s="285">
        <v>20</v>
      </c>
      <c r="Q184" s="285">
        <v>20</v>
      </c>
      <c r="R184" s="285">
        <v>20</v>
      </c>
      <c r="S184" s="285">
        <v>20</v>
      </c>
      <c r="T184" s="285">
        <v>20</v>
      </c>
      <c r="U184" s="285">
        <v>20</v>
      </c>
      <c r="V184" s="285">
        <v>20</v>
      </c>
      <c r="W184" s="285">
        <v>20</v>
      </c>
      <c r="X184" s="285">
        <v>20</v>
      </c>
      <c r="Y184" s="285">
        <v>20</v>
      </c>
      <c r="Z184" s="285">
        <v>20</v>
      </c>
      <c r="AA184" s="285">
        <v>20</v>
      </c>
      <c r="AB184" s="285">
        <v>20</v>
      </c>
      <c r="AC184" s="285">
        <v>20</v>
      </c>
      <c r="AD184" s="285">
        <v>20</v>
      </c>
      <c r="AE184" s="285">
        <v>20</v>
      </c>
      <c r="AF184" s="285">
        <v>20</v>
      </c>
      <c r="AG184" s="285">
        <v>20</v>
      </c>
      <c r="AH184" s="285">
        <v>20</v>
      </c>
      <c r="AI184" s="285">
        <v>20</v>
      </c>
      <c r="AJ184" s="78">
        <v>20</v>
      </c>
      <c r="AK184" s="352"/>
    </row>
    <row r="185" spans="1:37" ht="13.5" customHeight="1" x14ac:dyDescent="0.45">
      <c r="A185" s="3"/>
      <c r="B185" s="215"/>
      <c r="C185" s="77" t="s">
        <v>768</v>
      </c>
      <c r="D185" s="285" t="s">
        <v>221</v>
      </c>
      <c r="E185" s="285" t="s">
        <v>221</v>
      </c>
      <c r="F185" s="285" t="s">
        <v>221</v>
      </c>
      <c r="G185" s="285" t="s">
        <v>221</v>
      </c>
      <c r="H185" s="285" t="s">
        <v>221</v>
      </c>
      <c r="I185" s="285" t="s">
        <v>221</v>
      </c>
      <c r="J185" s="285" t="s">
        <v>221</v>
      </c>
      <c r="K185" s="285" t="s">
        <v>221</v>
      </c>
      <c r="L185" s="285" t="s">
        <v>221</v>
      </c>
      <c r="M185" s="285" t="s">
        <v>221</v>
      </c>
      <c r="N185" s="285" t="s">
        <v>221</v>
      </c>
      <c r="O185" s="285" t="s">
        <v>221</v>
      </c>
      <c r="P185" s="285" t="s">
        <v>221</v>
      </c>
      <c r="Q185" s="285" t="s">
        <v>221</v>
      </c>
      <c r="R185" s="285" t="s">
        <v>221</v>
      </c>
      <c r="S185" s="285" t="s">
        <v>221</v>
      </c>
      <c r="T185" s="285" t="s">
        <v>221</v>
      </c>
      <c r="U185" s="285" t="s">
        <v>221</v>
      </c>
      <c r="V185" s="285" t="s">
        <v>221</v>
      </c>
      <c r="W185" s="285" t="s">
        <v>221</v>
      </c>
      <c r="X185" s="285" t="s">
        <v>221</v>
      </c>
      <c r="Y185" s="285" t="s">
        <v>221</v>
      </c>
      <c r="Z185" s="285" t="s">
        <v>221</v>
      </c>
      <c r="AA185" s="285" t="s">
        <v>221</v>
      </c>
      <c r="AB185" s="285" t="s">
        <v>221</v>
      </c>
      <c r="AC185" s="285" t="s">
        <v>221</v>
      </c>
      <c r="AD185" s="285" t="s">
        <v>221</v>
      </c>
      <c r="AE185" s="285" t="s">
        <v>221</v>
      </c>
      <c r="AF185" s="285" t="s">
        <v>221</v>
      </c>
      <c r="AG185" s="285" t="s">
        <v>221</v>
      </c>
      <c r="AH185" s="285" t="s">
        <v>221</v>
      </c>
      <c r="AI185" s="285" t="s">
        <v>221</v>
      </c>
      <c r="AJ185" s="78" t="s">
        <v>221</v>
      </c>
      <c r="AK185" s="352"/>
    </row>
    <row r="186" spans="1:37" ht="13.5" customHeight="1" x14ac:dyDescent="0.45">
      <c r="A186" s="3"/>
      <c r="B186" s="215"/>
      <c r="C186" s="79" t="s">
        <v>769</v>
      </c>
      <c r="D186" s="423"/>
      <c r="E186" s="423"/>
      <c r="F186" s="423"/>
      <c r="G186" s="423"/>
      <c r="H186" s="423"/>
      <c r="I186" s="423"/>
      <c r="J186" s="423"/>
      <c r="K186" s="423"/>
      <c r="L186" s="423"/>
      <c r="M186" s="423"/>
      <c r="N186" s="423"/>
      <c r="O186" s="423"/>
      <c r="P186" s="423"/>
      <c r="Q186" s="423"/>
      <c r="R186" s="423"/>
      <c r="S186" s="423"/>
      <c r="T186" s="423"/>
      <c r="U186" s="423"/>
      <c r="V186" s="423"/>
      <c r="W186" s="423"/>
      <c r="X186" s="423"/>
      <c r="Y186" s="423"/>
      <c r="Z186" s="423"/>
      <c r="AA186" s="423"/>
      <c r="AB186" s="423"/>
      <c r="AC186" s="423"/>
      <c r="AD186" s="423"/>
      <c r="AE186" s="423"/>
      <c r="AF186" s="423"/>
      <c r="AG186" s="423"/>
      <c r="AH186" s="423"/>
      <c r="AI186" s="423"/>
      <c r="AJ186" s="80"/>
      <c r="AK186" s="352"/>
    </row>
    <row r="187" spans="1:37" ht="13.5" customHeight="1" x14ac:dyDescent="0.45">
      <c r="A187" s="3"/>
      <c r="B187" s="215"/>
      <c r="C187" s="84" t="s">
        <v>770</v>
      </c>
      <c r="D187" s="423"/>
      <c r="E187" s="423"/>
      <c r="F187" s="423"/>
      <c r="G187" s="423"/>
      <c r="H187" s="423"/>
      <c r="I187" s="423"/>
      <c r="J187" s="423"/>
      <c r="K187" s="423"/>
      <c r="L187" s="423"/>
      <c r="M187" s="423"/>
      <c r="N187" s="423"/>
      <c r="O187" s="423"/>
      <c r="P187" s="423"/>
      <c r="Q187" s="423"/>
      <c r="R187" s="423"/>
      <c r="S187" s="423"/>
      <c r="T187" s="423"/>
      <c r="U187" s="423"/>
      <c r="V187" s="423"/>
      <c r="W187" s="423"/>
      <c r="X187" s="423"/>
      <c r="Y187" s="423"/>
      <c r="Z187" s="423"/>
      <c r="AA187" s="423"/>
      <c r="AB187" s="423"/>
      <c r="AC187" s="423"/>
      <c r="AD187" s="423"/>
      <c r="AE187" s="423"/>
      <c r="AF187" s="423"/>
      <c r="AG187" s="423"/>
      <c r="AH187" s="423"/>
      <c r="AI187" s="423"/>
      <c r="AJ187" s="80"/>
      <c r="AK187" s="352"/>
    </row>
    <row r="188" spans="1:37" ht="13.5" customHeight="1" x14ac:dyDescent="0.45">
      <c r="A188" s="3"/>
      <c r="B188" s="215"/>
      <c r="C188" s="77" t="s">
        <v>783</v>
      </c>
      <c r="D188" s="285">
        <v>35</v>
      </c>
      <c r="E188" s="285">
        <v>35</v>
      </c>
      <c r="F188" s="285">
        <v>35</v>
      </c>
      <c r="G188" s="285">
        <v>35</v>
      </c>
      <c r="H188" s="285">
        <v>35</v>
      </c>
      <c r="I188" s="285">
        <v>35</v>
      </c>
      <c r="J188" s="285">
        <v>35</v>
      </c>
      <c r="K188" s="285">
        <v>35</v>
      </c>
      <c r="L188" s="285">
        <v>35</v>
      </c>
      <c r="M188" s="285">
        <v>35</v>
      </c>
      <c r="N188" s="285">
        <v>35</v>
      </c>
      <c r="O188" s="285">
        <v>35</v>
      </c>
      <c r="P188" s="285">
        <v>35</v>
      </c>
      <c r="Q188" s="285">
        <v>35</v>
      </c>
      <c r="R188" s="285">
        <v>35</v>
      </c>
      <c r="S188" s="285">
        <v>35</v>
      </c>
      <c r="T188" s="285">
        <v>35</v>
      </c>
      <c r="U188" s="285">
        <v>35</v>
      </c>
      <c r="V188" s="285">
        <v>35</v>
      </c>
      <c r="W188" s="285">
        <v>35</v>
      </c>
      <c r="X188" s="285">
        <v>35</v>
      </c>
      <c r="Y188" s="285">
        <v>35</v>
      </c>
      <c r="Z188" s="285">
        <v>35</v>
      </c>
      <c r="AA188" s="285">
        <v>35</v>
      </c>
      <c r="AB188" s="285">
        <v>35</v>
      </c>
      <c r="AC188" s="285">
        <v>35</v>
      </c>
      <c r="AD188" s="285">
        <v>35</v>
      </c>
      <c r="AE188" s="285">
        <v>35</v>
      </c>
      <c r="AF188" s="285">
        <v>35</v>
      </c>
      <c r="AG188" s="285">
        <v>35</v>
      </c>
      <c r="AH188" s="285">
        <v>35</v>
      </c>
      <c r="AI188" s="285">
        <v>35</v>
      </c>
      <c r="AJ188" s="78">
        <v>35</v>
      </c>
      <c r="AK188" s="352"/>
    </row>
    <row r="189" spans="1:37" ht="13.5" customHeight="1" x14ac:dyDescent="0.45">
      <c r="A189" s="3"/>
      <c r="B189" s="215"/>
      <c r="C189" s="77" t="s">
        <v>772</v>
      </c>
      <c r="D189" s="285">
        <v>21.7</v>
      </c>
      <c r="E189" s="285">
        <v>21.7</v>
      </c>
      <c r="F189" s="285">
        <v>21.1</v>
      </c>
      <c r="G189" s="285">
        <v>21.1</v>
      </c>
      <c r="H189" s="285">
        <v>21.1</v>
      </c>
      <c r="I189" s="285">
        <v>21.1</v>
      </c>
      <c r="J189" s="285">
        <v>21.1</v>
      </c>
      <c r="K189" s="285">
        <v>20.6</v>
      </c>
      <c r="L189" s="285">
        <v>20.6</v>
      </c>
      <c r="M189" s="285">
        <v>20.6</v>
      </c>
      <c r="N189" s="285">
        <v>20.6</v>
      </c>
      <c r="O189" s="285">
        <v>20.6</v>
      </c>
      <c r="P189" s="285">
        <v>20.100000000000001</v>
      </c>
      <c r="Q189" s="285">
        <v>20.100000000000001</v>
      </c>
      <c r="R189" s="285">
        <v>20.100000000000001</v>
      </c>
      <c r="S189" s="285">
        <v>20.100000000000001</v>
      </c>
      <c r="T189" s="285">
        <v>20.100000000000001</v>
      </c>
      <c r="U189" s="285">
        <v>19.7</v>
      </c>
      <c r="V189" s="285">
        <v>19.7</v>
      </c>
      <c r="W189" s="285">
        <v>19.7</v>
      </c>
      <c r="X189" s="285">
        <v>19.7</v>
      </c>
      <c r="Y189" s="285">
        <v>19.7</v>
      </c>
      <c r="Z189" s="285">
        <v>19.399999999999999</v>
      </c>
      <c r="AA189" s="285">
        <v>19.399999999999999</v>
      </c>
      <c r="AB189" s="285">
        <v>19.399999999999999</v>
      </c>
      <c r="AC189" s="285">
        <v>19.399999999999999</v>
      </c>
      <c r="AD189" s="285">
        <v>19.399999999999999</v>
      </c>
      <c r="AE189" s="285">
        <v>19</v>
      </c>
      <c r="AF189" s="285">
        <v>19</v>
      </c>
      <c r="AG189" s="285">
        <v>19</v>
      </c>
      <c r="AH189" s="285">
        <v>19</v>
      </c>
      <c r="AI189" s="285">
        <v>19</v>
      </c>
      <c r="AJ189" s="78">
        <v>18.600000000000001</v>
      </c>
      <c r="AK189" s="352"/>
    </row>
    <row r="190" spans="1:37" ht="13.5" customHeight="1" x14ac:dyDescent="0.45">
      <c r="A190" s="3"/>
      <c r="B190" s="215"/>
      <c r="C190" s="77" t="s">
        <v>773</v>
      </c>
      <c r="D190" s="285">
        <v>23.8</v>
      </c>
      <c r="E190" s="285">
        <v>23.8</v>
      </c>
      <c r="F190" s="285">
        <v>20</v>
      </c>
      <c r="G190" s="285">
        <v>20</v>
      </c>
      <c r="H190" s="285">
        <v>20</v>
      </c>
      <c r="I190" s="285">
        <v>20</v>
      </c>
      <c r="J190" s="285">
        <v>20</v>
      </c>
      <c r="K190" s="285">
        <v>19.829999999999998</v>
      </c>
      <c r="L190" s="285">
        <v>19.829999999999998</v>
      </c>
      <c r="M190" s="285">
        <v>19.829999999999998</v>
      </c>
      <c r="N190" s="285">
        <v>19.829999999999998</v>
      </c>
      <c r="O190" s="285">
        <v>19.829999999999998</v>
      </c>
      <c r="P190" s="285">
        <v>19.66</v>
      </c>
      <c r="Q190" s="285">
        <v>19.66</v>
      </c>
      <c r="R190" s="285">
        <v>19.66</v>
      </c>
      <c r="S190" s="285">
        <v>19.66</v>
      </c>
      <c r="T190" s="285">
        <v>19.66</v>
      </c>
      <c r="U190" s="285">
        <v>19.309999999999999</v>
      </c>
      <c r="V190" s="285">
        <v>19.309999999999999</v>
      </c>
      <c r="W190" s="285">
        <v>19.309999999999999</v>
      </c>
      <c r="X190" s="285">
        <v>19.309999999999999</v>
      </c>
      <c r="Y190" s="285">
        <v>19.309999999999999</v>
      </c>
      <c r="Z190" s="285">
        <v>18.96</v>
      </c>
      <c r="AA190" s="285">
        <v>18.96</v>
      </c>
      <c r="AB190" s="285">
        <v>18.96</v>
      </c>
      <c r="AC190" s="285">
        <v>18.96</v>
      </c>
      <c r="AD190" s="285">
        <v>18.96</v>
      </c>
      <c r="AE190" s="285">
        <v>18.61</v>
      </c>
      <c r="AF190" s="285">
        <v>18.61</v>
      </c>
      <c r="AG190" s="285">
        <v>18.61</v>
      </c>
      <c r="AH190" s="285">
        <v>18.61</v>
      </c>
      <c r="AI190" s="285">
        <v>18.61</v>
      </c>
      <c r="AJ190" s="78">
        <v>18.260000000000002</v>
      </c>
      <c r="AK190" s="352"/>
    </row>
    <row r="191" spans="1:37" ht="13.5" customHeight="1" x14ac:dyDescent="0.45">
      <c r="A191" s="3"/>
      <c r="B191" s="215"/>
      <c r="C191" s="77" t="s">
        <v>774</v>
      </c>
      <c r="D191" s="285">
        <v>85.75</v>
      </c>
      <c r="E191" s="285">
        <v>85.75</v>
      </c>
      <c r="F191" s="285">
        <v>85.75</v>
      </c>
      <c r="G191" s="285">
        <v>85.75</v>
      </c>
      <c r="H191" s="285">
        <v>85.75</v>
      </c>
      <c r="I191" s="285">
        <v>85.75</v>
      </c>
      <c r="J191" s="285">
        <v>85.75</v>
      </c>
      <c r="K191" s="285">
        <v>81.38</v>
      </c>
      <c r="L191" s="285">
        <v>81.38</v>
      </c>
      <c r="M191" s="285">
        <v>81.38</v>
      </c>
      <c r="N191" s="285">
        <v>81.38</v>
      </c>
      <c r="O191" s="285">
        <v>81.38</v>
      </c>
      <c r="P191" s="285">
        <v>77</v>
      </c>
      <c r="Q191" s="285">
        <v>77</v>
      </c>
      <c r="R191" s="285">
        <v>77</v>
      </c>
      <c r="S191" s="285">
        <v>77</v>
      </c>
      <c r="T191" s="285">
        <v>77</v>
      </c>
      <c r="U191" s="285">
        <v>76.13</v>
      </c>
      <c r="V191" s="285">
        <v>76.13</v>
      </c>
      <c r="W191" s="285">
        <v>76.13</v>
      </c>
      <c r="X191" s="285">
        <v>76.13</v>
      </c>
      <c r="Y191" s="285">
        <v>76.13</v>
      </c>
      <c r="Z191" s="285">
        <v>75.25</v>
      </c>
      <c r="AA191" s="285">
        <v>75.25</v>
      </c>
      <c r="AB191" s="285">
        <v>75.25</v>
      </c>
      <c r="AC191" s="285">
        <v>75.25</v>
      </c>
      <c r="AD191" s="285">
        <v>75.25</v>
      </c>
      <c r="AE191" s="285">
        <v>74.38</v>
      </c>
      <c r="AF191" s="285">
        <v>74.38</v>
      </c>
      <c r="AG191" s="285">
        <v>74.38</v>
      </c>
      <c r="AH191" s="285">
        <v>74.38</v>
      </c>
      <c r="AI191" s="285">
        <v>74.38</v>
      </c>
      <c r="AJ191" s="78">
        <v>73.5</v>
      </c>
      <c r="AK191" s="352"/>
    </row>
    <row r="192" spans="1:37" ht="13.5" customHeight="1" x14ac:dyDescent="0.45">
      <c r="A192" s="3"/>
      <c r="B192" s="215"/>
      <c r="C192" s="77" t="s">
        <v>766</v>
      </c>
      <c r="D192" s="285" t="s">
        <v>221</v>
      </c>
      <c r="E192" s="285" t="s">
        <v>221</v>
      </c>
      <c r="F192" s="285" t="s">
        <v>221</v>
      </c>
      <c r="G192" s="285" t="s">
        <v>221</v>
      </c>
      <c r="H192" s="285" t="s">
        <v>221</v>
      </c>
      <c r="I192" s="285" t="s">
        <v>221</v>
      </c>
      <c r="J192" s="285" t="s">
        <v>221</v>
      </c>
      <c r="K192" s="285" t="s">
        <v>221</v>
      </c>
      <c r="L192" s="285" t="s">
        <v>221</v>
      </c>
      <c r="M192" s="285" t="s">
        <v>221</v>
      </c>
      <c r="N192" s="285" t="s">
        <v>221</v>
      </c>
      <c r="O192" s="285" t="s">
        <v>221</v>
      </c>
      <c r="P192" s="285" t="s">
        <v>221</v>
      </c>
      <c r="Q192" s="285" t="s">
        <v>221</v>
      </c>
      <c r="R192" s="285" t="s">
        <v>221</v>
      </c>
      <c r="S192" s="285" t="s">
        <v>221</v>
      </c>
      <c r="T192" s="285" t="s">
        <v>221</v>
      </c>
      <c r="U192" s="285" t="s">
        <v>221</v>
      </c>
      <c r="V192" s="285" t="s">
        <v>221</v>
      </c>
      <c r="W192" s="285" t="s">
        <v>221</v>
      </c>
      <c r="X192" s="285" t="s">
        <v>221</v>
      </c>
      <c r="Y192" s="285" t="s">
        <v>221</v>
      </c>
      <c r="Z192" s="285" t="s">
        <v>221</v>
      </c>
      <c r="AA192" s="285" t="s">
        <v>221</v>
      </c>
      <c r="AB192" s="285" t="s">
        <v>221</v>
      </c>
      <c r="AC192" s="285" t="s">
        <v>221</v>
      </c>
      <c r="AD192" s="285" t="s">
        <v>221</v>
      </c>
      <c r="AE192" s="285" t="s">
        <v>221</v>
      </c>
      <c r="AF192" s="285" t="s">
        <v>221</v>
      </c>
      <c r="AG192" s="285" t="s">
        <v>221</v>
      </c>
      <c r="AH192" s="285" t="s">
        <v>221</v>
      </c>
      <c r="AI192" s="285" t="s">
        <v>221</v>
      </c>
      <c r="AJ192" s="78" t="s">
        <v>221</v>
      </c>
      <c r="AK192" s="352"/>
    </row>
    <row r="193" spans="1:37" ht="13.5" customHeight="1" x14ac:dyDescent="0.45">
      <c r="A193" s="3"/>
      <c r="B193" s="215"/>
      <c r="C193" s="79" t="s">
        <v>775</v>
      </c>
      <c r="D193" s="423"/>
      <c r="E193" s="423"/>
      <c r="F193" s="423"/>
      <c r="G193" s="423"/>
      <c r="H193" s="423"/>
      <c r="I193" s="423"/>
      <c r="J193" s="423"/>
      <c r="K193" s="423"/>
      <c r="L193" s="423"/>
      <c r="M193" s="423"/>
      <c r="N193" s="423"/>
      <c r="O193" s="423"/>
      <c r="P193" s="423"/>
      <c r="Q193" s="423"/>
      <c r="R193" s="423"/>
      <c r="S193" s="423"/>
      <c r="T193" s="423"/>
      <c r="U193" s="423"/>
      <c r="V193" s="423"/>
      <c r="W193" s="423"/>
      <c r="X193" s="423"/>
      <c r="Y193" s="423"/>
      <c r="Z193" s="423"/>
      <c r="AA193" s="423"/>
      <c r="AB193" s="423"/>
      <c r="AC193" s="423"/>
      <c r="AD193" s="423"/>
      <c r="AE193" s="423"/>
      <c r="AF193" s="423"/>
      <c r="AG193" s="423"/>
      <c r="AH193" s="423"/>
      <c r="AI193" s="423"/>
      <c r="AJ193" s="80"/>
      <c r="AK193" s="352"/>
    </row>
    <row r="194" spans="1:37" ht="13.5" customHeight="1" x14ac:dyDescent="0.45">
      <c r="A194" s="3"/>
      <c r="B194" s="215"/>
      <c r="C194" s="84" t="s">
        <v>770</v>
      </c>
      <c r="D194" s="423"/>
      <c r="E194" s="423"/>
      <c r="F194" s="423"/>
      <c r="G194" s="423"/>
      <c r="H194" s="423"/>
      <c r="I194" s="423"/>
      <c r="J194" s="423"/>
      <c r="K194" s="423"/>
      <c r="L194" s="423"/>
      <c r="M194" s="423"/>
      <c r="N194" s="423"/>
      <c r="O194" s="423"/>
      <c r="P194" s="423"/>
      <c r="Q194" s="423"/>
      <c r="R194" s="423"/>
      <c r="S194" s="423"/>
      <c r="T194" s="423"/>
      <c r="U194" s="423"/>
      <c r="V194" s="423"/>
      <c r="W194" s="423"/>
      <c r="X194" s="423"/>
      <c r="Y194" s="423"/>
      <c r="Z194" s="423"/>
      <c r="AA194" s="423"/>
      <c r="AB194" s="423"/>
      <c r="AC194" s="423"/>
      <c r="AD194" s="423"/>
      <c r="AE194" s="423"/>
      <c r="AF194" s="423"/>
      <c r="AG194" s="423"/>
      <c r="AH194" s="423"/>
      <c r="AI194" s="423"/>
      <c r="AJ194" s="80"/>
      <c r="AK194" s="352"/>
    </row>
    <row r="195" spans="1:37" ht="13.5" customHeight="1" x14ac:dyDescent="0.45">
      <c r="A195" s="3"/>
      <c r="B195" s="215"/>
      <c r="C195" s="77" t="s">
        <v>776</v>
      </c>
      <c r="D195" s="285">
        <v>117</v>
      </c>
      <c r="E195" s="285">
        <v>117</v>
      </c>
      <c r="F195" s="285">
        <v>102</v>
      </c>
      <c r="G195" s="285">
        <v>102</v>
      </c>
      <c r="H195" s="285">
        <v>102</v>
      </c>
      <c r="I195" s="285">
        <v>102</v>
      </c>
      <c r="J195" s="285">
        <v>102</v>
      </c>
      <c r="K195" s="285">
        <v>95</v>
      </c>
      <c r="L195" s="285">
        <v>95</v>
      </c>
      <c r="M195" s="285">
        <v>95</v>
      </c>
      <c r="N195" s="285">
        <v>95</v>
      </c>
      <c r="O195" s="285">
        <v>95</v>
      </c>
      <c r="P195" s="285">
        <v>88</v>
      </c>
      <c r="Q195" s="285">
        <v>88</v>
      </c>
      <c r="R195" s="285">
        <v>88</v>
      </c>
      <c r="S195" s="285">
        <v>88</v>
      </c>
      <c r="T195" s="285">
        <v>88</v>
      </c>
      <c r="U195" s="285">
        <v>88</v>
      </c>
      <c r="V195" s="285">
        <v>88</v>
      </c>
      <c r="W195" s="285">
        <v>88</v>
      </c>
      <c r="X195" s="285">
        <v>88</v>
      </c>
      <c r="Y195" s="285">
        <v>88</v>
      </c>
      <c r="Z195" s="285">
        <v>88</v>
      </c>
      <c r="AA195" s="285">
        <v>88</v>
      </c>
      <c r="AB195" s="285">
        <v>88</v>
      </c>
      <c r="AC195" s="285">
        <v>88</v>
      </c>
      <c r="AD195" s="285">
        <v>88</v>
      </c>
      <c r="AE195" s="285">
        <v>88</v>
      </c>
      <c r="AF195" s="285">
        <v>88</v>
      </c>
      <c r="AG195" s="285">
        <v>88</v>
      </c>
      <c r="AH195" s="285">
        <v>88</v>
      </c>
      <c r="AI195" s="285">
        <v>88</v>
      </c>
      <c r="AJ195" s="78">
        <v>88</v>
      </c>
      <c r="AK195" s="352"/>
    </row>
    <row r="196" spans="1:37" ht="13.5" customHeight="1" x14ac:dyDescent="0.45">
      <c r="A196" s="3"/>
      <c r="B196" s="215"/>
      <c r="C196" s="77" t="s">
        <v>777</v>
      </c>
      <c r="D196" s="285">
        <v>44.3</v>
      </c>
      <c r="E196" s="285">
        <v>44.3</v>
      </c>
      <c r="F196" s="285">
        <v>44.3</v>
      </c>
      <c r="G196" s="285">
        <v>44.3</v>
      </c>
      <c r="H196" s="285">
        <v>44.3</v>
      </c>
      <c r="I196" s="285">
        <v>44.3</v>
      </c>
      <c r="J196" s="285">
        <v>44.3</v>
      </c>
      <c r="K196" s="285">
        <v>44.3</v>
      </c>
      <c r="L196" s="285">
        <v>44.3</v>
      </c>
      <c r="M196" s="285">
        <v>44.3</v>
      </c>
      <c r="N196" s="285">
        <v>44.3</v>
      </c>
      <c r="O196" s="285">
        <v>44.3</v>
      </c>
      <c r="P196" s="285">
        <v>44.3</v>
      </c>
      <c r="Q196" s="285">
        <v>44.3</v>
      </c>
      <c r="R196" s="285">
        <v>44.3</v>
      </c>
      <c r="S196" s="285">
        <v>44.3</v>
      </c>
      <c r="T196" s="285">
        <v>44.3</v>
      </c>
      <c r="U196" s="285">
        <v>44.3</v>
      </c>
      <c r="V196" s="285">
        <v>44.3</v>
      </c>
      <c r="W196" s="285">
        <v>44.3</v>
      </c>
      <c r="X196" s="285">
        <v>44.3</v>
      </c>
      <c r="Y196" s="285">
        <v>44.3</v>
      </c>
      <c r="Z196" s="285">
        <v>44.3</v>
      </c>
      <c r="AA196" s="285">
        <v>44.3</v>
      </c>
      <c r="AB196" s="285">
        <v>44.3</v>
      </c>
      <c r="AC196" s="285">
        <v>44.3</v>
      </c>
      <c r="AD196" s="285">
        <v>44.3</v>
      </c>
      <c r="AE196" s="285">
        <v>44.3</v>
      </c>
      <c r="AF196" s="285">
        <v>44.3</v>
      </c>
      <c r="AG196" s="285">
        <v>44.3</v>
      </c>
      <c r="AH196" s="285">
        <v>44.3</v>
      </c>
      <c r="AI196" s="285">
        <v>44.3</v>
      </c>
      <c r="AJ196" s="78">
        <v>44.3</v>
      </c>
      <c r="AK196" s="352"/>
    </row>
    <row r="197" spans="1:37" ht="13.5" customHeight="1" x14ac:dyDescent="0.45">
      <c r="A197" s="3"/>
      <c r="B197" s="215"/>
      <c r="C197" s="77" t="s">
        <v>778</v>
      </c>
      <c r="D197" s="285">
        <v>180</v>
      </c>
      <c r="E197" s="285">
        <v>180</v>
      </c>
      <c r="F197" s="285">
        <v>180</v>
      </c>
      <c r="G197" s="285">
        <v>180</v>
      </c>
      <c r="H197" s="285">
        <v>180</v>
      </c>
      <c r="I197" s="285">
        <v>180</v>
      </c>
      <c r="J197" s="285">
        <v>180</v>
      </c>
      <c r="K197" s="285">
        <v>180</v>
      </c>
      <c r="L197" s="285">
        <v>180</v>
      </c>
      <c r="M197" s="285">
        <v>180</v>
      </c>
      <c r="N197" s="285">
        <v>180</v>
      </c>
      <c r="O197" s="285">
        <v>180</v>
      </c>
      <c r="P197" s="285">
        <v>180</v>
      </c>
      <c r="Q197" s="285">
        <v>180</v>
      </c>
      <c r="R197" s="285">
        <v>180</v>
      </c>
      <c r="S197" s="285">
        <v>180</v>
      </c>
      <c r="T197" s="285">
        <v>180</v>
      </c>
      <c r="U197" s="285">
        <v>176</v>
      </c>
      <c r="V197" s="285">
        <v>176</v>
      </c>
      <c r="W197" s="285">
        <v>176</v>
      </c>
      <c r="X197" s="285">
        <v>176</v>
      </c>
      <c r="Y197" s="285">
        <v>176</v>
      </c>
      <c r="Z197" s="285">
        <v>172</v>
      </c>
      <c r="AA197" s="285">
        <v>172</v>
      </c>
      <c r="AB197" s="285">
        <v>172</v>
      </c>
      <c r="AC197" s="285">
        <v>172</v>
      </c>
      <c r="AD197" s="285">
        <v>172</v>
      </c>
      <c r="AE197" s="285">
        <v>168</v>
      </c>
      <c r="AF197" s="285">
        <v>168</v>
      </c>
      <c r="AG197" s="285">
        <v>168</v>
      </c>
      <c r="AH197" s="285">
        <v>168</v>
      </c>
      <c r="AI197" s="285">
        <v>168</v>
      </c>
      <c r="AJ197" s="78">
        <v>164</v>
      </c>
      <c r="AK197" s="352"/>
    </row>
    <row r="198" spans="1:37" ht="13.5" customHeight="1" x14ac:dyDescent="0.45">
      <c r="A198" s="3"/>
      <c r="B198" s="215"/>
      <c r="C198" s="77" t="s">
        <v>766</v>
      </c>
      <c r="D198" s="285">
        <v>20</v>
      </c>
      <c r="E198" s="285">
        <v>20</v>
      </c>
      <c r="F198" s="285">
        <v>20</v>
      </c>
      <c r="G198" s="285">
        <v>20</v>
      </c>
      <c r="H198" s="285">
        <v>20</v>
      </c>
      <c r="I198" s="285">
        <v>20</v>
      </c>
      <c r="J198" s="285">
        <v>20</v>
      </c>
      <c r="K198" s="285">
        <v>20</v>
      </c>
      <c r="L198" s="285">
        <v>20</v>
      </c>
      <c r="M198" s="285">
        <v>20</v>
      </c>
      <c r="N198" s="285">
        <v>20</v>
      </c>
      <c r="O198" s="285">
        <v>20</v>
      </c>
      <c r="P198" s="285">
        <v>20</v>
      </c>
      <c r="Q198" s="285">
        <v>20</v>
      </c>
      <c r="R198" s="285">
        <v>20</v>
      </c>
      <c r="S198" s="285">
        <v>20</v>
      </c>
      <c r="T198" s="285">
        <v>20</v>
      </c>
      <c r="U198" s="285">
        <v>20</v>
      </c>
      <c r="V198" s="285">
        <v>20</v>
      </c>
      <c r="W198" s="285">
        <v>20</v>
      </c>
      <c r="X198" s="285">
        <v>20</v>
      </c>
      <c r="Y198" s="285">
        <v>20</v>
      </c>
      <c r="Z198" s="285">
        <v>20</v>
      </c>
      <c r="AA198" s="285">
        <v>20</v>
      </c>
      <c r="AB198" s="285">
        <v>20</v>
      </c>
      <c r="AC198" s="285">
        <v>20</v>
      </c>
      <c r="AD198" s="285">
        <v>20</v>
      </c>
      <c r="AE198" s="285">
        <v>20</v>
      </c>
      <c r="AF198" s="285">
        <v>20</v>
      </c>
      <c r="AG198" s="285">
        <v>20</v>
      </c>
      <c r="AH198" s="285">
        <v>20</v>
      </c>
      <c r="AI198" s="285">
        <v>20</v>
      </c>
      <c r="AJ198" s="78">
        <v>20</v>
      </c>
      <c r="AK198" s="352"/>
    </row>
    <row r="199" spans="1:37" ht="13.5" customHeight="1" x14ac:dyDescent="0.45">
      <c r="A199" s="3"/>
      <c r="B199" s="215"/>
      <c r="C199" s="81" t="s">
        <v>289</v>
      </c>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c r="AA199" s="314"/>
      <c r="AB199" s="314"/>
      <c r="AC199" s="314"/>
      <c r="AD199" s="314"/>
      <c r="AE199" s="314"/>
      <c r="AF199" s="314"/>
      <c r="AG199" s="314"/>
      <c r="AH199" s="314"/>
      <c r="AI199" s="314"/>
      <c r="AJ199" s="82"/>
      <c r="AK199" s="352"/>
    </row>
    <row r="200" spans="1:37" ht="13.5" customHeight="1" x14ac:dyDescent="0.45">
      <c r="A200" s="3"/>
      <c r="B200" s="215"/>
      <c r="C200" s="75" t="s">
        <v>779</v>
      </c>
      <c r="D200" s="422"/>
      <c r="E200" s="422"/>
      <c r="F200" s="422"/>
      <c r="G200" s="422"/>
      <c r="H200" s="422"/>
      <c r="I200" s="422"/>
      <c r="J200" s="422"/>
      <c r="K200" s="422"/>
      <c r="L200" s="422"/>
      <c r="M200" s="422"/>
      <c r="N200" s="422"/>
      <c r="O200" s="422"/>
      <c r="P200" s="422"/>
      <c r="Q200" s="422"/>
      <c r="R200" s="422"/>
      <c r="S200" s="422"/>
      <c r="T200" s="422"/>
      <c r="U200" s="422"/>
      <c r="V200" s="422"/>
      <c r="W200" s="422"/>
      <c r="X200" s="422"/>
      <c r="Y200" s="422"/>
      <c r="Z200" s="422"/>
      <c r="AA200" s="422"/>
      <c r="AB200" s="422"/>
      <c r="AC200" s="422"/>
      <c r="AD200" s="422"/>
      <c r="AE200" s="422"/>
      <c r="AF200" s="422"/>
      <c r="AG200" s="422"/>
      <c r="AH200" s="422"/>
      <c r="AI200" s="422"/>
      <c r="AJ200" s="76"/>
      <c r="AK200" s="352"/>
    </row>
    <row r="201" spans="1:37" ht="13.5" customHeight="1" x14ac:dyDescent="0.45">
      <c r="A201" s="3"/>
      <c r="B201" s="215"/>
      <c r="C201" s="77" t="s">
        <v>780</v>
      </c>
      <c r="D201" s="285">
        <v>18.2</v>
      </c>
      <c r="E201" s="285">
        <v>18.2</v>
      </c>
      <c r="F201" s="285">
        <v>18.2</v>
      </c>
      <c r="G201" s="285">
        <v>18.2</v>
      </c>
      <c r="H201" s="285">
        <v>18.2</v>
      </c>
      <c r="I201" s="285">
        <v>18.2</v>
      </c>
      <c r="J201" s="285">
        <v>18.2</v>
      </c>
      <c r="K201" s="285">
        <v>18.2</v>
      </c>
      <c r="L201" s="285">
        <v>18.2</v>
      </c>
      <c r="M201" s="285">
        <v>18.2</v>
      </c>
      <c r="N201" s="285">
        <v>18.2</v>
      </c>
      <c r="O201" s="285">
        <v>18.2</v>
      </c>
      <c r="P201" s="285">
        <v>18.2</v>
      </c>
      <c r="Q201" s="285">
        <v>18.2</v>
      </c>
      <c r="R201" s="285">
        <v>18.2</v>
      </c>
      <c r="S201" s="285">
        <v>18.2</v>
      </c>
      <c r="T201" s="285">
        <v>18.2</v>
      </c>
      <c r="U201" s="285">
        <v>16.399999999999999</v>
      </c>
      <c r="V201" s="285">
        <v>16.399999999999999</v>
      </c>
      <c r="W201" s="285">
        <v>16.399999999999999</v>
      </c>
      <c r="X201" s="285">
        <v>16.399999999999999</v>
      </c>
      <c r="Y201" s="285">
        <v>16.399999999999999</v>
      </c>
      <c r="Z201" s="285">
        <v>13.6</v>
      </c>
      <c r="AA201" s="285">
        <v>13.6</v>
      </c>
      <c r="AB201" s="285">
        <v>13.6</v>
      </c>
      <c r="AC201" s="285">
        <v>13.6</v>
      </c>
      <c r="AD201" s="285">
        <v>13.6</v>
      </c>
      <c r="AE201" s="285">
        <v>13.6</v>
      </c>
      <c r="AF201" s="285">
        <v>13.6</v>
      </c>
      <c r="AG201" s="285">
        <v>13.6</v>
      </c>
      <c r="AH201" s="285">
        <v>13.6</v>
      </c>
      <c r="AI201" s="285">
        <v>13.6</v>
      </c>
      <c r="AJ201" s="78">
        <v>13.6</v>
      </c>
      <c r="AK201" s="352"/>
    </row>
    <row r="202" spans="1:37" ht="13.5" customHeight="1" x14ac:dyDescent="0.45">
      <c r="A202" s="3"/>
      <c r="B202" s="215"/>
      <c r="C202" s="86" t="s">
        <v>781</v>
      </c>
      <c r="D202" s="87">
        <v>29.1</v>
      </c>
      <c r="E202" s="87">
        <v>29.1</v>
      </c>
      <c r="F202" s="87">
        <v>29.1</v>
      </c>
      <c r="G202" s="87">
        <v>29.1</v>
      </c>
      <c r="H202" s="87">
        <v>29.1</v>
      </c>
      <c r="I202" s="87">
        <v>29.1</v>
      </c>
      <c r="J202" s="87">
        <v>29.1</v>
      </c>
      <c r="K202" s="87">
        <v>29.1</v>
      </c>
      <c r="L202" s="87">
        <v>29.1</v>
      </c>
      <c r="M202" s="87">
        <v>29.1</v>
      </c>
      <c r="N202" s="87">
        <v>29.1</v>
      </c>
      <c r="O202" s="87">
        <v>29.1</v>
      </c>
      <c r="P202" s="87">
        <v>29.1</v>
      </c>
      <c r="Q202" s="87">
        <v>29.1</v>
      </c>
      <c r="R202" s="87">
        <v>29.1</v>
      </c>
      <c r="S202" s="87">
        <v>29.1</v>
      </c>
      <c r="T202" s="87">
        <v>29.1</v>
      </c>
      <c r="U202" s="87">
        <v>29.1</v>
      </c>
      <c r="V202" s="87">
        <v>29.1</v>
      </c>
      <c r="W202" s="87">
        <v>29.1</v>
      </c>
      <c r="X202" s="87">
        <v>29.1</v>
      </c>
      <c r="Y202" s="87">
        <v>29.1</v>
      </c>
      <c r="Z202" s="87">
        <v>24.2</v>
      </c>
      <c r="AA202" s="87">
        <v>24.2</v>
      </c>
      <c r="AB202" s="87">
        <v>24.2</v>
      </c>
      <c r="AC202" s="87">
        <v>24.2</v>
      </c>
      <c r="AD202" s="87">
        <v>24.2</v>
      </c>
      <c r="AE202" s="87">
        <v>24.2</v>
      </c>
      <c r="AF202" s="87">
        <v>24.2</v>
      </c>
      <c r="AG202" s="87">
        <v>24.2</v>
      </c>
      <c r="AH202" s="87">
        <v>24.2</v>
      </c>
      <c r="AI202" s="87">
        <v>24.2</v>
      </c>
      <c r="AJ202" s="88">
        <v>24.2</v>
      </c>
      <c r="AK202" s="352"/>
    </row>
    <row r="203" spans="1:37" ht="13.5" customHeight="1" x14ac:dyDescent="0.45">
      <c r="A203" s="3"/>
      <c r="B203" s="215"/>
      <c r="C203" s="221"/>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c r="AA203" s="285"/>
      <c r="AB203" s="285"/>
      <c r="AC203" s="285"/>
      <c r="AD203" s="285"/>
      <c r="AE203" s="285"/>
      <c r="AF203" s="285"/>
      <c r="AG203" s="285"/>
      <c r="AH203" s="285"/>
      <c r="AI203" s="285"/>
      <c r="AJ203" s="285"/>
      <c r="AK203" s="352"/>
    </row>
    <row r="204" spans="1:37" ht="13.5" customHeight="1" x14ac:dyDescent="0.45">
      <c r="A204" s="3"/>
      <c r="B204" s="215"/>
      <c r="C204" s="221"/>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c r="AA204" s="285"/>
      <c r="AB204" s="285"/>
      <c r="AC204" s="285"/>
      <c r="AD204" s="285"/>
      <c r="AE204" s="285"/>
      <c r="AF204" s="285"/>
      <c r="AG204" s="285"/>
      <c r="AH204" s="285"/>
      <c r="AI204" s="285"/>
      <c r="AJ204" s="285"/>
      <c r="AK204" s="352"/>
    </row>
    <row r="205" spans="1:37" ht="13.5" customHeight="1" x14ac:dyDescent="0.45">
      <c r="A205" s="3"/>
      <c r="B205" s="215"/>
      <c r="C205" s="221"/>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c r="AA205" s="285"/>
      <c r="AB205" s="285"/>
      <c r="AC205" s="285"/>
      <c r="AD205" s="285"/>
      <c r="AE205" s="285"/>
      <c r="AF205" s="285"/>
      <c r="AG205" s="285"/>
      <c r="AH205" s="285"/>
      <c r="AI205" s="285"/>
      <c r="AJ205" s="285"/>
      <c r="AK205" s="352"/>
    </row>
    <row r="206" spans="1:37" ht="13.5" customHeight="1" x14ac:dyDescent="0.45">
      <c r="A206" s="3"/>
      <c r="B206" s="215"/>
      <c r="C206" s="221"/>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c r="AA206" s="285"/>
      <c r="AB206" s="285"/>
      <c r="AC206" s="285"/>
      <c r="AD206" s="285"/>
      <c r="AE206" s="285"/>
      <c r="AF206" s="285"/>
      <c r="AG206" s="285"/>
      <c r="AH206" s="285"/>
      <c r="AI206" s="285"/>
      <c r="AJ206" s="285"/>
      <c r="AK206" s="352"/>
    </row>
    <row r="207" spans="1:37" ht="13.5" customHeight="1" x14ac:dyDescent="0.45">
      <c r="A207" s="3"/>
      <c r="B207" s="215"/>
      <c r="C207" s="243" t="s">
        <v>784</v>
      </c>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c r="AA207" s="285"/>
      <c r="AB207" s="285"/>
      <c r="AC207" s="285"/>
      <c r="AD207" s="285"/>
      <c r="AE207" s="285"/>
      <c r="AF207" s="285"/>
      <c r="AG207" s="285"/>
      <c r="AH207" s="285"/>
      <c r="AI207" s="285"/>
      <c r="AJ207" s="285"/>
      <c r="AK207" s="352"/>
    </row>
    <row r="208" spans="1:37" ht="13.5" customHeight="1" x14ac:dyDescent="0.45">
      <c r="A208" s="3"/>
      <c r="B208" s="215"/>
      <c r="C208" s="243"/>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c r="AA208" s="285"/>
      <c r="AB208" s="285"/>
      <c r="AC208" s="285"/>
      <c r="AD208" s="285"/>
      <c r="AE208" s="285"/>
      <c r="AF208" s="285"/>
      <c r="AG208" s="285"/>
      <c r="AH208" s="285"/>
      <c r="AI208" s="285"/>
      <c r="AJ208" s="285"/>
      <c r="AK208" s="352"/>
    </row>
    <row r="209" spans="1:37" ht="13.5" customHeight="1" x14ac:dyDescent="0.45">
      <c r="A209" s="3"/>
      <c r="B209" s="215"/>
      <c r="C209" s="72" t="s">
        <v>166</v>
      </c>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4"/>
      <c r="AK209" s="352"/>
    </row>
    <row r="210" spans="1:37" ht="13.5" customHeight="1" x14ac:dyDescent="0.45">
      <c r="A210" s="3"/>
      <c r="B210" s="215"/>
      <c r="C210" s="75" t="s">
        <v>739</v>
      </c>
      <c r="D210" s="422"/>
      <c r="E210" s="422"/>
      <c r="F210" s="422"/>
      <c r="G210" s="422"/>
      <c r="H210" s="422"/>
      <c r="I210" s="422"/>
      <c r="J210" s="422"/>
      <c r="K210" s="422"/>
      <c r="L210" s="422"/>
      <c r="M210" s="422"/>
      <c r="N210" s="422"/>
      <c r="O210" s="422"/>
      <c r="P210" s="422"/>
      <c r="Q210" s="422"/>
      <c r="R210" s="422"/>
      <c r="S210" s="422"/>
      <c r="T210" s="422"/>
      <c r="U210" s="422"/>
      <c r="V210" s="422"/>
      <c r="W210" s="422"/>
      <c r="X210" s="422"/>
      <c r="Y210" s="422"/>
      <c r="Z210" s="422"/>
      <c r="AA210" s="422"/>
      <c r="AB210" s="422"/>
      <c r="AC210" s="422"/>
      <c r="AD210" s="422"/>
      <c r="AE210" s="422"/>
      <c r="AF210" s="422"/>
      <c r="AG210" s="422"/>
      <c r="AH210" s="422"/>
      <c r="AI210" s="422"/>
      <c r="AJ210" s="76"/>
      <c r="AK210" s="352"/>
    </row>
    <row r="211" spans="1:37" ht="13.5" customHeight="1" x14ac:dyDescent="0.45">
      <c r="A211" s="3"/>
      <c r="B211" s="215"/>
      <c r="C211" s="77" t="s">
        <v>740</v>
      </c>
      <c r="D211" s="285">
        <v>0</v>
      </c>
      <c r="E211" s="285">
        <v>0</v>
      </c>
      <c r="F211" s="285">
        <v>0</v>
      </c>
      <c r="G211" s="285">
        <v>0</v>
      </c>
      <c r="H211" s="285">
        <v>0</v>
      </c>
      <c r="I211" s="285">
        <v>0</v>
      </c>
      <c r="J211" s="285">
        <v>0</v>
      </c>
      <c r="K211" s="285">
        <v>0</v>
      </c>
      <c r="L211" s="285">
        <v>0</v>
      </c>
      <c r="M211" s="285">
        <v>0</v>
      </c>
      <c r="N211" s="285">
        <v>0</v>
      </c>
      <c r="O211" s="285">
        <v>0</v>
      </c>
      <c r="P211" s="285">
        <v>0</v>
      </c>
      <c r="Q211" s="285">
        <v>0</v>
      </c>
      <c r="R211" s="285">
        <v>0</v>
      </c>
      <c r="S211" s="285">
        <v>0</v>
      </c>
      <c r="T211" s="285">
        <v>0</v>
      </c>
      <c r="U211" s="285">
        <v>0</v>
      </c>
      <c r="V211" s="285">
        <v>0</v>
      </c>
      <c r="W211" s="285">
        <v>0</v>
      </c>
      <c r="X211" s="285">
        <v>0</v>
      </c>
      <c r="Y211" s="285">
        <v>0</v>
      </c>
      <c r="Z211" s="285">
        <v>0</v>
      </c>
      <c r="AA211" s="285">
        <v>0</v>
      </c>
      <c r="AB211" s="285">
        <v>0</v>
      </c>
      <c r="AC211" s="285">
        <v>0</v>
      </c>
      <c r="AD211" s="285">
        <v>0</v>
      </c>
      <c r="AE211" s="285">
        <v>0</v>
      </c>
      <c r="AF211" s="285">
        <v>0</v>
      </c>
      <c r="AG211" s="285">
        <v>0</v>
      </c>
      <c r="AH211" s="285">
        <v>0</v>
      </c>
      <c r="AI211" s="285">
        <v>0</v>
      </c>
      <c r="AJ211" s="78">
        <v>0</v>
      </c>
      <c r="AK211" s="352"/>
    </row>
    <row r="212" spans="1:37" ht="13.5" customHeight="1" x14ac:dyDescent="0.45">
      <c r="A212" s="3"/>
      <c r="B212" s="215"/>
      <c r="C212" s="77" t="s">
        <v>741</v>
      </c>
      <c r="D212" s="285">
        <v>0</v>
      </c>
      <c r="E212" s="285">
        <v>0</v>
      </c>
      <c r="F212" s="285">
        <v>0</v>
      </c>
      <c r="G212" s="285">
        <v>0</v>
      </c>
      <c r="H212" s="285">
        <v>0</v>
      </c>
      <c r="I212" s="285">
        <v>0</v>
      </c>
      <c r="J212" s="285">
        <v>0</v>
      </c>
      <c r="K212" s="285">
        <v>0</v>
      </c>
      <c r="L212" s="285">
        <v>0</v>
      </c>
      <c r="M212" s="285">
        <v>0</v>
      </c>
      <c r="N212" s="285">
        <v>0</v>
      </c>
      <c r="O212" s="285">
        <v>0</v>
      </c>
      <c r="P212" s="285">
        <v>0</v>
      </c>
      <c r="Q212" s="285">
        <v>0</v>
      </c>
      <c r="R212" s="285">
        <v>0</v>
      </c>
      <c r="S212" s="285">
        <v>0</v>
      </c>
      <c r="T212" s="285">
        <v>0</v>
      </c>
      <c r="U212" s="285">
        <v>0</v>
      </c>
      <c r="V212" s="285">
        <v>0</v>
      </c>
      <c r="W212" s="285">
        <v>0</v>
      </c>
      <c r="X212" s="285">
        <v>0</v>
      </c>
      <c r="Y212" s="285">
        <v>0</v>
      </c>
      <c r="Z212" s="285">
        <v>0</v>
      </c>
      <c r="AA212" s="285">
        <v>0</v>
      </c>
      <c r="AB212" s="285">
        <v>0</v>
      </c>
      <c r="AC212" s="285">
        <v>0</v>
      </c>
      <c r="AD212" s="285">
        <v>0</v>
      </c>
      <c r="AE212" s="285">
        <v>0</v>
      </c>
      <c r="AF212" s="285">
        <v>0</v>
      </c>
      <c r="AG212" s="285">
        <v>0</v>
      </c>
      <c r="AH212" s="285">
        <v>0</v>
      </c>
      <c r="AI212" s="285">
        <v>0</v>
      </c>
      <c r="AJ212" s="78">
        <v>0</v>
      </c>
      <c r="AK212" s="352"/>
    </row>
    <row r="213" spans="1:37" ht="13.5" customHeight="1" x14ac:dyDescent="0.45">
      <c r="A213" s="3"/>
      <c r="B213" s="215"/>
      <c r="C213" s="75" t="s">
        <v>742</v>
      </c>
      <c r="D213" s="422"/>
      <c r="E213" s="422"/>
      <c r="F213" s="422"/>
      <c r="G213" s="422"/>
      <c r="H213" s="422"/>
      <c r="I213" s="422"/>
      <c r="J213" s="422"/>
      <c r="K213" s="422"/>
      <c r="L213" s="422"/>
      <c r="M213" s="422"/>
      <c r="N213" s="422"/>
      <c r="O213" s="422"/>
      <c r="P213" s="422"/>
      <c r="Q213" s="422"/>
      <c r="R213" s="422"/>
      <c r="S213" s="422"/>
      <c r="T213" s="422"/>
      <c r="U213" s="422"/>
      <c r="V213" s="422"/>
      <c r="W213" s="422"/>
      <c r="X213" s="422"/>
      <c r="Y213" s="422"/>
      <c r="Z213" s="422"/>
      <c r="AA213" s="422"/>
      <c r="AB213" s="422"/>
      <c r="AC213" s="422"/>
      <c r="AD213" s="422"/>
      <c r="AE213" s="422"/>
      <c r="AF213" s="422"/>
      <c r="AG213" s="422"/>
      <c r="AH213" s="422"/>
      <c r="AI213" s="422"/>
      <c r="AJ213" s="76"/>
      <c r="AK213" s="352"/>
    </row>
    <row r="214" spans="1:37" ht="13.5" customHeight="1" x14ac:dyDescent="0.45">
      <c r="A214" s="3"/>
      <c r="B214" s="215"/>
      <c r="C214" s="79" t="s">
        <v>743</v>
      </c>
      <c r="D214" s="423">
        <v>0</v>
      </c>
      <c r="E214" s="423">
        <v>0</v>
      </c>
      <c r="F214" s="423">
        <v>0</v>
      </c>
      <c r="G214" s="423">
        <v>0</v>
      </c>
      <c r="H214" s="423">
        <v>0</v>
      </c>
      <c r="I214" s="423">
        <v>0</v>
      </c>
      <c r="J214" s="423">
        <v>0</v>
      </c>
      <c r="K214" s="423">
        <v>0</v>
      </c>
      <c r="L214" s="423">
        <v>0</v>
      </c>
      <c r="M214" s="423">
        <v>0</v>
      </c>
      <c r="N214" s="423">
        <v>0</v>
      </c>
      <c r="O214" s="423">
        <v>0</v>
      </c>
      <c r="P214" s="423">
        <v>0</v>
      </c>
      <c r="Q214" s="423">
        <v>0</v>
      </c>
      <c r="R214" s="423">
        <v>0</v>
      </c>
      <c r="S214" s="423">
        <v>0</v>
      </c>
      <c r="T214" s="423">
        <v>0</v>
      </c>
      <c r="U214" s="423">
        <v>0</v>
      </c>
      <c r="V214" s="423">
        <v>0</v>
      </c>
      <c r="W214" s="423">
        <v>0</v>
      </c>
      <c r="X214" s="423">
        <v>0</v>
      </c>
      <c r="Y214" s="423">
        <v>0</v>
      </c>
      <c r="Z214" s="423">
        <v>0</v>
      </c>
      <c r="AA214" s="423">
        <v>0</v>
      </c>
      <c r="AB214" s="423">
        <v>0</v>
      </c>
      <c r="AC214" s="423">
        <v>0</v>
      </c>
      <c r="AD214" s="423">
        <v>0</v>
      </c>
      <c r="AE214" s="423">
        <v>0</v>
      </c>
      <c r="AF214" s="423">
        <v>0</v>
      </c>
      <c r="AG214" s="423">
        <v>0</v>
      </c>
      <c r="AH214" s="423">
        <v>0</v>
      </c>
      <c r="AI214" s="423">
        <v>0</v>
      </c>
      <c r="AJ214" s="80">
        <v>0</v>
      </c>
      <c r="AK214" s="352"/>
    </row>
    <row r="215" spans="1:37" ht="13.5" customHeight="1" x14ac:dyDescent="0.45">
      <c r="A215" s="3"/>
      <c r="B215" s="215"/>
      <c r="C215" s="79" t="s">
        <v>744</v>
      </c>
      <c r="D215" s="423">
        <v>0</v>
      </c>
      <c r="E215" s="423">
        <v>0</v>
      </c>
      <c r="F215" s="423">
        <v>0</v>
      </c>
      <c r="G215" s="423">
        <v>0</v>
      </c>
      <c r="H215" s="423">
        <v>0</v>
      </c>
      <c r="I215" s="423">
        <v>0</v>
      </c>
      <c r="J215" s="423">
        <v>0</v>
      </c>
      <c r="K215" s="423">
        <v>0</v>
      </c>
      <c r="L215" s="423">
        <v>0</v>
      </c>
      <c r="M215" s="423">
        <v>0</v>
      </c>
      <c r="N215" s="423">
        <v>0</v>
      </c>
      <c r="O215" s="423">
        <v>0</v>
      </c>
      <c r="P215" s="423">
        <v>0</v>
      </c>
      <c r="Q215" s="423">
        <v>0</v>
      </c>
      <c r="R215" s="423">
        <v>0</v>
      </c>
      <c r="S215" s="423">
        <v>0</v>
      </c>
      <c r="T215" s="423">
        <v>0</v>
      </c>
      <c r="U215" s="423">
        <v>0</v>
      </c>
      <c r="V215" s="423">
        <v>0</v>
      </c>
      <c r="W215" s="423">
        <v>0</v>
      </c>
      <c r="X215" s="423">
        <v>0</v>
      </c>
      <c r="Y215" s="423">
        <v>0</v>
      </c>
      <c r="Z215" s="423">
        <v>0</v>
      </c>
      <c r="AA215" s="423">
        <v>0</v>
      </c>
      <c r="AB215" s="423">
        <v>0</v>
      </c>
      <c r="AC215" s="423">
        <v>0</v>
      </c>
      <c r="AD215" s="423">
        <v>0</v>
      </c>
      <c r="AE215" s="423">
        <v>0</v>
      </c>
      <c r="AF215" s="423">
        <v>0</v>
      </c>
      <c r="AG215" s="423">
        <v>0</v>
      </c>
      <c r="AH215" s="423">
        <v>0</v>
      </c>
      <c r="AI215" s="423">
        <v>0</v>
      </c>
      <c r="AJ215" s="80">
        <v>0</v>
      </c>
      <c r="AK215" s="352"/>
    </row>
    <row r="216" spans="1:37" ht="13.5" customHeight="1" x14ac:dyDescent="0.45">
      <c r="A216" s="3"/>
      <c r="B216" s="215"/>
      <c r="C216" s="81" t="s">
        <v>171</v>
      </c>
      <c r="D216" s="424" t="s">
        <v>221</v>
      </c>
      <c r="E216" s="424" t="s">
        <v>221</v>
      </c>
      <c r="F216" s="424" t="s">
        <v>221</v>
      </c>
      <c r="G216" s="424" t="s">
        <v>221</v>
      </c>
      <c r="H216" s="424" t="s">
        <v>221</v>
      </c>
      <c r="I216" s="424" t="s">
        <v>221</v>
      </c>
      <c r="J216" s="424" t="s">
        <v>221</v>
      </c>
      <c r="K216" s="424" t="s">
        <v>221</v>
      </c>
      <c r="L216" s="424" t="s">
        <v>221</v>
      </c>
      <c r="M216" s="424" t="s">
        <v>221</v>
      </c>
      <c r="N216" s="424" t="s">
        <v>221</v>
      </c>
      <c r="O216" s="424" t="s">
        <v>221</v>
      </c>
      <c r="P216" s="424" t="s">
        <v>221</v>
      </c>
      <c r="Q216" s="424" t="s">
        <v>221</v>
      </c>
      <c r="R216" s="424" t="s">
        <v>221</v>
      </c>
      <c r="S216" s="424" t="s">
        <v>221</v>
      </c>
      <c r="T216" s="424" t="s">
        <v>221</v>
      </c>
      <c r="U216" s="424" t="s">
        <v>221</v>
      </c>
      <c r="V216" s="424" t="s">
        <v>221</v>
      </c>
      <c r="W216" s="424" t="s">
        <v>221</v>
      </c>
      <c r="X216" s="424" t="s">
        <v>221</v>
      </c>
      <c r="Y216" s="424" t="s">
        <v>221</v>
      </c>
      <c r="Z216" s="424" t="s">
        <v>221</v>
      </c>
      <c r="AA216" s="424" t="s">
        <v>221</v>
      </c>
      <c r="AB216" s="424" t="s">
        <v>221</v>
      </c>
      <c r="AC216" s="424" t="s">
        <v>221</v>
      </c>
      <c r="AD216" s="424" t="s">
        <v>221</v>
      </c>
      <c r="AE216" s="424" t="s">
        <v>221</v>
      </c>
      <c r="AF216" s="424" t="s">
        <v>221</v>
      </c>
      <c r="AG216" s="424" t="s">
        <v>221</v>
      </c>
      <c r="AH216" s="424" t="s">
        <v>221</v>
      </c>
      <c r="AI216" s="424" t="s">
        <v>221</v>
      </c>
      <c r="AJ216" s="424" t="s">
        <v>221</v>
      </c>
      <c r="AK216" s="352"/>
    </row>
    <row r="217" spans="1:37" ht="13.5" customHeight="1" x14ac:dyDescent="0.45">
      <c r="A217" s="3"/>
      <c r="B217" s="215"/>
      <c r="C217" s="81" t="s">
        <v>172</v>
      </c>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c r="AA217" s="314"/>
      <c r="AB217" s="314"/>
      <c r="AC217" s="314"/>
      <c r="AD217" s="314"/>
      <c r="AE217" s="314"/>
      <c r="AF217" s="314"/>
      <c r="AG217" s="314"/>
      <c r="AH217" s="314"/>
      <c r="AI217" s="314"/>
      <c r="AJ217" s="82"/>
      <c r="AK217" s="352"/>
    </row>
    <row r="218" spans="1:37" ht="13.5" customHeight="1" x14ac:dyDescent="0.45">
      <c r="A218" s="3"/>
      <c r="B218" s="215"/>
      <c r="C218" s="75" t="s">
        <v>748</v>
      </c>
      <c r="D218" s="422"/>
      <c r="E218" s="422"/>
      <c r="F218" s="422"/>
      <c r="G218" s="422"/>
      <c r="H218" s="422"/>
      <c r="I218" s="422"/>
      <c r="J218" s="422"/>
      <c r="K218" s="422"/>
      <c r="L218" s="422"/>
      <c r="M218" s="422"/>
      <c r="N218" s="422"/>
      <c r="O218" s="422"/>
      <c r="P218" s="422"/>
      <c r="Q218" s="422"/>
      <c r="R218" s="422"/>
      <c r="S218" s="422"/>
      <c r="T218" s="422"/>
      <c r="U218" s="422"/>
      <c r="V218" s="422"/>
      <c r="W218" s="422"/>
      <c r="X218" s="422"/>
      <c r="Y218" s="422"/>
      <c r="Z218" s="422"/>
      <c r="AA218" s="422"/>
      <c r="AB218" s="422"/>
      <c r="AC218" s="422"/>
      <c r="AD218" s="422"/>
      <c r="AE218" s="422"/>
      <c r="AF218" s="422"/>
      <c r="AG218" s="422"/>
      <c r="AH218" s="422"/>
      <c r="AI218" s="422"/>
      <c r="AJ218" s="76"/>
      <c r="AK218" s="352"/>
    </row>
    <row r="219" spans="1:37" ht="13.5" customHeight="1" x14ac:dyDescent="0.45">
      <c r="A219" s="3"/>
      <c r="B219" s="215"/>
      <c r="C219" s="79" t="s">
        <v>749</v>
      </c>
      <c r="D219" s="423"/>
      <c r="E219" s="423"/>
      <c r="F219" s="423"/>
      <c r="G219" s="423"/>
      <c r="H219" s="423"/>
      <c r="I219" s="423"/>
      <c r="J219" s="423"/>
      <c r="K219" s="423"/>
      <c r="L219" s="423"/>
      <c r="M219" s="423"/>
      <c r="N219" s="423"/>
      <c r="O219" s="423"/>
      <c r="P219" s="423"/>
      <c r="Q219" s="423"/>
      <c r="R219" s="423"/>
      <c r="S219" s="423"/>
      <c r="T219" s="423"/>
      <c r="U219" s="423"/>
      <c r="V219" s="423"/>
      <c r="W219" s="423"/>
      <c r="X219" s="423"/>
      <c r="Y219" s="423"/>
      <c r="Z219" s="423"/>
      <c r="AA219" s="423"/>
      <c r="AB219" s="423"/>
      <c r="AC219" s="423"/>
      <c r="AD219" s="423"/>
      <c r="AE219" s="423"/>
      <c r="AF219" s="423"/>
      <c r="AG219" s="423"/>
      <c r="AH219" s="423"/>
      <c r="AI219" s="423"/>
      <c r="AJ219" s="80"/>
      <c r="AK219" s="352"/>
    </row>
    <row r="220" spans="1:37" ht="13.5" customHeight="1" x14ac:dyDescent="0.45">
      <c r="A220" s="3"/>
      <c r="B220" s="215"/>
      <c r="C220" s="84" t="s">
        <v>750</v>
      </c>
      <c r="D220" s="423"/>
      <c r="E220" s="423"/>
      <c r="F220" s="423"/>
      <c r="G220" s="423"/>
      <c r="H220" s="423"/>
      <c r="I220" s="423"/>
      <c r="J220" s="423"/>
      <c r="K220" s="423"/>
      <c r="L220" s="423"/>
      <c r="M220" s="423"/>
      <c r="N220" s="423"/>
      <c r="O220" s="423"/>
      <c r="P220" s="423"/>
      <c r="Q220" s="423"/>
      <c r="R220" s="423"/>
      <c r="S220" s="423"/>
      <c r="T220" s="423"/>
      <c r="U220" s="423"/>
      <c r="V220" s="423"/>
      <c r="W220" s="423"/>
      <c r="X220" s="423"/>
      <c r="Y220" s="423"/>
      <c r="Z220" s="423"/>
      <c r="AA220" s="423"/>
      <c r="AB220" s="423"/>
      <c r="AC220" s="423"/>
      <c r="AD220" s="423"/>
      <c r="AE220" s="423"/>
      <c r="AF220" s="423"/>
      <c r="AG220" s="423"/>
      <c r="AH220" s="423"/>
      <c r="AI220" s="423"/>
      <c r="AJ220" s="80"/>
      <c r="AK220" s="352"/>
    </row>
    <row r="221" spans="1:37" ht="13.5" customHeight="1" x14ac:dyDescent="0.45">
      <c r="A221" s="3"/>
      <c r="B221" s="215"/>
      <c r="C221" s="77" t="s">
        <v>751</v>
      </c>
      <c r="D221" s="285" t="s">
        <v>221</v>
      </c>
      <c r="E221" s="285" t="s">
        <v>221</v>
      </c>
      <c r="F221" s="285" t="s">
        <v>221</v>
      </c>
      <c r="G221" s="285" t="s">
        <v>221</v>
      </c>
      <c r="H221" s="285" t="s">
        <v>221</v>
      </c>
      <c r="I221" s="285" t="s">
        <v>221</v>
      </c>
      <c r="J221" s="285" t="s">
        <v>221</v>
      </c>
      <c r="K221" s="285" t="s">
        <v>221</v>
      </c>
      <c r="L221" s="285" t="s">
        <v>221</v>
      </c>
      <c r="M221" s="285" t="s">
        <v>221</v>
      </c>
      <c r="N221" s="285" t="s">
        <v>221</v>
      </c>
      <c r="O221" s="285" t="s">
        <v>221</v>
      </c>
      <c r="P221" s="285" t="s">
        <v>221</v>
      </c>
      <c r="Q221" s="285" t="s">
        <v>221</v>
      </c>
      <c r="R221" s="285" t="s">
        <v>221</v>
      </c>
      <c r="S221" s="285" t="s">
        <v>221</v>
      </c>
      <c r="T221" s="285" t="s">
        <v>221</v>
      </c>
      <c r="U221" s="285" t="s">
        <v>221</v>
      </c>
      <c r="V221" s="285" t="s">
        <v>221</v>
      </c>
      <c r="W221" s="285" t="s">
        <v>221</v>
      </c>
      <c r="X221" s="285" t="s">
        <v>221</v>
      </c>
      <c r="Y221" s="285" t="s">
        <v>221</v>
      </c>
      <c r="Z221" s="285" t="s">
        <v>221</v>
      </c>
      <c r="AA221" s="285" t="s">
        <v>221</v>
      </c>
      <c r="AB221" s="285" t="s">
        <v>221</v>
      </c>
      <c r="AC221" s="285" t="s">
        <v>221</v>
      </c>
      <c r="AD221" s="285" t="s">
        <v>221</v>
      </c>
      <c r="AE221" s="285" t="s">
        <v>221</v>
      </c>
      <c r="AF221" s="285" t="s">
        <v>221</v>
      </c>
      <c r="AG221" s="285" t="s">
        <v>221</v>
      </c>
      <c r="AH221" s="285" t="s">
        <v>221</v>
      </c>
      <c r="AI221" s="285" t="s">
        <v>221</v>
      </c>
      <c r="AJ221" s="78" t="s">
        <v>221</v>
      </c>
      <c r="AK221" s="352"/>
    </row>
    <row r="222" spans="1:37" ht="13.5" customHeight="1" x14ac:dyDescent="0.45">
      <c r="A222" s="3"/>
      <c r="B222" s="215"/>
      <c r="C222" s="77" t="s">
        <v>752</v>
      </c>
      <c r="D222" s="285">
        <v>0.63</v>
      </c>
      <c r="E222" s="285">
        <v>0.63</v>
      </c>
      <c r="F222" s="285">
        <v>0.63</v>
      </c>
      <c r="G222" s="285">
        <v>0.63</v>
      </c>
      <c r="H222" s="285">
        <v>0.63</v>
      </c>
      <c r="I222" s="285">
        <v>0.63</v>
      </c>
      <c r="J222" s="285">
        <v>0.63</v>
      </c>
      <c r="K222" s="285">
        <v>0.63</v>
      </c>
      <c r="L222" s="285">
        <v>0.63</v>
      </c>
      <c r="M222" s="285">
        <v>0.63</v>
      </c>
      <c r="N222" s="285">
        <v>0.63</v>
      </c>
      <c r="O222" s="285">
        <v>0.63</v>
      </c>
      <c r="P222" s="285">
        <v>0.63</v>
      </c>
      <c r="Q222" s="285">
        <v>0.63</v>
      </c>
      <c r="R222" s="285">
        <v>0.63</v>
      </c>
      <c r="S222" s="285">
        <v>0.63</v>
      </c>
      <c r="T222" s="285">
        <v>0.63</v>
      </c>
      <c r="U222" s="285">
        <v>0.63</v>
      </c>
      <c r="V222" s="285">
        <v>0.63</v>
      </c>
      <c r="W222" s="285">
        <v>0.63</v>
      </c>
      <c r="X222" s="285">
        <v>0.63</v>
      </c>
      <c r="Y222" s="285">
        <v>0.63</v>
      </c>
      <c r="Z222" s="285">
        <v>0.63</v>
      </c>
      <c r="AA222" s="285">
        <v>0.63</v>
      </c>
      <c r="AB222" s="285">
        <v>0.63</v>
      </c>
      <c r="AC222" s="285">
        <v>0.63</v>
      </c>
      <c r="AD222" s="285">
        <v>0.63</v>
      </c>
      <c r="AE222" s="285">
        <v>0.63</v>
      </c>
      <c r="AF222" s="285">
        <v>0.63</v>
      </c>
      <c r="AG222" s="285">
        <v>0.63</v>
      </c>
      <c r="AH222" s="285">
        <v>0.63</v>
      </c>
      <c r="AI222" s="285">
        <v>0.63</v>
      </c>
      <c r="AJ222" s="78">
        <v>0.63</v>
      </c>
      <c r="AK222" s="352"/>
    </row>
    <row r="223" spans="1:37" ht="13.5" customHeight="1" x14ac:dyDescent="0.45">
      <c r="A223" s="3"/>
      <c r="B223" s="215"/>
      <c r="C223" s="77" t="s">
        <v>753</v>
      </c>
      <c r="D223" s="285">
        <v>0.63</v>
      </c>
      <c r="E223" s="285">
        <v>0.63</v>
      </c>
      <c r="F223" s="285">
        <v>0.63</v>
      </c>
      <c r="G223" s="285">
        <v>0.63</v>
      </c>
      <c r="H223" s="285">
        <v>0.63</v>
      </c>
      <c r="I223" s="285">
        <v>0.63</v>
      </c>
      <c r="J223" s="285">
        <v>0.63</v>
      </c>
      <c r="K223" s="285">
        <v>0.63</v>
      </c>
      <c r="L223" s="285">
        <v>0.63</v>
      </c>
      <c r="M223" s="285">
        <v>0.63</v>
      </c>
      <c r="N223" s="285">
        <v>0.63</v>
      </c>
      <c r="O223" s="285">
        <v>0.63</v>
      </c>
      <c r="P223" s="285">
        <v>0.63</v>
      </c>
      <c r="Q223" s="285">
        <v>0.63</v>
      </c>
      <c r="R223" s="285">
        <v>0.63</v>
      </c>
      <c r="S223" s="285">
        <v>0.63</v>
      </c>
      <c r="T223" s="285">
        <v>0.63</v>
      </c>
      <c r="U223" s="285">
        <v>0.63</v>
      </c>
      <c r="V223" s="285">
        <v>0.63</v>
      </c>
      <c r="W223" s="285">
        <v>0.63</v>
      </c>
      <c r="X223" s="285">
        <v>0.63</v>
      </c>
      <c r="Y223" s="285">
        <v>0.63</v>
      </c>
      <c r="Z223" s="285">
        <v>0.63</v>
      </c>
      <c r="AA223" s="285">
        <v>0.63</v>
      </c>
      <c r="AB223" s="285">
        <v>0.63</v>
      </c>
      <c r="AC223" s="285">
        <v>0.63</v>
      </c>
      <c r="AD223" s="285">
        <v>0.63</v>
      </c>
      <c r="AE223" s="285">
        <v>0.63</v>
      </c>
      <c r="AF223" s="285">
        <v>0.63</v>
      </c>
      <c r="AG223" s="285">
        <v>0.63</v>
      </c>
      <c r="AH223" s="285">
        <v>0.63</v>
      </c>
      <c r="AI223" s="285">
        <v>0.63</v>
      </c>
      <c r="AJ223" s="78">
        <v>0.63</v>
      </c>
      <c r="AK223" s="352"/>
    </row>
    <row r="224" spans="1:37" ht="13.5" customHeight="1" x14ac:dyDescent="0.45">
      <c r="A224" s="3"/>
      <c r="B224" s="215"/>
      <c r="C224" s="77" t="s">
        <v>754</v>
      </c>
      <c r="D224" s="285" t="s">
        <v>221</v>
      </c>
      <c r="E224" s="285" t="s">
        <v>221</v>
      </c>
      <c r="F224" s="285" t="s">
        <v>221</v>
      </c>
      <c r="G224" s="285" t="s">
        <v>221</v>
      </c>
      <c r="H224" s="285" t="s">
        <v>221</v>
      </c>
      <c r="I224" s="285" t="s">
        <v>221</v>
      </c>
      <c r="J224" s="285" t="s">
        <v>221</v>
      </c>
      <c r="K224" s="285" t="s">
        <v>221</v>
      </c>
      <c r="L224" s="285" t="s">
        <v>221</v>
      </c>
      <c r="M224" s="285" t="s">
        <v>221</v>
      </c>
      <c r="N224" s="285" t="s">
        <v>221</v>
      </c>
      <c r="O224" s="285" t="s">
        <v>221</v>
      </c>
      <c r="P224" s="285" t="s">
        <v>221</v>
      </c>
      <c r="Q224" s="285" t="s">
        <v>221</v>
      </c>
      <c r="R224" s="285" t="s">
        <v>221</v>
      </c>
      <c r="S224" s="285" t="s">
        <v>221</v>
      </c>
      <c r="T224" s="285" t="s">
        <v>221</v>
      </c>
      <c r="U224" s="285" t="s">
        <v>221</v>
      </c>
      <c r="V224" s="285" t="s">
        <v>221</v>
      </c>
      <c r="W224" s="285" t="s">
        <v>221</v>
      </c>
      <c r="X224" s="285" t="s">
        <v>221</v>
      </c>
      <c r="Y224" s="285" t="s">
        <v>221</v>
      </c>
      <c r="Z224" s="285" t="s">
        <v>221</v>
      </c>
      <c r="AA224" s="285" t="s">
        <v>221</v>
      </c>
      <c r="AB224" s="285" t="s">
        <v>221</v>
      </c>
      <c r="AC224" s="285" t="s">
        <v>221</v>
      </c>
      <c r="AD224" s="285" t="s">
        <v>221</v>
      </c>
      <c r="AE224" s="285" t="s">
        <v>221</v>
      </c>
      <c r="AF224" s="285" t="s">
        <v>221</v>
      </c>
      <c r="AG224" s="285" t="s">
        <v>221</v>
      </c>
      <c r="AH224" s="285" t="s">
        <v>221</v>
      </c>
      <c r="AI224" s="285" t="s">
        <v>221</v>
      </c>
      <c r="AJ224" s="78" t="s">
        <v>221</v>
      </c>
      <c r="AK224" s="352"/>
    </row>
    <row r="225" spans="1:37" ht="13.5" customHeight="1" x14ac:dyDescent="0.45">
      <c r="A225" s="3"/>
      <c r="B225" s="215"/>
      <c r="C225" s="77" t="s">
        <v>755</v>
      </c>
      <c r="D225" s="285">
        <v>0.63</v>
      </c>
      <c r="E225" s="285">
        <v>0.63</v>
      </c>
      <c r="F225" s="285">
        <v>0.63</v>
      </c>
      <c r="G225" s="285">
        <v>0.63</v>
      </c>
      <c r="H225" s="285">
        <v>0.63</v>
      </c>
      <c r="I225" s="285">
        <v>0.63</v>
      </c>
      <c r="J225" s="285">
        <v>0.63</v>
      </c>
      <c r="K225" s="285">
        <v>0.63</v>
      </c>
      <c r="L225" s="285">
        <v>0.63</v>
      </c>
      <c r="M225" s="285">
        <v>0.63</v>
      </c>
      <c r="N225" s="285">
        <v>0.63</v>
      </c>
      <c r="O225" s="285">
        <v>0.63</v>
      </c>
      <c r="P225" s="285">
        <v>0.63</v>
      </c>
      <c r="Q225" s="285">
        <v>0.63</v>
      </c>
      <c r="R225" s="285">
        <v>0.63</v>
      </c>
      <c r="S225" s="285">
        <v>0.63</v>
      </c>
      <c r="T225" s="285">
        <v>0.63</v>
      </c>
      <c r="U225" s="285">
        <v>0.63</v>
      </c>
      <c r="V225" s="285">
        <v>0.63</v>
      </c>
      <c r="W225" s="285">
        <v>0.63</v>
      </c>
      <c r="X225" s="285">
        <v>0.63</v>
      </c>
      <c r="Y225" s="285">
        <v>0.63</v>
      </c>
      <c r="Z225" s="285">
        <v>0.63</v>
      </c>
      <c r="AA225" s="285">
        <v>0.63</v>
      </c>
      <c r="AB225" s="285">
        <v>0.63</v>
      </c>
      <c r="AC225" s="285">
        <v>0.63</v>
      </c>
      <c r="AD225" s="285">
        <v>0.63</v>
      </c>
      <c r="AE225" s="285">
        <v>0.63</v>
      </c>
      <c r="AF225" s="285">
        <v>0.63</v>
      </c>
      <c r="AG225" s="285">
        <v>0.63</v>
      </c>
      <c r="AH225" s="285">
        <v>0.63</v>
      </c>
      <c r="AI225" s="285">
        <v>0.63</v>
      </c>
      <c r="AJ225" s="78">
        <v>0.63</v>
      </c>
      <c r="AK225" s="352"/>
    </row>
    <row r="226" spans="1:37" ht="13.5" customHeight="1" x14ac:dyDescent="0.45">
      <c r="A226" s="3"/>
      <c r="B226" s="215"/>
      <c r="C226" s="77" t="s">
        <v>756</v>
      </c>
      <c r="D226" s="285">
        <v>0.63</v>
      </c>
      <c r="E226" s="285">
        <v>0.63</v>
      </c>
      <c r="F226" s="285">
        <v>0.63</v>
      </c>
      <c r="G226" s="285">
        <v>0.63</v>
      </c>
      <c r="H226" s="285">
        <v>0.63</v>
      </c>
      <c r="I226" s="285">
        <v>0.63</v>
      </c>
      <c r="J226" s="285">
        <v>0.63</v>
      </c>
      <c r="K226" s="285">
        <v>0.63</v>
      </c>
      <c r="L226" s="285">
        <v>0.63</v>
      </c>
      <c r="M226" s="285">
        <v>0.63</v>
      </c>
      <c r="N226" s="285">
        <v>0.63</v>
      </c>
      <c r="O226" s="285">
        <v>0.63</v>
      </c>
      <c r="P226" s="285">
        <v>0.63</v>
      </c>
      <c r="Q226" s="285">
        <v>0.63</v>
      </c>
      <c r="R226" s="285">
        <v>0.63</v>
      </c>
      <c r="S226" s="285">
        <v>0.63</v>
      </c>
      <c r="T226" s="285">
        <v>0.63</v>
      </c>
      <c r="U226" s="285">
        <v>0.63</v>
      </c>
      <c r="V226" s="285">
        <v>0.63</v>
      </c>
      <c r="W226" s="285">
        <v>0.63</v>
      </c>
      <c r="X226" s="285">
        <v>0.63</v>
      </c>
      <c r="Y226" s="285">
        <v>0.63</v>
      </c>
      <c r="Z226" s="285">
        <v>0.63</v>
      </c>
      <c r="AA226" s="285">
        <v>0.63</v>
      </c>
      <c r="AB226" s="285">
        <v>0.63</v>
      </c>
      <c r="AC226" s="285">
        <v>0.63</v>
      </c>
      <c r="AD226" s="285">
        <v>0.63</v>
      </c>
      <c r="AE226" s="285">
        <v>0.63</v>
      </c>
      <c r="AF226" s="285">
        <v>0.63</v>
      </c>
      <c r="AG226" s="285">
        <v>0.63</v>
      </c>
      <c r="AH226" s="285">
        <v>0.63</v>
      </c>
      <c r="AI226" s="285">
        <v>0.63</v>
      </c>
      <c r="AJ226" s="78">
        <v>0.63</v>
      </c>
      <c r="AK226" s="352"/>
    </row>
    <row r="227" spans="1:37" ht="13.5" customHeight="1" x14ac:dyDescent="0.45">
      <c r="A227" s="3"/>
      <c r="B227" s="215"/>
      <c r="C227" s="79" t="s">
        <v>757</v>
      </c>
      <c r="D227" s="423"/>
      <c r="E227" s="423"/>
      <c r="F227" s="423"/>
      <c r="G227" s="423"/>
      <c r="H227" s="423"/>
      <c r="I227" s="423"/>
      <c r="J227" s="423"/>
      <c r="K227" s="423"/>
      <c r="L227" s="423"/>
      <c r="M227" s="423"/>
      <c r="N227" s="423"/>
      <c r="O227" s="423"/>
      <c r="P227" s="423"/>
      <c r="Q227" s="423"/>
      <c r="R227" s="423"/>
      <c r="S227" s="423"/>
      <c r="T227" s="423"/>
      <c r="U227" s="423"/>
      <c r="V227" s="423"/>
      <c r="W227" s="423"/>
      <c r="X227" s="423"/>
      <c r="Y227" s="423"/>
      <c r="Z227" s="423"/>
      <c r="AA227" s="423"/>
      <c r="AB227" s="423"/>
      <c r="AC227" s="423"/>
      <c r="AD227" s="423"/>
      <c r="AE227" s="423"/>
      <c r="AF227" s="423"/>
      <c r="AG227" s="423"/>
      <c r="AH227" s="423"/>
      <c r="AI227" s="423"/>
      <c r="AJ227" s="80"/>
      <c r="AK227" s="352"/>
    </row>
    <row r="228" spans="1:37" ht="13.5" customHeight="1" x14ac:dyDescent="0.45">
      <c r="A228" s="3"/>
      <c r="B228" s="215"/>
      <c r="C228" s="84" t="s">
        <v>750</v>
      </c>
      <c r="D228" s="423"/>
      <c r="E228" s="423"/>
      <c r="F228" s="423"/>
      <c r="G228" s="423"/>
      <c r="H228" s="423"/>
      <c r="I228" s="423"/>
      <c r="J228" s="423"/>
      <c r="K228" s="423"/>
      <c r="L228" s="423"/>
      <c r="M228" s="423"/>
      <c r="N228" s="423"/>
      <c r="O228" s="423"/>
      <c r="P228" s="423"/>
      <c r="Q228" s="423"/>
      <c r="R228" s="423"/>
      <c r="S228" s="423"/>
      <c r="T228" s="423"/>
      <c r="U228" s="423"/>
      <c r="V228" s="423"/>
      <c r="W228" s="423"/>
      <c r="X228" s="423"/>
      <c r="Y228" s="423"/>
      <c r="Z228" s="423"/>
      <c r="AA228" s="423"/>
      <c r="AB228" s="423"/>
      <c r="AC228" s="423"/>
      <c r="AD228" s="423"/>
      <c r="AE228" s="423"/>
      <c r="AF228" s="423"/>
      <c r="AG228" s="423"/>
      <c r="AH228" s="423"/>
      <c r="AI228" s="423"/>
      <c r="AJ228" s="80"/>
      <c r="AK228" s="352"/>
    </row>
    <row r="229" spans="1:37" ht="13.5" customHeight="1" x14ac:dyDescent="0.45">
      <c r="A229" s="3"/>
      <c r="B229" s="215"/>
      <c r="C229" s="77" t="s">
        <v>751</v>
      </c>
      <c r="D229" s="285">
        <v>0.63</v>
      </c>
      <c r="E229" s="285">
        <v>0.63</v>
      </c>
      <c r="F229" s="285">
        <v>0.63</v>
      </c>
      <c r="G229" s="285">
        <v>0.63</v>
      </c>
      <c r="H229" s="285">
        <v>0.63</v>
      </c>
      <c r="I229" s="285">
        <v>0.63</v>
      </c>
      <c r="J229" s="285">
        <v>0.63</v>
      </c>
      <c r="K229" s="285">
        <v>0.63</v>
      </c>
      <c r="L229" s="285">
        <v>0.63</v>
      </c>
      <c r="M229" s="285">
        <v>0.63</v>
      </c>
      <c r="N229" s="285">
        <v>0.63</v>
      </c>
      <c r="O229" s="285">
        <v>0.63</v>
      </c>
      <c r="P229" s="285">
        <v>0.63</v>
      </c>
      <c r="Q229" s="285">
        <v>0.63</v>
      </c>
      <c r="R229" s="285">
        <v>0.63</v>
      </c>
      <c r="S229" s="285">
        <v>0.63</v>
      </c>
      <c r="T229" s="285">
        <v>0.63</v>
      </c>
      <c r="U229" s="285">
        <v>0.63</v>
      </c>
      <c r="V229" s="285">
        <v>0.63</v>
      </c>
      <c r="W229" s="285">
        <v>0.63</v>
      </c>
      <c r="X229" s="285">
        <v>0.63</v>
      </c>
      <c r="Y229" s="285">
        <v>0.63</v>
      </c>
      <c r="Z229" s="285">
        <v>0.63</v>
      </c>
      <c r="AA229" s="285">
        <v>0.63</v>
      </c>
      <c r="AB229" s="285">
        <v>0.63</v>
      </c>
      <c r="AC229" s="285">
        <v>0.63</v>
      </c>
      <c r="AD229" s="285">
        <v>0.63</v>
      </c>
      <c r="AE229" s="285">
        <v>0.63</v>
      </c>
      <c r="AF229" s="285">
        <v>0.63</v>
      </c>
      <c r="AG229" s="285">
        <v>0.63</v>
      </c>
      <c r="AH229" s="285">
        <v>0.63</v>
      </c>
      <c r="AI229" s="285">
        <v>0.63</v>
      </c>
      <c r="AJ229" s="78">
        <v>0.63</v>
      </c>
      <c r="AK229" s="352"/>
    </row>
    <row r="230" spans="1:37" ht="13.5" customHeight="1" x14ac:dyDescent="0.45">
      <c r="A230" s="3"/>
      <c r="B230" s="215"/>
      <c r="C230" s="77" t="s">
        <v>752</v>
      </c>
      <c r="D230" s="285">
        <v>0.63</v>
      </c>
      <c r="E230" s="285">
        <v>0.63</v>
      </c>
      <c r="F230" s="285">
        <v>0.63</v>
      </c>
      <c r="G230" s="285">
        <v>0.63</v>
      </c>
      <c r="H230" s="285">
        <v>0.63</v>
      </c>
      <c r="I230" s="285">
        <v>0.63</v>
      </c>
      <c r="J230" s="285">
        <v>0.63</v>
      </c>
      <c r="K230" s="285">
        <v>0.63</v>
      </c>
      <c r="L230" s="285">
        <v>0.63</v>
      </c>
      <c r="M230" s="285">
        <v>0.63</v>
      </c>
      <c r="N230" s="285">
        <v>0.63</v>
      </c>
      <c r="O230" s="285">
        <v>0.63</v>
      </c>
      <c r="P230" s="285">
        <v>0.63</v>
      </c>
      <c r="Q230" s="285">
        <v>0.63</v>
      </c>
      <c r="R230" s="285">
        <v>0.63</v>
      </c>
      <c r="S230" s="285">
        <v>0.63</v>
      </c>
      <c r="T230" s="285">
        <v>0.63</v>
      </c>
      <c r="U230" s="285">
        <v>0.63</v>
      </c>
      <c r="V230" s="285">
        <v>0.63</v>
      </c>
      <c r="W230" s="285">
        <v>0.63</v>
      </c>
      <c r="X230" s="285">
        <v>0.63</v>
      </c>
      <c r="Y230" s="285">
        <v>0.63</v>
      </c>
      <c r="Z230" s="285">
        <v>0.63</v>
      </c>
      <c r="AA230" s="285">
        <v>0.63</v>
      </c>
      <c r="AB230" s="285">
        <v>0.63</v>
      </c>
      <c r="AC230" s="285">
        <v>0.63</v>
      </c>
      <c r="AD230" s="285">
        <v>0.63</v>
      </c>
      <c r="AE230" s="285">
        <v>0.63</v>
      </c>
      <c r="AF230" s="285">
        <v>0.63</v>
      </c>
      <c r="AG230" s="285">
        <v>0.63</v>
      </c>
      <c r="AH230" s="285">
        <v>0.63</v>
      </c>
      <c r="AI230" s="285">
        <v>0.63</v>
      </c>
      <c r="AJ230" s="78">
        <v>0.63</v>
      </c>
      <c r="AK230" s="352"/>
    </row>
    <row r="231" spans="1:37" ht="13.5" customHeight="1" x14ac:dyDescent="0.45">
      <c r="A231" s="3"/>
      <c r="B231" s="215"/>
      <c r="C231" s="77" t="s">
        <v>753</v>
      </c>
      <c r="D231" s="285">
        <v>0.63</v>
      </c>
      <c r="E231" s="285">
        <v>0.63</v>
      </c>
      <c r="F231" s="285">
        <v>0.63</v>
      </c>
      <c r="G231" s="285">
        <v>0.63</v>
      </c>
      <c r="H231" s="285">
        <v>0.63</v>
      </c>
      <c r="I231" s="285">
        <v>0.63</v>
      </c>
      <c r="J231" s="285">
        <v>0.63</v>
      </c>
      <c r="K231" s="285">
        <v>0.63</v>
      </c>
      <c r="L231" s="285">
        <v>0.63</v>
      </c>
      <c r="M231" s="285">
        <v>0.63</v>
      </c>
      <c r="N231" s="285">
        <v>0.63</v>
      </c>
      <c r="O231" s="285">
        <v>0.63</v>
      </c>
      <c r="P231" s="285">
        <v>0.63</v>
      </c>
      <c r="Q231" s="285">
        <v>0.63</v>
      </c>
      <c r="R231" s="285">
        <v>0.63</v>
      </c>
      <c r="S231" s="285">
        <v>0.63</v>
      </c>
      <c r="T231" s="285">
        <v>0.63</v>
      </c>
      <c r="U231" s="285">
        <v>0.63</v>
      </c>
      <c r="V231" s="285">
        <v>0.63</v>
      </c>
      <c r="W231" s="285">
        <v>0.63</v>
      </c>
      <c r="X231" s="285">
        <v>0.63</v>
      </c>
      <c r="Y231" s="285">
        <v>0.63</v>
      </c>
      <c r="Z231" s="285">
        <v>0.63</v>
      </c>
      <c r="AA231" s="285">
        <v>0.63</v>
      </c>
      <c r="AB231" s="285">
        <v>0.63</v>
      </c>
      <c r="AC231" s="285">
        <v>0.63</v>
      </c>
      <c r="AD231" s="285">
        <v>0.63</v>
      </c>
      <c r="AE231" s="285">
        <v>0.63</v>
      </c>
      <c r="AF231" s="285">
        <v>0.63</v>
      </c>
      <c r="AG231" s="285">
        <v>0.63</v>
      </c>
      <c r="AH231" s="285">
        <v>0.63</v>
      </c>
      <c r="AI231" s="285">
        <v>0.63</v>
      </c>
      <c r="AJ231" s="78">
        <v>0.63</v>
      </c>
      <c r="AK231" s="352"/>
    </row>
    <row r="232" spans="1:37" ht="13.5" customHeight="1" x14ac:dyDescent="0.45">
      <c r="A232" s="3"/>
      <c r="B232" s="215"/>
      <c r="C232" s="77" t="s">
        <v>754</v>
      </c>
      <c r="D232" s="285">
        <v>0.63</v>
      </c>
      <c r="E232" s="285">
        <v>0.63</v>
      </c>
      <c r="F232" s="285">
        <v>0.63</v>
      </c>
      <c r="G232" s="285">
        <v>0.63</v>
      </c>
      <c r="H232" s="285">
        <v>0.63</v>
      </c>
      <c r="I232" s="285">
        <v>0.63</v>
      </c>
      <c r="J232" s="285">
        <v>0.63</v>
      </c>
      <c r="K232" s="285">
        <v>0.63</v>
      </c>
      <c r="L232" s="285">
        <v>0.63</v>
      </c>
      <c r="M232" s="285">
        <v>0.63</v>
      </c>
      <c r="N232" s="285">
        <v>0.63</v>
      </c>
      <c r="O232" s="285">
        <v>0.63</v>
      </c>
      <c r="P232" s="285">
        <v>0.63</v>
      </c>
      <c r="Q232" s="285">
        <v>0.63</v>
      </c>
      <c r="R232" s="285">
        <v>0.63</v>
      </c>
      <c r="S232" s="285">
        <v>0.63</v>
      </c>
      <c r="T232" s="285">
        <v>0.63</v>
      </c>
      <c r="U232" s="285">
        <v>0.63</v>
      </c>
      <c r="V232" s="285">
        <v>0.63</v>
      </c>
      <c r="W232" s="285">
        <v>0.63</v>
      </c>
      <c r="X232" s="285">
        <v>0.63</v>
      </c>
      <c r="Y232" s="285">
        <v>0.63</v>
      </c>
      <c r="Z232" s="285">
        <v>0.63</v>
      </c>
      <c r="AA232" s="285">
        <v>0.63</v>
      </c>
      <c r="AB232" s="285">
        <v>0.63</v>
      </c>
      <c r="AC232" s="285">
        <v>0.63</v>
      </c>
      <c r="AD232" s="285">
        <v>0.63</v>
      </c>
      <c r="AE232" s="285">
        <v>0.63</v>
      </c>
      <c r="AF232" s="285">
        <v>0.63</v>
      </c>
      <c r="AG232" s="285">
        <v>0.63</v>
      </c>
      <c r="AH232" s="285">
        <v>0.63</v>
      </c>
      <c r="AI232" s="285">
        <v>0.63</v>
      </c>
      <c r="AJ232" s="78">
        <v>0.63</v>
      </c>
      <c r="AK232" s="352"/>
    </row>
    <row r="233" spans="1:37" ht="13.5" customHeight="1" x14ac:dyDescent="0.45">
      <c r="A233" s="3"/>
      <c r="B233" s="215"/>
      <c r="C233" s="77" t="s">
        <v>755</v>
      </c>
      <c r="D233" s="285">
        <v>0.63</v>
      </c>
      <c r="E233" s="285">
        <v>0.63</v>
      </c>
      <c r="F233" s="285">
        <v>0.63</v>
      </c>
      <c r="G233" s="285">
        <v>0.63</v>
      </c>
      <c r="H233" s="285">
        <v>0.63</v>
      </c>
      <c r="I233" s="285">
        <v>0.63</v>
      </c>
      <c r="J233" s="285">
        <v>0.63</v>
      </c>
      <c r="K233" s="285">
        <v>0.63</v>
      </c>
      <c r="L233" s="285">
        <v>0.63</v>
      </c>
      <c r="M233" s="285">
        <v>0.63</v>
      </c>
      <c r="N233" s="285">
        <v>0.63</v>
      </c>
      <c r="O233" s="285">
        <v>0.63</v>
      </c>
      <c r="P233" s="285">
        <v>0.63</v>
      </c>
      <c r="Q233" s="285">
        <v>0.63</v>
      </c>
      <c r="R233" s="285">
        <v>0.63</v>
      </c>
      <c r="S233" s="285">
        <v>0.63</v>
      </c>
      <c r="T233" s="285">
        <v>0.63</v>
      </c>
      <c r="U233" s="285">
        <v>0.63</v>
      </c>
      <c r="V233" s="285">
        <v>0.63</v>
      </c>
      <c r="W233" s="285">
        <v>0.63</v>
      </c>
      <c r="X233" s="285">
        <v>0.63</v>
      </c>
      <c r="Y233" s="285">
        <v>0.63</v>
      </c>
      <c r="Z233" s="285">
        <v>0.63</v>
      </c>
      <c r="AA233" s="285">
        <v>0.63</v>
      </c>
      <c r="AB233" s="285">
        <v>0.63</v>
      </c>
      <c r="AC233" s="285">
        <v>0.63</v>
      </c>
      <c r="AD233" s="285">
        <v>0.63</v>
      </c>
      <c r="AE233" s="285">
        <v>0.63</v>
      </c>
      <c r="AF233" s="285">
        <v>0.63</v>
      </c>
      <c r="AG233" s="285">
        <v>0.63</v>
      </c>
      <c r="AH233" s="285">
        <v>0.63</v>
      </c>
      <c r="AI233" s="285">
        <v>0.63</v>
      </c>
      <c r="AJ233" s="78">
        <v>0.63</v>
      </c>
      <c r="AK233" s="352"/>
    </row>
    <row r="234" spans="1:37" ht="13.5" customHeight="1" x14ac:dyDescent="0.45">
      <c r="A234" s="3"/>
      <c r="B234" s="215"/>
      <c r="C234" s="77" t="s">
        <v>756</v>
      </c>
      <c r="D234" s="285">
        <v>0.63</v>
      </c>
      <c r="E234" s="285">
        <v>0.63</v>
      </c>
      <c r="F234" s="285">
        <v>0.63</v>
      </c>
      <c r="G234" s="285">
        <v>0.63</v>
      </c>
      <c r="H234" s="285">
        <v>0.63</v>
      </c>
      <c r="I234" s="285">
        <v>0.63</v>
      </c>
      <c r="J234" s="285">
        <v>0.63</v>
      </c>
      <c r="K234" s="285">
        <v>0.63</v>
      </c>
      <c r="L234" s="285">
        <v>0.63</v>
      </c>
      <c r="M234" s="285">
        <v>0.63</v>
      </c>
      <c r="N234" s="285">
        <v>0.63</v>
      </c>
      <c r="O234" s="285">
        <v>0.63</v>
      </c>
      <c r="P234" s="285">
        <v>0.63</v>
      </c>
      <c r="Q234" s="285">
        <v>0.63</v>
      </c>
      <c r="R234" s="285">
        <v>0.63</v>
      </c>
      <c r="S234" s="285">
        <v>0.63</v>
      </c>
      <c r="T234" s="285">
        <v>0.63</v>
      </c>
      <c r="U234" s="285">
        <v>0.63</v>
      </c>
      <c r="V234" s="285">
        <v>0.63</v>
      </c>
      <c r="W234" s="285">
        <v>0.63</v>
      </c>
      <c r="X234" s="285">
        <v>0.63</v>
      </c>
      <c r="Y234" s="285">
        <v>0.63</v>
      </c>
      <c r="Z234" s="285">
        <v>0.63</v>
      </c>
      <c r="AA234" s="285">
        <v>0.63</v>
      </c>
      <c r="AB234" s="285">
        <v>0.63</v>
      </c>
      <c r="AC234" s="285">
        <v>0.63</v>
      </c>
      <c r="AD234" s="285">
        <v>0.63</v>
      </c>
      <c r="AE234" s="285">
        <v>0.63</v>
      </c>
      <c r="AF234" s="285">
        <v>0.63</v>
      </c>
      <c r="AG234" s="285">
        <v>0.63</v>
      </c>
      <c r="AH234" s="285">
        <v>0.63</v>
      </c>
      <c r="AI234" s="285">
        <v>0.63</v>
      </c>
      <c r="AJ234" s="78">
        <v>0.63</v>
      </c>
      <c r="AK234" s="352"/>
    </row>
    <row r="235" spans="1:37" ht="13.5" customHeight="1" x14ac:dyDescent="0.45">
      <c r="A235" s="3"/>
      <c r="B235" s="215"/>
      <c r="C235" s="81" t="s">
        <v>178</v>
      </c>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c r="AA235" s="314"/>
      <c r="AB235" s="314"/>
      <c r="AC235" s="314"/>
      <c r="AD235" s="314"/>
      <c r="AE235" s="314"/>
      <c r="AF235" s="314"/>
      <c r="AG235" s="314"/>
      <c r="AH235" s="314"/>
      <c r="AI235" s="314"/>
      <c r="AJ235" s="82"/>
      <c r="AK235" s="352"/>
    </row>
    <row r="236" spans="1:37" ht="13.5" customHeight="1" x14ac:dyDescent="0.45">
      <c r="A236" s="3"/>
      <c r="B236" s="215"/>
      <c r="C236" s="75" t="s">
        <v>758</v>
      </c>
      <c r="D236" s="422"/>
      <c r="E236" s="422"/>
      <c r="F236" s="422"/>
      <c r="G236" s="422"/>
      <c r="H236" s="422"/>
      <c r="I236" s="422"/>
      <c r="J236" s="422"/>
      <c r="K236" s="422"/>
      <c r="L236" s="422"/>
      <c r="M236" s="422"/>
      <c r="N236" s="422"/>
      <c r="O236" s="422"/>
      <c r="P236" s="422"/>
      <c r="Q236" s="422"/>
      <c r="R236" s="422"/>
      <c r="S236" s="422"/>
      <c r="T236" s="422"/>
      <c r="U236" s="422"/>
      <c r="V236" s="422"/>
      <c r="W236" s="422"/>
      <c r="X236" s="422"/>
      <c r="Y236" s="422"/>
      <c r="Z236" s="422"/>
      <c r="AA236" s="422"/>
      <c r="AB236" s="422"/>
      <c r="AC236" s="422"/>
      <c r="AD236" s="422"/>
      <c r="AE236" s="422"/>
      <c r="AF236" s="422"/>
      <c r="AG236" s="422"/>
      <c r="AH236" s="422"/>
      <c r="AI236" s="422"/>
      <c r="AJ236" s="76"/>
      <c r="AK236" s="352"/>
    </row>
    <row r="237" spans="1:37" ht="13.5" customHeight="1" x14ac:dyDescent="0.45">
      <c r="A237" s="3"/>
      <c r="B237" s="215"/>
      <c r="C237" s="77" t="s">
        <v>759</v>
      </c>
      <c r="D237" s="285" t="s">
        <v>221</v>
      </c>
      <c r="E237" s="285" t="s">
        <v>221</v>
      </c>
      <c r="F237" s="285" t="s">
        <v>221</v>
      </c>
      <c r="G237" s="285" t="s">
        <v>221</v>
      </c>
      <c r="H237" s="285" t="s">
        <v>221</v>
      </c>
      <c r="I237" s="285" t="s">
        <v>221</v>
      </c>
      <c r="J237" s="285" t="s">
        <v>221</v>
      </c>
      <c r="K237" s="285" t="s">
        <v>221</v>
      </c>
      <c r="L237" s="285" t="s">
        <v>221</v>
      </c>
      <c r="M237" s="285" t="s">
        <v>221</v>
      </c>
      <c r="N237" s="285" t="s">
        <v>221</v>
      </c>
      <c r="O237" s="285" t="s">
        <v>221</v>
      </c>
      <c r="P237" s="285" t="s">
        <v>221</v>
      </c>
      <c r="Q237" s="285" t="s">
        <v>221</v>
      </c>
      <c r="R237" s="285" t="s">
        <v>221</v>
      </c>
      <c r="S237" s="285" t="s">
        <v>221</v>
      </c>
      <c r="T237" s="285" t="s">
        <v>221</v>
      </c>
      <c r="U237" s="285" t="s">
        <v>221</v>
      </c>
      <c r="V237" s="285" t="s">
        <v>221</v>
      </c>
      <c r="W237" s="285" t="s">
        <v>221</v>
      </c>
      <c r="X237" s="285" t="s">
        <v>221</v>
      </c>
      <c r="Y237" s="285" t="s">
        <v>221</v>
      </c>
      <c r="Z237" s="285" t="s">
        <v>221</v>
      </c>
      <c r="AA237" s="285" t="s">
        <v>221</v>
      </c>
      <c r="AB237" s="285" t="s">
        <v>221</v>
      </c>
      <c r="AC237" s="285" t="s">
        <v>221</v>
      </c>
      <c r="AD237" s="285" t="s">
        <v>221</v>
      </c>
      <c r="AE237" s="285" t="s">
        <v>221</v>
      </c>
      <c r="AF237" s="285" t="s">
        <v>221</v>
      </c>
      <c r="AG237" s="285" t="s">
        <v>221</v>
      </c>
      <c r="AH237" s="285" t="s">
        <v>221</v>
      </c>
      <c r="AI237" s="285" t="s">
        <v>221</v>
      </c>
      <c r="AJ237" s="78" t="s">
        <v>221</v>
      </c>
      <c r="AK237" s="352"/>
    </row>
    <row r="238" spans="1:37" ht="13.5" customHeight="1" x14ac:dyDescent="0.45">
      <c r="A238" s="3"/>
      <c r="B238" s="215"/>
      <c r="C238" s="77" t="s">
        <v>760</v>
      </c>
      <c r="D238" s="285" t="s">
        <v>221</v>
      </c>
      <c r="E238" s="285" t="s">
        <v>221</v>
      </c>
      <c r="F238" s="285" t="s">
        <v>221</v>
      </c>
      <c r="G238" s="285" t="s">
        <v>221</v>
      </c>
      <c r="H238" s="285" t="s">
        <v>221</v>
      </c>
      <c r="I238" s="285" t="s">
        <v>221</v>
      </c>
      <c r="J238" s="285" t="s">
        <v>221</v>
      </c>
      <c r="K238" s="285" t="s">
        <v>221</v>
      </c>
      <c r="L238" s="285" t="s">
        <v>221</v>
      </c>
      <c r="M238" s="285" t="s">
        <v>221</v>
      </c>
      <c r="N238" s="285" t="s">
        <v>221</v>
      </c>
      <c r="O238" s="285" t="s">
        <v>221</v>
      </c>
      <c r="P238" s="285" t="s">
        <v>221</v>
      </c>
      <c r="Q238" s="285" t="s">
        <v>221</v>
      </c>
      <c r="R238" s="285" t="s">
        <v>221</v>
      </c>
      <c r="S238" s="285" t="s">
        <v>221</v>
      </c>
      <c r="T238" s="285" t="s">
        <v>221</v>
      </c>
      <c r="U238" s="285" t="s">
        <v>221</v>
      </c>
      <c r="V238" s="285" t="s">
        <v>221</v>
      </c>
      <c r="W238" s="285" t="s">
        <v>221</v>
      </c>
      <c r="X238" s="285" t="s">
        <v>221</v>
      </c>
      <c r="Y238" s="285" t="s">
        <v>221</v>
      </c>
      <c r="Z238" s="285" t="s">
        <v>221</v>
      </c>
      <c r="AA238" s="285" t="s">
        <v>221</v>
      </c>
      <c r="AB238" s="285" t="s">
        <v>221</v>
      </c>
      <c r="AC238" s="285" t="s">
        <v>221</v>
      </c>
      <c r="AD238" s="285" t="s">
        <v>221</v>
      </c>
      <c r="AE238" s="285" t="s">
        <v>221</v>
      </c>
      <c r="AF238" s="285" t="s">
        <v>221</v>
      </c>
      <c r="AG238" s="285" t="s">
        <v>221</v>
      </c>
      <c r="AH238" s="285" t="s">
        <v>221</v>
      </c>
      <c r="AI238" s="285" t="s">
        <v>221</v>
      </c>
      <c r="AJ238" s="78" t="s">
        <v>221</v>
      </c>
      <c r="AK238" s="352"/>
    </row>
    <row r="239" spans="1:37" ht="13.5" customHeight="1" x14ac:dyDescent="0.45">
      <c r="A239" s="3"/>
      <c r="B239" s="215"/>
      <c r="C239" s="75" t="s">
        <v>742</v>
      </c>
      <c r="D239" s="422"/>
      <c r="E239" s="422"/>
      <c r="F239" s="422"/>
      <c r="G239" s="422"/>
      <c r="H239" s="422"/>
      <c r="I239" s="422"/>
      <c r="J239" s="422"/>
      <c r="K239" s="422"/>
      <c r="L239" s="422"/>
      <c r="M239" s="422"/>
      <c r="N239" s="422"/>
      <c r="O239" s="422"/>
      <c r="P239" s="422"/>
      <c r="Q239" s="422"/>
      <c r="R239" s="422"/>
      <c r="S239" s="422"/>
      <c r="T239" s="422"/>
      <c r="U239" s="422"/>
      <c r="V239" s="422"/>
      <c r="W239" s="422"/>
      <c r="X239" s="422"/>
      <c r="Y239" s="422"/>
      <c r="Z239" s="422"/>
      <c r="AA239" s="422"/>
      <c r="AB239" s="422"/>
      <c r="AC239" s="422"/>
      <c r="AD239" s="422"/>
      <c r="AE239" s="422"/>
      <c r="AF239" s="422"/>
      <c r="AG239" s="422"/>
      <c r="AH239" s="422"/>
      <c r="AI239" s="422"/>
      <c r="AJ239" s="76"/>
      <c r="AK239" s="352"/>
    </row>
    <row r="240" spans="1:37" ht="13.5" customHeight="1" x14ac:dyDescent="0.45">
      <c r="A240" s="3"/>
      <c r="B240" s="215"/>
      <c r="C240" s="79" t="s">
        <v>761</v>
      </c>
      <c r="D240" s="423" t="s">
        <v>221</v>
      </c>
      <c r="E240" s="423" t="s">
        <v>221</v>
      </c>
      <c r="F240" s="423" t="s">
        <v>221</v>
      </c>
      <c r="G240" s="423" t="s">
        <v>221</v>
      </c>
      <c r="H240" s="423" t="s">
        <v>221</v>
      </c>
      <c r="I240" s="423" t="s">
        <v>221</v>
      </c>
      <c r="J240" s="423" t="s">
        <v>221</v>
      </c>
      <c r="K240" s="423" t="s">
        <v>221</v>
      </c>
      <c r="L240" s="423" t="s">
        <v>221</v>
      </c>
      <c r="M240" s="423" t="s">
        <v>221</v>
      </c>
      <c r="N240" s="423" t="s">
        <v>221</v>
      </c>
      <c r="O240" s="423" t="s">
        <v>221</v>
      </c>
      <c r="P240" s="423" t="s">
        <v>221</v>
      </c>
      <c r="Q240" s="423" t="s">
        <v>221</v>
      </c>
      <c r="R240" s="423" t="s">
        <v>221</v>
      </c>
      <c r="S240" s="423" t="s">
        <v>221</v>
      </c>
      <c r="T240" s="423" t="s">
        <v>221</v>
      </c>
      <c r="U240" s="423" t="s">
        <v>221</v>
      </c>
      <c r="V240" s="423" t="s">
        <v>221</v>
      </c>
      <c r="W240" s="423" t="s">
        <v>221</v>
      </c>
      <c r="X240" s="423" t="s">
        <v>221</v>
      </c>
      <c r="Y240" s="423" t="s">
        <v>221</v>
      </c>
      <c r="Z240" s="423" t="s">
        <v>221</v>
      </c>
      <c r="AA240" s="423" t="s">
        <v>221</v>
      </c>
      <c r="AB240" s="423" t="s">
        <v>221</v>
      </c>
      <c r="AC240" s="423" t="s">
        <v>221</v>
      </c>
      <c r="AD240" s="423" t="s">
        <v>221</v>
      </c>
      <c r="AE240" s="423" t="s">
        <v>221</v>
      </c>
      <c r="AF240" s="423" t="s">
        <v>221</v>
      </c>
      <c r="AG240" s="423" t="s">
        <v>221</v>
      </c>
      <c r="AH240" s="423" t="s">
        <v>221</v>
      </c>
      <c r="AI240" s="423" t="s">
        <v>221</v>
      </c>
      <c r="AJ240" s="80" t="s">
        <v>221</v>
      </c>
      <c r="AK240" s="352"/>
    </row>
    <row r="241" spans="1:37" ht="13.5" customHeight="1" x14ac:dyDescent="0.45">
      <c r="A241" s="3"/>
      <c r="B241" s="215"/>
      <c r="C241" s="79" t="s">
        <v>762</v>
      </c>
      <c r="D241" s="423" t="s">
        <v>221</v>
      </c>
      <c r="E241" s="423" t="s">
        <v>221</v>
      </c>
      <c r="F241" s="423" t="s">
        <v>221</v>
      </c>
      <c r="G241" s="423" t="s">
        <v>221</v>
      </c>
      <c r="H241" s="423" t="s">
        <v>221</v>
      </c>
      <c r="I241" s="423" t="s">
        <v>221</v>
      </c>
      <c r="J241" s="423" t="s">
        <v>221</v>
      </c>
      <c r="K241" s="423" t="s">
        <v>221</v>
      </c>
      <c r="L241" s="423" t="s">
        <v>221</v>
      </c>
      <c r="M241" s="423" t="s">
        <v>221</v>
      </c>
      <c r="N241" s="423" t="s">
        <v>221</v>
      </c>
      <c r="O241" s="423" t="s">
        <v>221</v>
      </c>
      <c r="P241" s="423" t="s">
        <v>221</v>
      </c>
      <c r="Q241" s="423" t="s">
        <v>221</v>
      </c>
      <c r="R241" s="423" t="s">
        <v>221</v>
      </c>
      <c r="S241" s="423" t="s">
        <v>221</v>
      </c>
      <c r="T241" s="423" t="s">
        <v>221</v>
      </c>
      <c r="U241" s="423" t="s">
        <v>221</v>
      </c>
      <c r="V241" s="423" t="s">
        <v>221</v>
      </c>
      <c r="W241" s="423" t="s">
        <v>221</v>
      </c>
      <c r="X241" s="423" t="s">
        <v>221</v>
      </c>
      <c r="Y241" s="423" t="s">
        <v>221</v>
      </c>
      <c r="Z241" s="423" t="s">
        <v>221</v>
      </c>
      <c r="AA241" s="423" t="s">
        <v>221</v>
      </c>
      <c r="AB241" s="423" t="s">
        <v>221</v>
      </c>
      <c r="AC241" s="423" t="s">
        <v>221</v>
      </c>
      <c r="AD241" s="423" t="s">
        <v>221</v>
      </c>
      <c r="AE241" s="423" t="s">
        <v>221</v>
      </c>
      <c r="AF241" s="423" t="s">
        <v>221</v>
      </c>
      <c r="AG241" s="423" t="s">
        <v>221</v>
      </c>
      <c r="AH241" s="423" t="s">
        <v>221</v>
      </c>
      <c r="AI241" s="423" t="s">
        <v>221</v>
      </c>
      <c r="AJ241" s="80" t="s">
        <v>221</v>
      </c>
      <c r="AK241" s="352"/>
    </row>
    <row r="242" spans="1:37" ht="13.5" customHeight="1" x14ac:dyDescent="0.45">
      <c r="A242" s="3"/>
      <c r="B242" s="215"/>
      <c r="C242" s="81" t="s">
        <v>179</v>
      </c>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c r="AA242" s="314"/>
      <c r="AB242" s="314"/>
      <c r="AC242" s="314"/>
      <c r="AD242" s="314"/>
      <c r="AE242" s="314"/>
      <c r="AF242" s="314"/>
      <c r="AG242" s="314"/>
      <c r="AH242" s="314"/>
      <c r="AI242" s="314"/>
      <c r="AJ242" s="82"/>
      <c r="AK242" s="352"/>
    </row>
    <row r="243" spans="1:37" ht="13.5" customHeight="1" x14ac:dyDescent="0.45">
      <c r="A243" s="3"/>
      <c r="B243" s="215"/>
      <c r="C243" s="75" t="s">
        <v>742</v>
      </c>
      <c r="D243" s="422"/>
      <c r="E243" s="422"/>
      <c r="F243" s="422"/>
      <c r="G243" s="422"/>
      <c r="H243" s="422"/>
      <c r="I243" s="422"/>
      <c r="J243" s="422"/>
      <c r="K243" s="422"/>
      <c r="L243" s="422"/>
      <c r="M243" s="422"/>
      <c r="N243" s="422"/>
      <c r="O243" s="422"/>
      <c r="P243" s="422"/>
      <c r="Q243" s="422"/>
      <c r="R243" s="422"/>
      <c r="S243" s="422"/>
      <c r="T243" s="422"/>
      <c r="U243" s="422"/>
      <c r="V243" s="422"/>
      <c r="W243" s="422"/>
      <c r="X243" s="422"/>
      <c r="Y243" s="422"/>
      <c r="Z243" s="422"/>
      <c r="AA243" s="422"/>
      <c r="AB243" s="422"/>
      <c r="AC243" s="422"/>
      <c r="AD243" s="422"/>
      <c r="AE243" s="422"/>
      <c r="AF243" s="422"/>
      <c r="AG243" s="422"/>
      <c r="AH243" s="422"/>
      <c r="AI243" s="422"/>
      <c r="AJ243" s="76"/>
      <c r="AK243" s="352"/>
    </row>
    <row r="244" spans="1:37" ht="13.5" customHeight="1" x14ac:dyDescent="0.45">
      <c r="A244" s="3"/>
      <c r="B244" s="215"/>
      <c r="C244" s="79" t="s">
        <v>763</v>
      </c>
      <c r="D244" s="423"/>
      <c r="E244" s="423"/>
      <c r="F244" s="423"/>
      <c r="G244" s="423"/>
      <c r="H244" s="423"/>
      <c r="I244" s="423"/>
      <c r="J244" s="423"/>
      <c r="K244" s="423"/>
      <c r="L244" s="423"/>
      <c r="M244" s="423"/>
      <c r="N244" s="423"/>
      <c r="O244" s="423"/>
      <c r="P244" s="423"/>
      <c r="Q244" s="423"/>
      <c r="R244" s="423"/>
      <c r="S244" s="423"/>
      <c r="T244" s="423"/>
      <c r="U244" s="423"/>
      <c r="V244" s="423"/>
      <c r="W244" s="423"/>
      <c r="X244" s="423"/>
      <c r="Y244" s="423"/>
      <c r="Z244" s="423"/>
      <c r="AA244" s="423"/>
      <c r="AB244" s="423"/>
      <c r="AC244" s="423"/>
      <c r="AD244" s="423"/>
      <c r="AE244" s="423"/>
      <c r="AF244" s="423"/>
      <c r="AG244" s="423"/>
      <c r="AH244" s="423"/>
      <c r="AI244" s="423"/>
      <c r="AJ244" s="80"/>
      <c r="AK244" s="352"/>
    </row>
    <row r="245" spans="1:37" ht="13.5" customHeight="1" x14ac:dyDescent="0.45">
      <c r="A245" s="3"/>
      <c r="B245" s="215"/>
      <c r="C245" s="84" t="s">
        <v>764</v>
      </c>
      <c r="D245" s="423"/>
      <c r="E245" s="423"/>
      <c r="F245" s="423"/>
      <c r="G245" s="423"/>
      <c r="H245" s="423"/>
      <c r="I245" s="423"/>
      <c r="J245" s="423"/>
      <c r="K245" s="423"/>
      <c r="L245" s="423"/>
      <c r="M245" s="423"/>
      <c r="N245" s="423"/>
      <c r="O245" s="423"/>
      <c r="P245" s="423"/>
      <c r="Q245" s="423"/>
      <c r="R245" s="423"/>
      <c r="S245" s="423"/>
      <c r="T245" s="423"/>
      <c r="U245" s="423"/>
      <c r="V245" s="423"/>
      <c r="W245" s="423"/>
      <c r="X245" s="423"/>
      <c r="Y245" s="423"/>
      <c r="Z245" s="423"/>
      <c r="AA245" s="423"/>
      <c r="AB245" s="423"/>
      <c r="AC245" s="423"/>
      <c r="AD245" s="423"/>
      <c r="AE245" s="423"/>
      <c r="AF245" s="423"/>
      <c r="AG245" s="423"/>
      <c r="AH245" s="423"/>
      <c r="AI245" s="423"/>
      <c r="AJ245" s="80"/>
      <c r="AK245" s="352"/>
    </row>
    <row r="246" spans="1:37" ht="13.5" customHeight="1" x14ac:dyDescent="0.45">
      <c r="A246" s="3"/>
      <c r="B246" s="215"/>
      <c r="C246" s="77" t="s">
        <v>765</v>
      </c>
      <c r="D246" s="285" t="s">
        <v>221</v>
      </c>
      <c r="E246" s="285" t="s">
        <v>221</v>
      </c>
      <c r="F246" s="285" t="s">
        <v>221</v>
      </c>
      <c r="G246" s="285" t="s">
        <v>221</v>
      </c>
      <c r="H246" s="285" t="s">
        <v>221</v>
      </c>
      <c r="I246" s="285" t="s">
        <v>221</v>
      </c>
      <c r="J246" s="285" t="s">
        <v>221</v>
      </c>
      <c r="K246" s="285" t="s">
        <v>221</v>
      </c>
      <c r="L246" s="285" t="s">
        <v>221</v>
      </c>
      <c r="M246" s="285" t="s">
        <v>221</v>
      </c>
      <c r="N246" s="285" t="s">
        <v>221</v>
      </c>
      <c r="O246" s="285" t="s">
        <v>221</v>
      </c>
      <c r="P246" s="285" t="s">
        <v>221</v>
      </c>
      <c r="Q246" s="285" t="s">
        <v>221</v>
      </c>
      <c r="R246" s="285" t="s">
        <v>221</v>
      </c>
      <c r="S246" s="285" t="s">
        <v>221</v>
      </c>
      <c r="T246" s="285" t="s">
        <v>221</v>
      </c>
      <c r="U246" s="285" t="s">
        <v>221</v>
      </c>
      <c r="V246" s="285" t="s">
        <v>221</v>
      </c>
      <c r="W246" s="285" t="s">
        <v>221</v>
      </c>
      <c r="X246" s="285" t="s">
        <v>221</v>
      </c>
      <c r="Y246" s="285" t="s">
        <v>221</v>
      </c>
      <c r="Z246" s="285" t="s">
        <v>221</v>
      </c>
      <c r="AA246" s="285" t="s">
        <v>221</v>
      </c>
      <c r="AB246" s="285" t="s">
        <v>221</v>
      </c>
      <c r="AC246" s="285" t="s">
        <v>221</v>
      </c>
      <c r="AD246" s="285" t="s">
        <v>221</v>
      </c>
      <c r="AE246" s="285" t="s">
        <v>221</v>
      </c>
      <c r="AF246" s="285" t="s">
        <v>221</v>
      </c>
      <c r="AG246" s="285" t="s">
        <v>221</v>
      </c>
      <c r="AH246" s="285" t="s">
        <v>221</v>
      </c>
      <c r="AI246" s="285" t="s">
        <v>221</v>
      </c>
      <c r="AJ246" s="78" t="s">
        <v>221</v>
      </c>
      <c r="AK246" s="352"/>
    </row>
    <row r="247" spans="1:37" ht="13.5" customHeight="1" x14ac:dyDescent="0.45">
      <c r="A247" s="3"/>
      <c r="B247" s="215"/>
      <c r="C247" s="77" t="s">
        <v>766</v>
      </c>
      <c r="D247" s="285">
        <v>9.15</v>
      </c>
      <c r="E247" s="285">
        <v>9.15</v>
      </c>
      <c r="F247" s="285">
        <v>9.15</v>
      </c>
      <c r="G247" s="285">
        <v>9.15</v>
      </c>
      <c r="H247" s="285">
        <v>9.15</v>
      </c>
      <c r="I247" s="285">
        <v>9.15</v>
      </c>
      <c r="J247" s="285">
        <v>9.15</v>
      </c>
      <c r="K247" s="285">
        <v>9.15</v>
      </c>
      <c r="L247" s="285">
        <v>9.15</v>
      </c>
      <c r="M247" s="285">
        <v>9.15</v>
      </c>
      <c r="N247" s="285">
        <v>9.15</v>
      </c>
      <c r="O247" s="285">
        <v>9.15</v>
      </c>
      <c r="P247" s="285">
        <v>9.15</v>
      </c>
      <c r="Q247" s="285">
        <v>9.15</v>
      </c>
      <c r="R247" s="285">
        <v>9.15</v>
      </c>
      <c r="S247" s="285">
        <v>9.15</v>
      </c>
      <c r="T247" s="285">
        <v>9.15</v>
      </c>
      <c r="U247" s="285">
        <v>9.15</v>
      </c>
      <c r="V247" s="285">
        <v>9.15</v>
      </c>
      <c r="W247" s="285">
        <v>9.15</v>
      </c>
      <c r="X247" s="285">
        <v>9.15</v>
      </c>
      <c r="Y247" s="285">
        <v>9.15</v>
      </c>
      <c r="Z247" s="285">
        <v>9.15</v>
      </c>
      <c r="AA247" s="285">
        <v>9.15</v>
      </c>
      <c r="AB247" s="285">
        <v>9.15</v>
      </c>
      <c r="AC247" s="285">
        <v>9.15</v>
      </c>
      <c r="AD247" s="285">
        <v>9.15</v>
      </c>
      <c r="AE247" s="285">
        <v>9.15</v>
      </c>
      <c r="AF247" s="285">
        <v>9.15</v>
      </c>
      <c r="AG247" s="285">
        <v>9.15</v>
      </c>
      <c r="AH247" s="285">
        <v>9.15</v>
      </c>
      <c r="AI247" s="285">
        <v>9.15</v>
      </c>
      <c r="AJ247" s="78">
        <v>9.15</v>
      </c>
      <c r="AK247" s="352"/>
    </row>
    <row r="248" spans="1:37" ht="13.5" customHeight="1" x14ac:dyDescent="0.45">
      <c r="A248" s="3"/>
      <c r="B248" s="215"/>
      <c r="C248" s="77" t="s">
        <v>767</v>
      </c>
      <c r="D248" s="285">
        <v>9.09</v>
      </c>
      <c r="E248" s="285">
        <v>9.09</v>
      </c>
      <c r="F248" s="285">
        <v>9.09</v>
      </c>
      <c r="G248" s="285">
        <v>9.09</v>
      </c>
      <c r="H248" s="285">
        <v>9.09</v>
      </c>
      <c r="I248" s="285">
        <v>9.09</v>
      </c>
      <c r="J248" s="285">
        <v>9.09</v>
      </c>
      <c r="K248" s="285">
        <v>9.09</v>
      </c>
      <c r="L248" s="285">
        <v>9.09</v>
      </c>
      <c r="M248" s="285">
        <v>9.09</v>
      </c>
      <c r="N248" s="285">
        <v>9.09</v>
      </c>
      <c r="O248" s="285">
        <v>9.09</v>
      </c>
      <c r="P248" s="285">
        <v>9.09</v>
      </c>
      <c r="Q248" s="285">
        <v>9.09</v>
      </c>
      <c r="R248" s="285">
        <v>9.09</v>
      </c>
      <c r="S248" s="285">
        <v>9.09</v>
      </c>
      <c r="T248" s="285">
        <v>9.09</v>
      </c>
      <c r="U248" s="285">
        <v>9.09</v>
      </c>
      <c r="V248" s="285">
        <v>9.09</v>
      </c>
      <c r="W248" s="285">
        <v>9.09</v>
      </c>
      <c r="X248" s="285">
        <v>9.09</v>
      </c>
      <c r="Y248" s="285">
        <v>9.09</v>
      </c>
      <c r="Z248" s="285">
        <v>9.09</v>
      </c>
      <c r="AA248" s="285">
        <v>9.09</v>
      </c>
      <c r="AB248" s="285">
        <v>9.09</v>
      </c>
      <c r="AC248" s="285">
        <v>9.09</v>
      </c>
      <c r="AD248" s="285">
        <v>9.09</v>
      </c>
      <c r="AE248" s="285">
        <v>9.09</v>
      </c>
      <c r="AF248" s="285">
        <v>9.09</v>
      </c>
      <c r="AG248" s="285">
        <v>9.09</v>
      </c>
      <c r="AH248" s="285">
        <v>9.09</v>
      </c>
      <c r="AI248" s="285">
        <v>9.09</v>
      </c>
      <c r="AJ248" s="78">
        <v>9.09</v>
      </c>
      <c r="AK248" s="352"/>
    </row>
    <row r="249" spans="1:37" ht="13.5" customHeight="1" x14ac:dyDescent="0.45">
      <c r="A249" s="3"/>
      <c r="B249" s="215"/>
      <c r="C249" s="77" t="s">
        <v>768</v>
      </c>
      <c r="D249" s="285" t="s">
        <v>221</v>
      </c>
      <c r="E249" s="285" t="s">
        <v>221</v>
      </c>
      <c r="F249" s="285" t="s">
        <v>221</v>
      </c>
      <c r="G249" s="285" t="s">
        <v>221</v>
      </c>
      <c r="H249" s="285" t="s">
        <v>221</v>
      </c>
      <c r="I249" s="285" t="s">
        <v>221</v>
      </c>
      <c r="J249" s="285" t="s">
        <v>221</v>
      </c>
      <c r="K249" s="285" t="s">
        <v>221</v>
      </c>
      <c r="L249" s="285" t="s">
        <v>221</v>
      </c>
      <c r="M249" s="285" t="s">
        <v>221</v>
      </c>
      <c r="N249" s="285" t="s">
        <v>221</v>
      </c>
      <c r="O249" s="285" t="s">
        <v>221</v>
      </c>
      <c r="P249" s="285" t="s">
        <v>221</v>
      </c>
      <c r="Q249" s="285" t="s">
        <v>221</v>
      </c>
      <c r="R249" s="285" t="s">
        <v>221</v>
      </c>
      <c r="S249" s="285" t="s">
        <v>221</v>
      </c>
      <c r="T249" s="285" t="s">
        <v>221</v>
      </c>
      <c r="U249" s="285" t="s">
        <v>221</v>
      </c>
      <c r="V249" s="285" t="s">
        <v>221</v>
      </c>
      <c r="W249" s="285" t="s">
        <v>221</v>
      </c>
      <c r="X249" s="285" t="s">
        <v>221</v>
      </c>
      <c r="Y249" s="285" t="s">
        <v>221</v>
      </c>
      <c r="Z249" s="285" t="s">
        <v>221</v>
      </c>
      <c r="AA249" s="285" t="s">
        <v>221</v>
      </c>
      <c r="AB249" s="285" t="s">
        <v>221</v>
      </c>
      <c r="AC249" s="285" t="s">
        <v>221</v>
      </c>
      <c r="AD249" s="285" t="s">
        <v>221</v>
      </c>
      <c r="AE249" s="285" t="s">
        <v>221</v>
      </c>
      <c r="AF249" s="285" t="s">
        <v>221</v>
      </c>
      <c r="AG249" s="285" t="s">
        <v>221</v>
      </c>
      <c r="AH249" s="285" t="s">
        <v>221</v>
      </c>
      <c r="AI249" s="285" t="s">
        <v>221</v>
      </c>
      <c r="AJ249" s="78" t="s">
        <v>221</v>
      </c>
      <c r="AK249" s="352"/>
    </row>
    <row r="250" spans="1:37" ht="13.5" customHeight="1" x14ac:dyDescent="0.45">
      <c r="A250" s="3"/>
      <c r="B250" s="215"/>
      <c r="C250" s="79" t="s">
        <v>769</v>
      </c>
      <c r="D250" s="423"/>
      <c r="E250" s="423"/>
      <c r="F250" s="423"/>
      <c r="G250" s="423"/>
      <c r="H250" s="423"/>
      <c r="I250" s="423"/>
      <c r="J250" s="423"/>
      <c r="K250" s="423"/>
      <c r="L250" s="423"/>
      <c r="M250" s="423"/>
      <c r="N250" s="423"/>
      <c r="O250" s="423"/>
      <c r="P250" s="423"/>
      <c r="Q250" s="423"/>
      <c r="R250" s="423"/>
      <c r="S250" s="423"/>
      <c r="T250" s="423"/>
      <c r="U250" s="423"/>
      <c r="V250" s="423"/>
      <c r="W250" s="423"/>
      <c r="X250" s="423"/>
      <c r="Y250" s="423"/>
      <c r="Z250" s="423"/>
      <c r="AA250" s="423"/>
      <c r="AB250" s="423"/>
      <c r="AC250" s="423"/>
      <c r="AD250" s="423"/>
      <c r="AE250" s="423"/>
      <c r="AF250" s="423"/>
      <c r="AG250" s="423"/>
      <c r="AH250" s="423"/>
      <c r="AI250" s="423"/>
      <c r="AJ250" s="80"/>
      <c r="AK250" s="352"/>
    </row>
    <row r="251" spans="1:37" ht="13.5" customHeight="1" x14ac:dyDescent="0.45">
      <c r="A251" s="3"/>
      <c r="B251" s="215"/>
      <c r="C251" s="84" t="s">
        <v>770</v>
      </c>
      <c r="D251" s="423"/>
      <c r="E251" s="423"/>
      <c r="F251" s="423"/>
      <c r="G251" s="423"/>
      <c r="H251" s="423"/>
      <c r="I251" s="423"/>
      <c r="J251" s="423"/>
      <c r="K251" s="423"/>
      <c r="L251" s="423"/>
      <c r="M251" s="423"/>
      <c r="N251" s="423"/>
      <c r="O251" s="423"/>
      <c r="P251" s="423"/>
      <c r="Q251" s="423"/>
      <c r="R251" s="423"/>
      <c r="S251" s="423"/>
      <c r="T251" s="423"/>
      <c r="U251" s="423"/>
      <c r="V251" s="423"/>
      <c r="W251" s="423"/>
      <c r="X251" s="423"/>
      <c r="Y251" s="423"/>
      <c r="Z251" s="423"/>
      <c r="AA251" s="423"/>
      <c r="AB251" s="423"/>
      <c r="AC251" s="423"/>
      <c r="AD251" s="423"/>
      <c r="AE251" s="423"/>
      <c r="AF251" s="423"/>
      <c r="AG251" s="423"/>
      <c r="AH251" s="423"/>
      <c r="AI251" s="423"/>
      <c r="AJ251" s="80"/>
      <c r="AK251" s="352"/>
    </row>
    <row r="252" spans="1:37" ht="13.5" customHeight="1" x14ac:dyDescent="0.45">
      <c r="A252" s="3"/>
      <c r="B252" s="215"/>
      <c r="C252" s="77" t="s">
        <v>783</v>
      </c>
      <c r="D252" s="285">
        <v>12.61</v>
      </c>
      <c r="E252" s="285">
        <v>12.61</v>
      </c>
      <c r="F252" s="285">
        <v>12.61</v>
      </c>
      <c r="G252" s="285">
        <v>12.61</v>
      </c>
      <c r="H252" s="285">
        <v>12.61</v>
      </c>
      <c r="I252" s="285">
        <v>12.61</v>
      </c>
      <c r="J252" s="285">
        <v>12.61</v>
      </c>
      <c r="K252" s="285">
        <v>12.61</v>
      </c>
      <c r="L252" s="285">
        <v>12.61</v>
      </c>
      <c r="M252" s="285">
        <v>12.61</v>
      </c>
      <c r="N252" s="285">
        <v>12.61</v>
      </c>
      <c r="O252" s="285">
        <v>12.61</v>
      </c>
      <c r="P252" s="285">
        <v>12.61</v>
      </c>
      <c r="Q252" s="285">
        <v>12.61</v>
      </c>
      <c r="R252" s="285">
        <v>12.61</v>
      </c>
      <c r="S252" s="285">
        <v>12.61</v>
      </c>
      <c r="T252" s="285">
        <v>12.61</v>
      </c>
      <c r="U252" s="285">
        <v>12.61</v>
      </c>
      <c r="V252" s="285">
        <v>12.61</v>
      </c>
      <c r="W252" s="285">
        <v>12.61</v>
      </c>
      <c r="X252" s="285">
        <v>12.61</v>
      </c>
      <c r="Y252" s="285">
        <v>12.61</v>
      </c>
      <c r="Z252" s="285">
        <v>12.61</v>
      </c>
      <c r="AA252" s="285">
        <v>12.61</v>
      </c>
      <c r="AB252" s="285">
        <v>12.61</v>
      </c>
      <c r="AC252" s="285">
        <v>12.61</v>
      </c>
      <c r="AD252" s="285">
        <v>12.61</v>
      </c>
      <c r="AE252" s="285">
        <v>12.61</v>
      </c>
      <c r="AF252" s="285">
        <v>12.61</v>
      </c>
      <c r="AG252" s="285">
        <v>12.61</v>
      </c>
      <c r="AH252" s="285">
        <v>12.61</v>
      </c>
      <c r="AI252" s="285">
        <v>12.61</v>
      </c>
      <c r="AJ252" s="78">
        <v>12.61</v>
      </c>
      <c r="AK252" s="352"/>
    </row>
    <row r="253" spans="1:37" ht="13.5" customHeight="1" x14ac:dyDescent="0.45">
      <c r="A253" s="3"/>
      <c r="B253" s="215"/>
      <c r="C253" s="77" t="s">
        <v>772</v>
      </c>
      <c r="D253" s="285">
        <v>18.899999999999999</v>
      </c>
      <c r="E253" s="285">
        <v>18.899999999999999</v>
      </c>
      <c r="F253" s="285">
        <v>18.899999999999999</v>
      </c>
      <c r="G253" s="285">
        <v>18.899999999999999</v>
      </c>
      <c r="H253" s="285">
        <v>18.899999999999999</v>
      </c>
      <c r="I253" s="285">
        <v>18.899999999999999</v>
      </c>
      <c r="J253" s="285">
        <v>18.899999999999999</v>
      </c>
      <c r="K253" s="285">
        <v>18.899999999999999</v>
      </c>
      <c r="L253" s="285">
        <v>18.899999999999999</v>
      </c>
      <c r="M253" s="285">
        <v>18.899999999999999</v>
      </c>
      <c r="N253" s="285">
        <v>18.899999999999999</v>
      </c>
      <c r="O253" s="285">
        <v>18.899999999999999</v>
      </c>
      <c r="P253" s="285">
        <v>18.899999999999999</v>
      </c>
      <c r="Q253" s="285">
        <v>18.899999999999999</v>
      </c>
      <c r="R253" s="285">
        <v>18.899999999999999</v>
      </c>
      <c r="S253" s="285">
        <v>18.899999999999999</v>
      </c>
      <c r="T253" s="285">
        <v>18.899999999999999</v>
      </c>
      <c r="U253" s="285">
        <v>18.899999999999999</v>
      </c>
      <c r="V253" s="285">
        <v>18.899999999999999</v>
      </c>
      <c r="W253" s="285">
        <v>18.899999999999999</v>
      </c>
      <c r="X253" s="285">
        <v>18.899999999999999</v>
      </c>
      <c r="Y253" s="285">
        <v>18.899999999999999</v>
      </c>
      <c r="Z253" s="285">
        <v>18.899999999999999</v>
      </c>
      <c r="AA253" s="285">
        <v>18.899999999999999</v>
      </c>
      <c r="AB253" s="285">
        <v>18.899999999999999</v>
      </c>
      <c r="AC253" s="285">
        <v>18.899999999999999</v>
      </c>
      <c r="AD253" s="285">
        <v>18.899999999999999</v>
      </c>
      <c r="AE253" s="285">
        <v>18.899999999999999</v>
      </c>
      <c r="AF253" s="285">
        <v>18.899999999999999</v>
      </c>
      <c r="AG253" s="285">
        <v>18.899999999999999</v>
      </c>
      <c r="AH253" s="285">
        <v>18.899999999999999</v>
      </c>
      <c r="AI253" s="285">
        <v>18.899999999999999</v>
      </c>
      <c r="AJ253" s="78">
        <v>18.899999999999999</v>
      </c>
      <c r="AK253" s="352"/>
    </row>
    <row r="254" spans="1:37" ht="13.5" customHeight="1" x14ac:dyDescent="0.45">
      <c r="A254" s="3"/>
      <c r="B254" s="215"/>
      <c r="C254" s="77" t="s">
        <v>773</v>
      </c>
      <c r="D254" s="285">
        <v>18.920000000000002</v>
      </c>
      <c r="E254" s="285">
        <v>18.920000000000002</v>
      </c>
      <c r="F254" s="285">
        <v>18.920000000000002</v>
      </c>
      <c r="G254" s="285">
        <v>18.920000000000002</v>
      </c>
      <c r="H254" s="285">
        <v>18.920000000000002</v>
      </c>
      <c r="I254" s="285">
        <v>18.920000000000002</v>
      </c>
      <c r="J254" s="285">
        <v>18.920000000000002</v>
      </c>
      <c r="K254" s="285">
        <v>18.920000000000002</v>
      </c>
      <c r="L254" s="285">
        <v>18.920000000000002</v>
      </c>
      <c r="M254" s="285">
        <v>18.920000000000002</v>
      </c>
      <c r="N254" s="285">
        <v>18.920000000000002</v>
      </c>
      <c r="O254" s="285">
        <v>18.920000000000002</v>
      </c>
      <c r="P254" s="285">
        <v>18.920000000000002</v>
      </c>
      <c r="Q254" s="285">
        <v>18.920000000000002</v>
      </c>
      <c r="R254" s="285">
        <v>18.920000000000002</v>
      </c>
      <c r="S254" s="285">
        <v>18.920000000000002</v>
      </c>
      <c r="T254" s="285">
        <v>18.920000000000002</v>
      </c>
      <c r="U254" s="285">
        <v>18.920000000000002</v>
      </c>
      <c r="V254" s="285">
        <v>18.920000000000002</v>
      </c>
      <c r="W254" s="285">
        <v>18.920000000000002</v>
      </c>
      <c r="X254" s="285">
        <v>18.920000000000002</v>
      </c>
      <c r="Y254" s="285">
        <v>18.920000000000002</v>
      </c>
      <c r="Z254" s="285">
        <v>18.920000000000002</v>
      </c>
      <c r="AA254" s="285">
        <v>18.920000000000002</v>
      </c>
      <c r="AB254" s="285">
        <v>18.920000000000002</v>
      </c>
      <c r="AC254" s="285">
        <v>18.920000000000002</v>
      </c>
      <c r="AD254" s="285">
        <v>18.920000000000002</v>
      </c>
      <c r="AE254" s="285">
        <v>18.920000000000002</v>
      </c>
      <c r="AF254" s="285">
        <v>18.920000000000002</v>
      </c>
      <c r="AG254" s="285">
        <v>18.920000000000002</v>
      </c>
      <c r="AH254" s="285">
        <v>18.920000000000002</v>
      </c>
      <c r="AI254" s="285">
        <v>18.920000000000002</v>
      </c>
      <c r="AJ254" s="78">
        <v>18.920000000000002</v>
      </c>
      <c r="AK254" s="352"/>
    </row>
    <row r="255" spans="1:37" ht="13.5" customHeight="1" x14ac:dyDescent="0.45">
      <c r="A255" s="3"/>
      <c r="B255" s="215"/>
      <c r="C255" s="77" t="s">
        <v>774</v>
      </c>
      <c r="D255" s="285">
        <v>25.23</v>
      </c>
      <c r="E255" s="285">
        <v>25.23</v>
      </c>
      <c r="F255" s="285">
        <v>25.23</v>
      </c>
      <c r="G255" s="285">
        <v>25.23</v>
      </c>
      <c r="H255" s="285">
        <v>25.23</v>
      </c>
      <c r="I255" s="285">
        <v>25.23</v>
      </c>
      <c r="J255" s="285">
        <v>25.23</v>
      </c>
      <c r="K255" s="285">
        <v>25.23</v>
      </c>
      <c r="L255" s="285">
        <v>25.23</v>
      </c>
      <c r="M255" s="285">
        <v>25.23</v>
      </c>
      <c r="N255" s="285">
        <v>25.23</v>
      </c>
      <c r="O255" s="285">
        <v>25.23</v>
      </c>
      <c r="P255" s="285">
        <v>25.23</v>
      </c>
      <c r="Q255" s="285">
        <v>25.23</v>
      </c>
      <c r="R255" s="285">
        <v>25.23</v>
      </c>
      <c r="S255" s="285">
        <v>25.23</v>
      </c>
      <c r="T255" s="285">
        <v>25.23</v>
      </c>
      <c r="U255" s="285">
        <v>25.23</v>
      </c>
      <c r="V255" s="285">
        <v>25.23</v>
      </c>
      <c r="W255" s="285">
        <v>25.23</v>
      </c>
      <c r="X255" s="285">
        <v>25.23</v>
      </c>
      <c r="Y255" s="285">
        <v>25.23</v>
      </c>
      <c r="Z255" s="285">
        <v>25.23</v>
      </c>
      <c r="AA255" s="285">
        <v>25.23</v>
      </c>
      <c r="AB255" s="285">
        <v>25.23</v>
      </c>
      <c r="AC255" s="285">
        <v>25.23</v>
      </c>
      <c r="AD255" s="285">
        <v>25.23</v>
      </c>
      <c r="AE255" s="285">
        <v>25.23</v>
      </c>
      <c r="AF255" s="285">
        <v>25.23</v>
      </c>
      <c r="AG255" s="285">
        <v>25.23</v>
      </c>
      <c r="AH255" s="285">
        <v>25.23</v>
      </c>
      <c r="AI255" s="285">
        <v>25.23</v>
      </c>
      <c r="AJ255" s="78">
        <v>25.23</v>
      </c>
      <c r="AK255" s="352"/>
    </row>
    <row r="256" spans="1:37" ht="13.5" customHeight="1" x14ac:dyDescent="0.45">
      <c r="A256" s="3"/>
      <c r="B256" s="215"/>
      <c r="C256" s="77" t="s">
        <v>766</v>
      </c>
      <c r="D256" s="285" t="s">
        <v>221</v>
      </c>
      <c r="E256" s="285" t="s">
        <v>221</v>
      </c>
      <c r="F256" s="285" t="s">
        <v>221</v>
      </c>
      <c r="G256" s="285" t="s">
        <v>221</v>
      </c>
      <c r="H256" s="285" t="s">
        <v>221</v>
      </c>
      <c r="I256" s="285" t="s">
        <v>221</v>
      </c>
      <c r="J256" s="285" t="s">
        <v>221</v>
      </c>
      <c r="K256" s="285" t="s">
        <v>221</v>
      </c>
      <c r="L256" s="285" t="s">
        <v>221</v>
      </c>
      <c r="M256" s="285" t="s">
        <v>221</v>
      </c>
      <c r="N256" s="285" t="s">
        <v>221</v>
      </c>
      <c r="O256" s="285" t="s">
        <v>221</v>
      </c>
      <c r="P256" s="285" t="s">
        <v>221</v>
      </c>
      <c r="Q256" s="285" t="s">
        <v>221</v>
      </c>
      <c r="R256" s="285" t="s">
        <v>221</v>
      </c>
      <c r="S256" s="285" t="s">
        <v>221</v>
      </c>
      <c r="T256" s="285" t="s">
        <v>221</v>
      </c>
      <c r="U256" s="285" t="s">
        <v>221</v>
      </c>
      <c r="V256" s="285" t="s">
        <v>221</v>
      </c>
      <c r="W256" s="285" t="s">
        <v>221</v>
      </c>
      <c r="X256" s="285" t="s">
        <v>221</v>
      </c>
      <c r="Y256" s="285" t="s">
        <v>221</v>
      </c>
      <c r="Z256" s="285" t="s">
        <v>221</v>
      </c>
      <c r="AA256" s="285" t="s">
        <v>221</v>
      </c>
      <c r="AB256" s="285" t="s">
        <v>221</v>
      </c>
      <c r="AC256" s="285" t="s">
        <v>221</v>
      </c>
      <c r="AD256" s="285" t="s">
        <v>221</v>
      </c>
      <c r="AE256" s="285" t="s">
        <v>221</v>
      </c>
      <c r="AF256" s="285" t="s">
        <v>221</v>
      </c>
      <c r="AG256" s="285" t="s">
        <v>221</v>
      </c>
      <c r="AH256" s="285" t="s">
        <v>221</v>
      </c>
      <c r="AI256" s="285" t="s">
        <v>221</v>
      </c>
      <c r="AJ256" s="78" t="s">
        <v>221</v>
      </c>
      <c r="AK256" s="352"/>
    </row>
    <row r="257" spans="1:37" ht="13.5" customHeight="1" x14ac:dyDescent="0.45">
      <c r="A257" s="3"/>
      <c r="B257" s="215"/>
      <c r="C257" s="79" t="s">
        <v>775</v>
      </c>
      <c r="D257" s="423"/>
      <c r="E257" s="423"/>
      <c r="F257" s="423"/>
      <c r="G257" s="423"/>
      <c r="H257" s="423"/>
      <c r="I257" s="423"/>
      <c r="J257" s="423"/>
      <c r="K257" s="423"/>
      <c r="L257" s="423"/>
      <c r="M257" s="423"/>
      <c r="N257" s="423"/>
      <c r="O257" s="423"/>
      <c r="P257" s="423"/>
      <c r="Q257" s="423"/>
      <c r="R257" s="423"/>
      <c r="S257" s="423"/>
      <c r="T257" s="423"/>
      <c r="U257" s="423"/>
      <c r="V257" s="423"/>
      <c r="W257" s="423"/>
      <c r="X257" s="423"/>
      <c r="Y257" s="423"/>
      <c r="Z257" s="423"/>
      <c r="AA257" s="423"/>
      <c r="AB257" s="423"/>
      <c r="AC257" s="423"/>
      <c r="AD257" s="423"/>
      <c r="AE257" s="423"/>
      <c r="AF257" s="423"/>
      <c r="AG257" s="423"/>
      <c r="AH257" s="423"/>
      <c r="AI257" s="423"/>
      <c r="AJ257" s="80"/>
      <c r="AK257" s="352"/>
    </row>
    <row r="258" spans="1:37" ht="13.5" customHeight="1" x14ac:dyDescent="0.45">
      <c r="A258" s="3"/>
      <c r="B258" s="215"/>
      <c r="C258" s="84" t="s">
        <v>770</v>
      </c>
      <c r="D258" s="423"/>
      <c r="E258" s="423"/>
      <c r="F258" s="423"/>
      <c r="G258" s="423"/>
      <c r="H258" s="423"/>
      <c r="I258" s="423"/>
      <c r="J258" s="423"/>
      <c r="K258" s="423"/>
      <c r="L258" s="423"/>
      <c r="M258" s="423"/>
      <c r="N258" s="423"/>
      <c r="O258" s="423"/>
      <c r="P258" s="423"/>
      <c r="Q258" s="423"/>
      <c r="R258" s="423"/>
      <c r="S258" s="423"/>
      <c r="T258" s="423"/>
      <c r="U258" s="423"/>
      <c r="V258" s="423"/>
      <c r="W258" s="423"/>
      <c r="X258" s="423"/>
      <c r="Y258" s="423"/>
      <c r="Z258" s="423"/>
      <c r="AA258" s="423"/>
      <c r="AB258" s="423"/>
      <c r="AC258" s="423"/>
      <c r="AD258" s="423"/>
      <c r="AE258" s="423"/>
      <c r="AF258" s="423"/>
      <c r="AG258" s="423"/>
      <c r="AH258" s="423"/>
      <c r="AI258" s="423"/>
      <c r="AJ258" s="80"/>
      <c r="AK258" s="352"/>
    </row>
    <row r="259" spans="1:37" ht="13.5" customHeight="1" x14ac:dyDescent="0.45">
      <c r="A259" s="3"/>
      <c r="B259" s="215"/>
      <c r="C259" s="77" t="s">
        <v>776</v>
      </c>
      <c r="D259" s="285" t="s">
        <v>221</v>
      </c>
      <c r="E259" s="285" t="s">
        <v>221</v>
      </c>
      <c r="F259" s="285" t="s">
        <v>221</v>
      </c>
      <c r="G259" s="285" t="s">
        <v>221</v>
      </c>
      <c r="H259" s="285" t="s">
        <v>221</v>
      </c>
      <c r="I259" s="285" t="s">
        <v>221</v>
      </c>
      <c r="J259" s="285" t="s">
        <v>221</v>
      </c>
      <c r="K259" s="285" t="s">
        <v>221</v>
      </c>
      <c r="L259" s="285" t="s">
        <v>221</v>
      </c>
      <c r="M259" s="285" t="s">
        <v>221</v>
      </c>
      <c r="N259" s="285" t="s">
        <v>221</v>
      </c>
      <c r="O259" s="285" t="s">
        <v>221</v>
      </c>
      <c r="P259" s="285" t="s">
        <v>221</v>
      </c>
      <c r="Q259" s="285" t="s">
        <v>221</v>
      </c>
      <c r="R259" s="285" t="s">
        <v>221</v>
      </c>
      <c r="S259" s="285" t="s">
        <v>221</v>
      </c>
      <c r="T259" s="285" t="s">
        <v>221</v>
      </c>
      <c r="U259" s="285" t="s">
        <v>221</v>
      </c>
      <c r="V259" s="285" t="s">
        <v>221</v>
      </c>
      <c r="W259" s="285" t="s">
        <v>221</v>
      </c>
      <c r="X259" s="285" t="s">
        <v>221</v>
      </c>
      <c r="Y259" s="285" t="s">
        <v>221</v>
      </c>
      <c r="Z259" s="285" t="s">
        <v>221</v>
      </c>
      <c r="AA259" s="285" t="s">
        <v>221</v>
      </c>
      <c r="AB259" s="285" t="s">
        <v>221</v>
      </c>
      <c r="AC259" s="285" t="s">
        <v>221</v>
      </c>
      <c r="AD259" s="285" t="s">
        <v>221</v>
      </c>
      <c r="AE259" s="285" t="s">
        <v>221</v>
      </c>
      <c r="AF259" s="285" t="s">
        <v>221</v>
      </c>
      <c r="AG259" s="285" t="s">
        <v>221</v>
      </c>
      <c r="AH259" s="285" t="s">
        <v>221</v>
      </c>
      <c r="AI259" s="285" t="s">
        <v>221</v>
      </c>
      <c r="AJ259" s="78" t="s">
        <v>221</v>
      </c>
      <c r="AK259" s="352"/>
    </row>
    <row r="260" spans="1:37" ht="13.5" customHeight="1" x14ac:dyDescent="0.45">
      <c r="A260" s="3"/>
      <c r="B260" s="215"/>
      <c r="C260" s="77" t="s">
        <v>777</v>
      </c>
      <c r="D260" s="285">
        <v>12.61</v>
      </c>
      <c r="E260" s="285">
        <v>12.61</v>
      </c>
      <c r="F260" s="285">
        <v>12.61</v>
      </c>
      <c r="G260" s="285">
        <v>12.61</v>
      </c>
      <c r="H260" s="285">
        <v>12.61</v>
      </c>
      <c r="I260" s="285">
        <v>12.61</v>
      </c>
      <c r="J260" s="285">
        <v>12.61</v>
      </c>
      <c r="K260" s="285">
        <v>12.61</v>
      </c>
      <c r="L260" s="285">
        <v>12.61</v>
      </c>
      <c r="M260" s="285">
        <v>12.61</v>
      </c>
      <c r="N260" s="285">
        <v>12.61</v>
      </c>
      <c r="O260" s="285">
        <v>12.61</v>
      </c>
      <c r="P260" s="285">
        <v>12.61</v>
      </c>
      <c r="Q260" s="285">
        <v>12.61</v>
      </c>
      <c r="R260" s="285">
        <v>12.61</v>
      </c>
      <c r="S260" s="285">
        <v>12.61</v>
      </c>
      <c r="T260" s="285">
        <v>12.61</v>
      </c>
      <c r="U260" s="285">
        <v>12.61</v>
      </c>
      <c r="V260" s="285">
        <v>12.61</v>
      </c>
      <c r="W260" s="285">
        <v>12.61</v>
      </c>
      <c r="X260" s="285">
        <v>12.61</v>
      </c>
      <c r="Y260" s="285">
        <v>12.61</v>
      </c>
      <c r="Z260" s="285">
        <v>12.61</v>
      </c>
      <c r="AA260" s="285">
        <v>12.61</v>
      </c>
      <c r="AB260" s="285">
        <v>12.61</v>
      </c>
      <c r="AC260" s="285">
        <v>12.61</v>
      </c>
      <c r="AD260" s="285">
        <v>12.61</v>
      </c>
      <c r="AE260" s="285">
        <v>12.61</v>
      </c>
      <c r="AF260" s="285">
        <v>12.61</v>
      </c>
      <c r="AG260" s="285">
        <v>12.61</v>
      </c>
      <c r="AH260" s="285">
        <v>12.61</v>
      </c>
      <c r="AI260" s="285">
        <v>12.61</v>
      </c>
      <c r="AJ260" s="78">
        <v>12.61</v>
      </c>
      <c r="AK260" s="352"/>
    </row>
    <row r="261" spans="1:37" ht="13.5" customHeight="1" x14ac:dyDescent="0.45">
      <c r="A261" s="3"/>
      <c r="B261" s="215"/>
      <c r="C261" s="77" t="s">
        <v>778</v>
      </c>
      <c r="D261" s="285">
        <v>180</v>
      </c>
      <c r="E261" s="285">
        <v>180</v>
      </c>
      <c r="F261" s="285">
        <v>180</v>
      </c>
      <c r="G261" s="285">
        <v>180</v>
      </c>
      <c r="H261" s="285">
        <v>180</v>
      </c>
      <c r="I261" s="285">
        <v>180</v>
      </c>
      <c r="J261" s="285">
        <v>180</v>
      </c>
      <c r="K261" s="285">
        <v>180</v>
      </c>
      <c r="L261" s="285">
        <v>180</v>
      </c>
      <c r="M261" s="285">
        <v>180</v>
      </c>
      <c r="N261" s="285">
        <v>180</v>
      </c>
      <c r="O261" s="285">
        <v>180</v>
      </c>
      <c r="P261" s="285">
        <v>180</v>
      </c>
      <c r="Q261" s="285">
        <v>180</v>
      </c>
      <c r="R261" s="285">
        <v>180</v>
      </c>
      <c r="S261" s="285">
        <v>180</v>
      </c>
      <c r="T261" s="285">
        <v>180</v>
      </c>
      <c r="U261" s="285">
        <v>176</v>
      </c>
      <c r="V261" s="285">
        <v>176</v>
      </c>
      <c r="W261" s="285">
        <v>176</v>
      </c>
      <c r="X261" s="285">
        <v>176</v>
      </c>
      <c r="Y261" s="285">
        <v>176</v>
      </c>
      <c r="Z261" s="285">
        <v>172</v>
      </c>
      <c r="AA261" s="285">
        <v>172</v>
      </c>
      <c r="AB261" s="285">
        <v>172</v>
      </c>
      <c r="AC261" s="285">
        <v>172</v>
      </c>
      <c r="AD261" s="285">
        <v>172</v>
      </c>
      <c r="AE261" s="285">
        <v>168</v>
      </c>
      <c r="AF261" s="285">
        <v>168</v>
      </c>
      <c r="AG261" s="285">
        <v>168</v>
      </c>
      <c r="AH261" s="285">
        <v>168</v>
      </c>
      <c r="AI261" s="285">
        <v>168</v>
      </c>
      <c r="AJ261" s="78">
        <v>164</v>
      </c>
      <c r="AK261" s="352"/>
    </row>
    <row r="262" spans="1:37" ht="13.5" customHeight="1" x14ac:dyDescent="0.45">
      <c r="A262" s="3"/>
      <c r="B262" s="215"/>
      <c r="C262" s="77" t="s">
        <v>766</v>
      </c>
      <c r="D262" s="285">
        <v>9.4600000000000009</v>
      </c>
      <c r="E262" s="285">
        <v>9.4600000000000009</v>
      </c>
      <c r="F262" s="285">
        <v>9.4600000000000009</v>
      </c>
      <c r="G262" s="285">
        <v>9.4600000000000009</v>
      </c>
      <c r="H262" s="285">
        <v>9.4600000000000009</v>
      </c>
      <c r="I262" s="285">
        <v>9.4600000000000009</v>
      </c>
      <c r="J262" s="285">
        <v>9.4600000000000009</v>
      </c>
      <c r="K262" s="285">
        <v>9.4600000000000009</v>
      </c>
      <c r="L262" s="285">
        <v>9.4600000000000009</v>
      </c>
      <c r="M262" s="285">
        <v>9.4600000000000009</v>
      </c>
      <c r="N262" s="285">
        <v>9.4600000000000009</v>
      </c>
      <c r="O262" s="285">
        <v>9.4600000000000009</v>
      </c>
      <c r="P262" s="285">
        <v>9.4600000000000009</v>
      </c>
      <c r="Q262" s="285">
        <v>9.4600000000000009</v>
      </c>
      <c r="R262" s="285">
        <v>9.4600000000000009</v>
      </c>
      <c r="S262" s="285">
        <v>9.4600000000000009</v>
      </c>
      <c r="T262" s="285">
        <v>9.4600000000000009</v>
      </c>
      <c r="U262" s="285">
        <v>9.4600000000000009</v>
      </c>
      <c r="V262" s="285">
        <v>9.4600000000000009</v>
      </c>
      <c r="W262" s="285">
        <v>9.4600000000000009</v>
      </c>
      <c r="X262" s="285">
        <v>9.4600000000000009</v>
      </c>
      <c r="Y262" s="285">
        <v>9.4600000000000009</v>
      </c>
      <c r="Z262" s="285">
        <v>9.4600000000000009</v>
      </c>
      <c r="AA262" s="285">
        <v>9.4600000000000009</v>
      </c>
      <c r="AB262" s="285">
        <v>9.4600000000000009</v>
      </c>
      <c r="AC262" s="285">
        <v>9.4600000000000009</v>
      </c>
      <c r="AD262" s="285">
        <v>9.4600000000000009</v>
      </c>
      <c r="AE262" s="285">
        <v>9.4600000000000009</v>
      </c>
      <c r="AF262" s="285">
        <v>9.4600000000000009</v>
      </c>
      <c r="AG262" s="285">
        <v>9.4600000000000009</v>
      </c>
      <c r="AH262" s="285">
        <v>9.4600000000000009</v>
      </c>
      <c r="AI262" s="285">
        <v>9.4600000000000009</v>
      </c>
      <c r="AJ262" s="78">
        <v>9.4600000000000009</v>
      </c>
      <c r="AK262" s="352"/>
    </row>
    <row r="263" spans="1:37" ht="13.5" customHeight="1" x14ac:dyDescent="0.45">
      <c r="A263" s="3"/>
      <c r="B263" s="215"/>
      <c r="C263" s="81" t="s">
        <v>289</v>
      </c>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c r="AA263" s="314"/>
      <c r="AB263" s="314"/>
      <c r="AC263" s="314"/>
      <c r="AD263" s="314"/>
      <c r="AE263" s="314"/>
      <c r="AF263" s="314"/>
      <c r="AG263" s="314"/>
      <c r="AH263" s="314"/>
      <c r="AI263" s="314"/>
      <c r="AJ263" s="82"/>
      <c r="AK263" s="352"/>
    </row>
    <row r="264" spans="1:37" ht="13.5" customHeight="1" x14ac:dyDescent="0.45">
      <c r="A264" s="3"/>
      <c r="B264" s="215"/>
      <c r="C264" s="75" t="s">
        <v>779</v>
      </c>
      <c r="D264" s="422"/>
      <c r="E264" s="422"/>
      <c r="F264" s="422"/>
      <c r="G264" s="422"/>
      <c r="H264" s="422"/>
      <c r="I264" s="422"/>
      <c r="J264" s="422"/>
      <c r="K264" s="422"/>
      <c r="L264" s="422"/>
      <c r="M264" s="422"/>
      <c r="N264" s="422"/>
      <c r="O264" s="422"/>
      <c r="P264" s="422"/>
      <c r="Q264" s="422"/>
      <c r="R264" s="422"/>
      <c r="S264" s="422"/>
      <c r="T264" s="422"/>
      <c r="U264" s="422"/>
      <c r="V264" s="422"/>
      <c r="W264" s="422"/>
      <c r="X264" s="422"/>
      <c r="Y264" s="422"/>
      <c r="Z264" s="422"/>
      <c r="AA264" s="422"/>
      <c r="AB264" s="422"/>
      <c r="AC264" s="422"/>
      <c r="AD264" s="422"/>
      <c r="AE264" s="422"/>
      <c r="AF264" s="422"/>
      <c r="AG264" s="422"/>
      <c r="AH264" s="422"/>
      <c r="AI264" s="422"/>
      <c r="AJ264" s="76"/>
      <c r="AK264" s="352"/>
    </row>
    <row r="265" spans="1:37" ht="13.5" customHeight="1" x14ac:dyDescent="0.45">
      <c r="A265" s="3"/>
      <c r="B265" s="215"/>
      <c r="C265" s="77" t="s">
        <v>780</v>
      </c>
      <c r="D265" s="285">
        <v>19.100000000000001</v>
      </c>
      <c r="E265" s="285">
        <v>19.100000000000001</v>
      </c>
      <c r="F265" s="285">
        <v>19.100000000000001</v>
      </c>
      <c r="G265" s="285">
        <v>19.100000000000001</v>
      </c>
      <c r="H265" s="285">
        <v>19.100000000000001</v>
      </c>
      <c r="I265" s="285">
        <v>19.100000000000001</v>
      </c>
      <c r="J265" s="285">
        <v>19.100000000000001</v>
      </c>
      <c r="K265" s="285">
        <v>19.100000000000001</v>
      </c>
      <c r="L265" s="285">
        <v>19.100000000000001</v>
      </c>
      <c r="M265" s="285">
        <v>19.100000000000001</v>
      </c>
      <c r="N265" s="285">
        <v>19.100000000000001</v>
      </c>
      <c r="O265" s="285">
        <v>19.100000000000001</v>
      </c>
      <c r="P265" s="285">
        <v>19.100000000000001</v>
      </c>
      <c r="Q265" s="285">
        <v>19.100000000000001</v>
      </c>
      <c r="R265" s="285">
        <v>19.100000000000001</v>
      </c>
      <c r="S265" s="285">
        <v>19.100000000000001</v>
      </c>
      <c r="T265" s="285">
        <v>19.100000000000001</v>
      </c>
      <c r="U265" s="285">
        <v>17.2</v>
      </c>
      <c r="V265" s="285">
        <v>17.2</v>
      </c>
      <c r="W265" s="285">
        <v>17.2</v>
      </c>
      <c r="X265" s="285">
        <v>17.2</v>
      </c>
      <c r="Y265" s="285">
        <v>17.2</v>
      </c>
      <c r="Z265" s="285">
        <v>14.3</v>
      </c>
      <c r="AA265" s="285">
        <v>14.3</v>
      </c>
      <c r="AB265" s="285">
        <v>14.3</v>
      </c>
      <c r="AC265" s="285">
        <v>14.3</v>
      </c>
      <c r="AD265" s="285">
        <v>14.3</v>
      </c>
      <c r="AE265" s="285">
        <v>14.3</v>
      </c>
      <c r="AF265" s="285">
        <v>14.3</v>
      </c>
      <c r="AG265" s="285">
        <v>14.3</v>
      </c>
      <c r="AH265" s="285">
        <v>14.3</v>
      </c>
      <c r="AI265" s="285">
        <v>14.3</v>
      </c>
      <c r="AJ265" s="78">
        <v>14.3</v>
      </c>
      <c r="AK265" s="352"/>
    </row>
    <row r="266" spans="1:37" ht="13.5" customHeight="1" x14ac:dyDescent="0.45">
      <c r="A266" s="3"/>
      <c r="B266" s="215"/>
      <c r="C266" s="86" t="s">
        <v>781</v>
      </c>
      <c r="D266" s="87">
        <v>28.6</v>
      </c>
      <c r="E266" s="87">
        <v>28.6</v>
      </c>
      <c r="F266" s="87">
        <v>28.6</v>
      </c>
      <c r="G266" s="87">
        <v>28.6</v>
      </c>
      <c r="H266" s="87">
        <v>28.6</v>
      </c>
      <c r="I266" s="87">
        <v>28.6</v>
      </c>
      <c r="J266" s="87">
        <v>28.6</v>
      </c>
      <c r="K266" s="87">
        <v>28.6</v>
      </c>
      <c r="L266" s="87">
        <v>28.6</v>
      </c>
      <c r="M266" s="87">
        <v>28.6</v>
      </c>
      <c r="N266" s="87">
        <v>28.6</v>
      </c>
      <c r="O266" s="87">
        <v>28.6</v>
      </c>
      <c r="P266" s="87">
        <v>28.6</v>
      </c>
      <c r="Q266" s="87">
        <v>28.6</v>
      </c>
      <c r="R266" s="87">
        <v>28.6</v>
      </c>
      <c r="S266" s="87">
        <v>28.6</v>
      </c>
      <c r="T266" s="87">
        <v>28.6</v>
      </c>
      <c r="U266" s="87">
        <v>28.6</v>
      </c>
      <c r="V266" s="87">
        <v>28.6</v>
      </c>
      <c r="W266" s="87">
        <v>28.6</v>
      </c>
      <c r="X266" s="87">
        <v>28.6</v>
      </c>
      <c r="Y266" s="87">
        <v>28.6</v>
      </c>
      <c r="Z266" s="87">
        <v>23.9</v>
      </c>
      <c r="AA266" s="87">
        <v>23.9</v>
      </c>
      <c r="AB266" s="87">
        <v>23.9</v>
      </c>
      <c r="AC266" s="87">
        <v>23.9</v>
      </c>
      <c r="AD266" s="87">
        <v>23.9</v>
      </c>
      <c r="AE266" s="87">
        <v>23.9</v>
      </c>
      <c r="AF266" s="87">
        <v>23.9</v>
      </c>
      <c r="AG266" s="87">
        <v>23.9</v>
      </c>
      <c r="AH266" s="87">
        <v>23.9</v>
      </c>
      <c r="AI266" s="87">
        <v>23.9</v>
      </c>
      <c r="AJ266" s="88">
        <v>23.9</v>
      </c>
      <c r="AK266" s="352"/>
    </row>
    <row r="267" spans="1:37" ht="13.5" customHeight="1" x14ac:dyDescent="0.45">
      <c r="A267" s="3"/>
      <c r="B267" s="258"/>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c r="AA267" s="259"/>
      <c r="AB267" s="259"/>
      <c r="AC267" s="259"/>
      <c r="AD267" s="259"/>
      <c r="AE267" s="259"/>
      <c r="AF267" s="259"/>
      <c r="AG267" s="259"/>
      <c r="AH267" s="259"/>
      <c r="AI267" s="259"/>
      <c r="AJ267" s="259"/>
      <c r="AK267" s="425"/>
    </row>
    <row r="268" spans="1:37" ht="13.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3.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3.5" customHeight="1" x14ac:dyDescent="0.45">
      <c r="A270" s="1"/>
      <c r="B270" s="1">
        <v>1</v>
      </c>
      <c r="C270" s="1" t="s">
        <v>723</v>
      </c>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3.5" customHeight="1" x14ac:dyDescent="0.45">
      <c r="A271" s="1"/>
      <c r="B271" s="1">
        <v>2</v>
      </c>
      <c r="C271" s="1" t="s">
        <v>724</v>
      </c>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3.5" customHeight="1" x14ac:dyDescent="0.45">
      <c r="A272" s="1"/>
      <c r="B272" s="1">
        <v>3</v>
      </c>
      <c r="C272" s="1" t="s">
        <v>785</v>
      </c>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3.5" customHeight="1" x14ac:dyDescent="0.45">
      <c r="A273" s="1"/>
      <c r="B273" s="1">
        <v>4</v>
      </c>
      <c r="C273" s="421" t="s">
        <v>786</v>
      </c>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3.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3.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3.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3.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3.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3.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3.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3.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3.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3.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3.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3.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3.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3.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3.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3.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3.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3.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3.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3.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3.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3.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3.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3.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3.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3.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3.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3.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3.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3.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3.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3.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3.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3.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3.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3.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3.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3.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3.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3.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3.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3.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3.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3.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3.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3.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3.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3.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3.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3.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3.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3.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3.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3.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3.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3.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3.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3.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3.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3.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3.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3.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3.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3.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3.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3.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3.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3.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3.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3.5" customHeight="1"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3.5" customHeight="1"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3.5" customHeight="1"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3.5" customHeight="1"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3.5" customHeight="1"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3.5" customHeight="1"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3.5" customHeight="1"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3.5" customHeight="1"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3.5" customHeight="1"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3.5" customHeight="1"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3.5" customHeight="1"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3.5" customHeight="1"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3.5" customHeight="1"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3.5" customHeight="1"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3.5" customHeight="1"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3.5" customHeight="1"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3.5" customHeight="1"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3.5" customHeight="1"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3.5" customHeight="1"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3.5" customHeight="1"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3.5" customHeight="1"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3.5" customHeight="1"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3.5" customHeight="1"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3.5" customHeight="1"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3.5" customHeight="1"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3.5" customHeight="1"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3.5" customHeight="1"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3.5" customHeight="1"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3.5" customHeight="1"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3.5" customHeight="1"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3.5" customHeight="1"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3.5" customHeight="1"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3.5" customHeight="1"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3.5" customHeight="1"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3.5" customHeight="1"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3.5" customHeight="1"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3.5" customHeight="1"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3.5" customHeight="1"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3.5" customHeight="1"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3.5" customHeight="1"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3.5" customHeight="1"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3.5" customHeight="1"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3.5" customHeight="1"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3.5" customHeight="1"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3.5" customHeight="1"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3.5" customHeight="1"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3.5" customHeight="1"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3.5" customHeight="1"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3.5" customHeight="1"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3.5" customHeight="1"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3.5" customHeight="1"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3.5" customHeight="1"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3.5" customHeight="1"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3.5" customHeight="1"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3.5" customHeight="1"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3.5" customHeight="1"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3.5" customHeight="1" x14ac:dyDescent="0.4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3.5" customHeight="1" x14ac:dyDescent="0.4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3.5" customHeight="1" x14ac:dyDescent="0.4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3.5" customHeight="1" x14ac:dyDescent="0.4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3.5" customHeight="1" x14ac:dyDescent="0.4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3.5" customHeight="1" x14ac:dyDescent="0.4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3.5" customHeight="1" x14ac:dyDescent="0.4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3.5" customHeight="1" x14ac:dyDescent="0.4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3.5" customHeight="1" x14ac:dyDescent="0.4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3.5" customHeight="1" x14ac:dyDescent="0.4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3.5" customHeight="1" x14ac:dyDescent="0.4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3.5" customHeight="1" x14ac:dyDescent="0.4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3.5" customHeight="1" x14ac:dyDescent="0.4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3.5" customHeight="1" x14ac:dyDescent="0.4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3.5" customHeight="1" x14ac:dyDescent="0.4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3.5" customHeight="1" x14ac:dyDescent="0.4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3.5" customHeight="1" x14ac:dyDescent="0.4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3.5" customHeight="1" x14ac:dyDescent="0.4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3.5" customHeight="1" x14ac:dyDescent="0.4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3.5" customHeight="1" x14ac:dyDescent="0.4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3.5" customHeight="1" x14ac:dyDescent="0.4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3.5" customHeight="1" x14ac:dyDescent="0.4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3.5" customHeight="1" x14ac:dyDescent="0.4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3.5" customHeight="1" x14ac:dyDescent="0.4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3.5" customHeight="1" x14ac:dyDescent="0.4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3.5" customHeight="1" x14ac:dyDescent="0.4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3.5" customHeight="1" x14ac:dyDescent="0.4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3.5" customHeight="1" x14ac:dyDescent="0.4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3.5" customHeight="1" x14ac:dyDescent="0.4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3.5" customHeight="1" x14ac:dyDescent="0.4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3.5" customHeight="1" x14ac:dyDescent="0.4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3.5" customHeight="1" x14ac:dyDescent="0.4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3.5" customHeight="1" x14ac:dyDescent="0.4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3.5" customHeight="1" x14ac:dyDescent="0.4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3.5" customHeight="1" x14ac:dyDescent="0.4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3.5" customHeight="1" x14ac:dyDescent="0.4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3.5" customHeight="1" x14ac:dyDescent="0.4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3.5" customHeight="1" x14ac:dyDescent="0.4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3.5" customHeight="1" x14ac:dyDescent="0.4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3.5" customHeight="1" x14ac:dyDescent="0.4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3.5" customHeight="1" x14ac:dyDescent="0.4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3.5" customHeight="1" x14ac:dyDescent="0.4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3.5" customHeight="1" x14ac:dyDescent="0.4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3.5" customHeight="1" x14ac:dyDescent="0.4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3.5" customHeight="1" x14ac:dyDescent="0.4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3.5" customHeight="1" x14ac:dyDescent="0.4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3.5" customHeight="1" x14ac:dyDescent="0.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3.5" customHeight="1" x14ac:dyDescent="0.4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3.5" customHeight="1" x14ac:dyDescent="0.4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3.5" customHeight="1" x14ac:dyDescent="0.4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3.5" customHeight="1" x14ac:dyDescent="0.4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3.5" customHeight="1" x14ac:dyDescent="0.4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3.5" customHeight="1" x14ac:dyDescent="0.4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3.5" customHeight="1" x14ac:dyDescent="0.4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3.5" customHeight="1" x14ac:dyDescent="0.4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3.5" customHeight="1" x14ac:dyDescent="0.4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3.5" customHeight="1" x14ac:dyDescent="0.4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3.5" customHeight="1" x14ac:dyDescent="0.4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3.5" customHeight="1" x14ac:dyDescent="0.4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3.5" customHeight="1" x14ac:dyDescent="0.4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3.5" customHeight="1" x14ac:dyDescent="0.4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3.5" customHeight="1" x14ac:dyDescent="0.4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3.5" customHeight="1" x14ac:dyDescent="0.4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3.5" customHeight="1" x14ac:dyDescent="0.4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3.5" customHeight="1" x14ac:dyDescent="0.4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3.5" customHeight="1" x14ac:dyDescent="0.4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3.5" customHeight="1" x14ac:dyDescent="0.4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3.5" customHeight="1" x14ac:dyDescent="0.4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3.5" customHeight="1" x14ac:dyDescent="0.4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3.5" customHeight="1" x14ac:dyDescent="0.4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3.5" customHeight="1" x14ac:dyDescent="0.4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3.5" customHeight="1" x14ac:dyDescent="0.4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3.5" customHeight="1" x14ac:dyDescent="0.4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5.75" customHeight="1" x14ac:dyDescent="0.4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row>
    <row r="473" spans="1:37" ht="15.75" customHeight="1" x14ac:dyDescent="0.4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row>
    <row r="474" spans="1:37" ht="15.75" customHeight="1" x14ac:dyDescent="0.4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row>
    <row r="475" spans="1:37" ht="15.75" customHeight="1" x14ac:dyDescent="0.4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row>
    <row r="476" spans="1:37" ht="15.75" customHeight="1" x14ac:dyDescent="0.4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row>
    <row r="477" spans="1:37" ht="15.75" customHeight="1" x14ac:dyDescent="0.4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row>
    <row r="478" spans="1:37" ht="15.75" customHeight="1" x14ac:dyDescent="0.4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row>
    <row r="479" spans="1:37" ht="15.75" customHeight="1" x14ac:dyDescent="0.4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row>
    <row r="480" spans="1:37" ht="15.75" customHeight="1" x14ac:dyDescent="0.4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row>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sheetData>
  <mergeCells count="1">
    <mergeCell ref="A6:A10"/>
  </mergeCells>
  <hyperlinks>
    <hyperlink ref="C273" r:id="rId1" xr:uid="{00000000-0004-0000-0600-000000000000}"/>
  </hyperlinks>
  <pageMargins left="0.7" right="0.7" top="0.75" bottom="0.75" header="0" footer="0"/>
  <pageSetup orientation="landscape"/>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2.69140625" defaultRowHeight="15" customHeight="1" x14ac:dyDescent="0.45"/>
  <cols>
    <col min="1" max="1" width="12.3828125" customWidth="1"/>
    <col min="2" max="2" width="2.765625" customWidth="1"/>
    <col min="3" max="3" width="41" customWidth="1"/>
    <col min="4" max="4" width="31.3828125" customWidth="1"/>
    <col min="5" max="5" width="21.3828125" customWidth="1"/>
    <col min="6" max="6" width="20.765625" customWidth="1"/>
    <col min="7" max="26" width="12.3828125" customWidth="1"/>
  </cols>
  <sheetData>
    <row r="1" spans="1:26" ht="13.5" customHeight="1" x14ac:dyDescent="0.45">
      <c r="A1" s="618"/>
      <c r="B1" s="618"/>
      <c r="C1" s="12"/>
      <c r="D1" s="5"/>
      <c r="E1" s="618"/>
      <c r="F1" s="618"/>
      <c r="G1" s="618"/>
      <c r="H1" s="618"/>
      <c r="I1" s="618"/>
      <c r="J1" s="618"/>
      <c r="K1" s="618"/>
      <c r="L1" s="618"/>
      <c r="M1" s="618"/>
      <c r="N1" s="618"/>
      <c r="O1" s="618"/>
      <c r="P1" s="618"/>
      <c r="Q1" s="618"/>
      <c r="R1" s="618"/>
      <c r="S1" s="618"/>
      <c r="T1" s="618"/>
      <c r="U1" s="618"/>
      <c r="V1" s="618"/>
      <c r="W1" s="618"/>
      <c r="X1" s="618"/>
      <c r="Y1" s="618"/>
      <c r="Z1" s="618"/>
    </row>
    <row r="2" spans="1:26" ht="13.5" customHeight="1" x14ac:dyDescent="0.45">
      <c r="A2" s="618"/>
      <c r="B2" s="7"/>
      <c r="C2" s="103"/>
      <c r="D2" s="157"/>
      <c r="E2" s="158"/>
      <c r="F2" s="158"/>
      <c r="G2" s="158"/>
      <c r="H2" s="158"/>
      <c r="I2" s="158"/>
      <c r="J2" s="158"/>
      <c r="K2" s="158"/>
      <c r="L2" s="158"/>
      <c r="M2" s="158"/>
      <c r="N2" s="158"/>
      <c r="O2" s="158"/>
      <c r="P2" s="158"/>
      <c r="Q2" s="158"/>
      <c r="R2" s="158"/>
      <c r="S2" s="158"/>
      <c r="T2" s="158"/>
      <c r="U2" s="158"/>
      <c r="V2" s="158"/>
      <c r="W2" s="158"/>
      <c r="X2" s="158"/>
      <c r="Y2" s="158"/>
      <c r="Z2" s="158"/>
    </row>
    <row r="3" spans="1:26" ht="18.5" x14ac:dyDescent="0.45">
      <c r="A3" s="618"/>
      <c r="B3" s="106"/>
      <c r="C3" s="107" t="s">
        <v>787</v>
      </c>
      <c r="D3" s="323"/>
      <c r="E3" s="183"/>
      <c r="F3" s="183"/>
      <c r="G3" s="183"/>
      <c r="H3" s="183"/>
      <c r="I3" s="183"/>
      <c r="J3" s="183"/>
      <c r="K3" s="183"/>
      <c r="L3" s="183"/>
      <c r="M3" s="183"/>
      <c r="N3" s="183"/>
      <c r="O3" s="183"/>
      <c r="P3" s="183"/>
      <c r="Q3" s="183"/>
      <c r="R3" s="183"/>
      <c r="S3" s="183"/>
      <c r="T3" s="183"/>
      <c r="U3" s="183"/>
      <c r="V3" s="183"/>
      <c r="W3" s="183"/>
      <c r="X3" s="183"/>
      <c r="Y3" s="183"/>
      <c r="Z3" s="183"/>
    </row>
    <row r="4" spans="1:26" ht="13.5" customHeight="1" x14ac:dyDescent="0.45">
      <c r="A4" s="618"/>
      <c r="B4" s="106"/>
      <c r="C4" s="111"/>
      <c r="D4" s="426"/>
      <c r="E4" s="162"/>
      <c r="F4" s="162"/>
      <c r="G4" s="162"/>
      <c r="H4" s="162"/>
      <c r="I4" s="162"/>
      <c r="J4" s="162"/>
      <c r="K4" s="162"/>
      <c r="L4" s="162"/>
      <c r="M4" s="162"/>
      <c r="N4" s="162"/>
      <c r="O4" s="162"/>
      <c r="P4" s="162"/>
      <c r="Q4" s="162"/>
      <c r="R4" s="162"/>
      <c r="S4" s="162"/>
      <c r="T4" s="162"/>
      <c r="U4" s="162"/>
      <c r="V4" s="162"/>
      <c r="W4" s="162"/>
      <c r="X4" s="162"/>
      <c r="Y4" s="162"/>
      <c r="Z4" s="162"/>
    </row>
    <row r="5" spans="1:26" ht="13.5" customHeight="1" x14ac:dyDescent="0.45">
      <c r="A5" s="618">
        <v>1</v>
      </c>
      <c r="B5" s="106"/>
      <c r="C5" s="111" t="s">
        <v>788</v>
      </c>
      <c r="D5" s="426"/>
      <c r="E5" s="162"/>
      <c r="F5" s="162"/>
      <c r="G5" s="162"/>
      <c r="H5" s="162"/>
      <c r="I5" s="162"/>
      <c r="J5" s="162"/>
      <c r="K5" s="162"/>
      <c r="L5" s="162"/>
      <c r="M5" s="162"/>
      <c r="N5" s="162"/>
      <c r="O5" s="162"/>
      <c r="P5" s="162"/>
      <c r="Q5" s="162"/>
      <c r="R5" s="162"/>
      <c r="S5" s="162"/>
      <c r="T5" s="162"/>
      <c r="U5" s="162"/>
      <c r="V5" s="162"/>
      <c r="W5" s="162"/>
      <c r="X5" s="162"/>
      <c r="Y5" s="162"/>
      <c r="Z5" s="162"/>
    </row>
    <row r="6" spans="1:26" ht="13.5" customHeight="1" x14ac:dyDescent="0.45">
      <c r="A6" s="618"/>
      <c r="B6" s="106"/>
      <c r="C6" s="115"/>
      <c r="D6" s="426"/>
      <c r="E6" s="162"/>
      <c r="F6" s="162"/>
      <c r="G6" s="162"/>
      <c r="H6" s="162"/>
      <c r="I6" s="162"/>
      <c r="J6" s="162"/>
      <c r="K6" s="162"/>
      <c r="L6" s="162"/>
      <c r="M6" s="162"/>
      <c r="N6" s="162"/>
      <c r="O6" s="162"/>
      <c r="P6" s="162"/>
      <c r="Q6" s="162"/>
      <c r="R6" s="162"/>
      <c r="S6" s="162"/>
      <c r="T6" s="162"/>
      <c r="U6" s="162"/>
      <c r="V6" s="162"/>
      <c r="W6" s="162"/>
      <c r="X6" s="162"/>
      <c r="Y6" s="162"/>
      <c r="Z6" s="162"/>
    </row>
    <row r="7" spans="1:26" ht="29" x14ac:dyDescent="0.45">
      <c r="A7" s="618"/>
      <c r="B7" s="106"/>
      <c r="C7" s="427" t="s">
        <v>789</v>
      </c>
      <c r="D7" s="428" t="s">
        <v>790</v>
      </c>
      <c r="E7" s="429" t="s">
        <v>791</v>
      </c>
      <c r="F7" s="429" t="s">
        <v>792</v>
      </c>
      <c r="G7" s="162"/>
      <c r="H7" s="162"/>
      <c r="I7" s="162"/>
      <c r="J7" s="162"/>
      <c r="K7" s="162"/>
      <c r="L7" s="162"/>
      <c r="M7" s="162"/>
      <c r="N7" s="162"/>
      <c r="O7" s="162"/>
      <c r="P7" s="162"/>
      <c r="Q7" s="162"/>
      <c r="R7" s="162"/>
      <c r="S7" s="162"/>
      <c r="T7" s="162"/>
      <c r="U7" s="162"/>
      <c r="V7" s="162"/>
      <c r="W7" s="162"/>
      <c r="X7" s="162"/>
      <c r="Y7" s="162"/>
      <c r="Z7" s="162"/>
    </row>
    <row r="8" spans="1:26" ht="13.5" customHeight="1" x14ac:dyDescent="0.45">
      <c r="A8" s="618"/>
      <c r="B8" s="106"/>
      <c r="C8" s="115"/>
      <c r="D8" s="426"/>
      <c r="E8" s="162"/>
      <c r="F8" s="162"/>
      <c r="G8" s="162"/>
      <c r="H8" s="162"/>
      <c r="I8" s="162"/>
      <c r="J8" s="162"/>
      <c r="K8" s="162"/>
      <c r="L8" s="162"/>
      <c r="M8" s="162"/>
      <c r="N8" s="162"/>
      <c r="O8" s="162"/>
      <c r="P8" s="162"/>
      <c r="Q8" s="162"/>
      <c r="R8" s="162"/>
      <c r="S8" s="162"/>
      <c r="T8" s="162"/>
      <c r="U8" s="162"/>
      <c r="V8" s="162"/>
      <c r="W8" s="162"/>
      <c r="X8" s="162"/>
      <c r="Y8" s="162"/>
      <c r="Z8" s="162"/>
    </row>
    <row r="9" spans="1:26" ht="13.5" customHeight="1" x14ac:dyDescent="0.45">
      <c r="A9" s="618"/>
      <c r="B9" s="106"/>
      <c r="C9" s="115" t="s">
        <v>793</v>
      </c>
      <c r="D9" s="426" t="s">
        <v>794</v>
      </c>
      <c r="E9" s="430">
        <v>319.98339999999996</v>
      </c>
      <c r="F9" s="430">
        <v>218.17049999999998</v>
      </c>
      <c r="G9" s="162"/>
      <c r="H9" s="162"/>
      <c r="I9" s="162"/>
      <c r="J9" s="162"/>
      <c r="K9" s="162"/>
      <c r="L9" s="162"/>
      <c r="M9" s="162"/>
      <c r="N9" s="162"/>
      <c r="O9" s="162"/>
      <c r="P9" s="162"/>
      <c r="Q9" s="162"/>
      <c r="R9" s="162"/>
      <c r="S9" s="162"/>
      <c r="T9" s="162"/>
      <c r="U9" s="162"/>
      <c r="V9" s="162"/>
      <c r="W9" s="162"/>
      <c r="X9" s="162"/>
      <c r="Y9" s="162"/>
      <c r="Z9" s="162"/>
    </row>
    <row r="10" spans="1:26" ht="13.5" customHeight="1" x14ac:dyDescent="0.45">
      <c r="A10" s="618"/>
      <c r="B10" s="106"/>
      <c r="C10" s="115" t="s">
        <v>795</v>
      </c>
      <c r="D10" s="426" t="s">
        <v>794</v>
      </c>
      <c r="E10" s="430">
        <v>319.98339999999996</v>
      </c>
      <c r="F10" s="430">
        <v>218.17049999999998</v>
      </c>
      <c r="G10" s="162"/>
      <c r="H10" s="162"/>
      <c r="I10" s="162"/>
      <c r="J10" s="162"/>
      <c r="K10" s="162"/>
      <c r="L10" s="162"/>
      <c r="M10" s="162"/>
      <c r="N10" s="162"/>
      <c r="O10" s="162"/>
      <c r="P10" s="162"/>
      <c r="Q10" s="162"/>
      <c r="R10" s="162"/>
      <c r="S10" s="162"/>
      <c r="T10" s="162"/>
      <c r="U10" s="162"/>
      <c r="V10" s="162"/>
      <c r="W10" s="162"/>
      <c r="X10" s="162"/>
      <c r="Y10" s="162"/>
      <c r="Z10" s="162"/>
    </row>
    <row r="11" spans="1:26" ht="13.5" customHeight="1" x14ac:dyDescent="0.45">
      <c r="A11" s="618"/>
      <c r="B11" s="106"/>
      <c r="C11" s="115" t="s">
        <v>796</v>
      </c>
      <c r="D11" s="426" t="s">
        <v>797</v>
      </c>
      <c r="E11" s="430">
        <v>1163.576</v>
      </c>
      <c r="F11" s="430">
        <v>538.15390000000002</v>
      </c>
      <c r="G11" s="162"/>
      <c r="H11" s="162"/>
      <c r="I11" s="162"/>
      <c r="J11" s="162"/>
      <c r="K11" s="162"/>
      <c r="L11" s="162"/>
      <c r="M11" s="162"/>
      <c r="N11" s="162"/>
      <c r="O11" s="162"/>
      <c r="P11" s="162"/>
      <c r="Q11" s="162"/>
      <c r="R11" s="162"/>
      <c r="S11" s="162"/>
      <c r="T11" s="162"/>
      <c r="U11" s="162"/>
      <c r="V11" s="162"/>
      <c r="W11" s="162"/>
      <c r="X11" s="162"/>
      <c r="Y11" s="162"/>
      <c r="Z11" s="162"/>
    </row>
    <row r="12" spans="1:26" ht="13.5" customHeight="1" x14ac:dyDescent="0.45">
      <c r="A12" s="618"/>
      <c r="B12" s="106"/>
      <c r="C12" s="115" t="s">
        <v>798</v>
      </c>
      <c r="D12" s="426" t="s">
        <v>799</v>
      </c>
      <c r="E12" s="430">
        <v>1599.9169999999999</v>
      </c>
      <c r="F12" s="430">
        <v>872.6819999999999</v>
      </c>
      <c r="G12" s="162"/>
      <c r="H12" s="162"/>
      <c r="I12" s="162"/>
      <c r="J12" s="162"/>
      <c r="K12" s="162"/>
      <c r="L12" s="162"/>
      <c r="M12" s="162"/>
      <c r="N12" s="162"/>
      <c r="O12" s="162"/>
      <c r="P12" s="162"/>
      <c r="Q12" s="162"/>
      <c r="R12" s="162"/>
      <c r="S12" s="162"/>
      <c r="T12" s="162"/>
      <c r="U12" s="162"/>
      <c r="V12" s="162"/>
      <c r="W12" s="162"/>
      <c r="X12" s="162"/>
      <c r="Y12" s="162"/>
      <c r="Z12" s="162"/>
    </row>
    <row r="13" spans="1:26" ht="13.5" customHeight="1" x14ac:dyDescent="0.45">
      <c r="A13" s="618"/>
      <c r="B13" s="106"/>
      <c r="C13" s="115" t="s">
        <v>800</v>
      </c>
      <c r="D13" s="426" t="s">
        <v>801</v>
      </c>
      <c r="E13" s="430">
        <v>116.35759999999999</v>
      </c>
      <c r="F13" s="430">
        <v>72.723500000000001</v>
      </c>
      <c r="G13" s="162"/>
      <c r="H13" s="162"/>
      <c r="I13" s="162"/>
      <c r="J13" s="162"/>
      <c r="K13" s="162"/>
      <c r="L13" s="162"/>
      <c r="M13" s="162"/>
      <c r="N13" s="162"/>
      <c r="O13" s="162"/>
      <c r="P13" s="162"/>
      <c r="Q13" s="162"/>
      <c r="R13" s="162"/>
      <c r="S13" s="162"/>
      <c r="T13" s="162"/>
      <c r="U13" s="162"/>
      <c r="V13" s="162"/>
      <c r="W13" s="162"/>
      <c r="X13" s="162"/>
      <c r="Y13" s="162"/>
      <c r="Z13" s="162"/>
    </row>
    <row r="14" spans="1:26" ht="13.5" customHeight="1" x14ac:dyDescent="0.45">
      <c r="A14" s="618"/>
      <c r="B14" s="106"/>
      <c r="C14" s="115" t="s">
        <v>802</v>
      </c>
      <c r="D14" s="426" t="s">
        <v>803</v>
      </c>
      <c r="E14" s="430">
        <v>654.51149999999996</v>
      </c>
      <c r="F14" s="430">
        <v>552.69859999999994</v>
      </c>
      <c r="G14" s="162"/>
      <c r="H14" s="162"/>
      <c r="I14" s="162"/>
      <c r="J14" s="162"/>
      <c r="K14" s="162"/>
      <c r="L14" s="162"/>
      <c r="M14" s="162"/>
      <c r="N14" s="162"/>
      <c r="O14" s="162"/>
      <c r="P14" s="162"/>
      <c r="Q14" s="162"/>
      <c r="R14" s="162"/>
      <c r="S14" s="162"/>
      <c r="T14" s="162"/>
      <c r="U14" s="162"/>
      <c r="V14" s="162"/>
      <c r="W14" s="162"/>
      <c r="X14" s="162"/>
      <c r="Y14" s="162"/>
      <c r="Z14" s="162"/>
    </row>
    <row r="15" spans="1:26" ht="13.5" customHeight="1" x14ac:dyDescent="0.45">
      <c r="A15" s="618"/>
      <c r="B15" s="106"/>
      <c r="C15" s="115" t="s">
        <v>804</v>
      </c>
      <c r="D15" s="426" t="s">
        <v>805</v>
      </c>
      <c r="E15" s="430">
        <v>648.69362000000001</v>
      </c>
      <c r="F15" s="430">
        <v>557.49835099999996</v>
      </c>
      <c r="G15" s="162"/>
      <c r="H15" s="162"/>
      <c r="I15" s="162"/>
      <c r="J15" s="162"/>
      <c r="K15" s="162"/>
      <c r="L15" s="162"/>
      <c r="M15" s="162"/>
      <c r="N15" s="162"/>
      <c r="O15" s="162"/>
      <c r="P15" s="162"/>
      <c r="Q15" s="162"/>
      <c r="R15" s="162"/>
      <c r="S15" s="162"/>
      <c r="T15" s="162"/>
      <c r="U15" s="162"/>
      <c r="V15" s="162"/>
      <c r="W15" s="162"/>
      <c r="X15" s="162"/>
      <c r="Y15" s="162"/>
      <c r="Z15" s="162"/>
    </row>
    <row r="16" spans="1:26" ht="13.5" customHeight="1" x14ac:dyDescent="0.45">
      <c r="A16" s="618"/>
      <c r="B16" s="106"/>
      <c r="C16" s="115" t="s">
        <v>806</v>
      </c>
      <c r="D16" s="426" t="s">
        <v>807</v>
      </c>
      <c r="E16" s="430">
        <v>1018.1289999999999</v>
      </c>
      <c r="F16" s="430">
        <v>683.60089999999991</v>
      </c>
      <c r="G16" s="162"/>
      <c r="H16" s="162"/>
      <c r="I16" s="162"/>
      <c r="J16" s="162"/>
      <c r="K16" s="162"/>
      <c r="L16" s="162"/>
      <c r="M16" s="162"/>
      <c r="N16" s="162"/>
      <c r="O16" s="162"/>
      <c r="P16" s="162"/>
      <c r="Q16" s="162"/>
      <c r="R16" s="162"/>
      <c r="S16" s="162"/>
      <c r="T16" s="162"/>
      <c r="U16" s="162"/>
      <c r="V16" s="162"/>
      <c r="W16" s="162"/>
      <c r="X16" s="162"/>
      <c r="Y16" s="162"/>
      <c r="Z16" s="162"/>
    </row>
    <row r="17" spans="1:26" ht="13.5" customHeight="1" x14ac:dyDescent="0.45">
      <c r="A17" s="618"/>
      <c r="B17" s="106"/>
      <c r="C17" s="115" t="s">
        <v>808</v>
      </c>
      <c r="D17" s="426" t="s">
        <v>809</v>
      </c>
      <c r="E17" s="430">
        <v>504.70108999999997</v>
      </c>
      <c r="F17" s="430">
        <v>381.07113999999996</v>
      </c>
      <c r="G17" s="162"/>
      <c r="H17" s="162"/>
      <c r="I17" s="162"/>
      <c r="J17" s="162"/>
      <c r="K17" s="162"/>
      <c r="L17" s="162"/>
      <c r="M17" s="162"/>
      <c r="N17" s="162"/>
      <c r="O17" s="162"/>
      <c r="P17" s="162"/>
      <c r="Q17" s="162"/>
      <c r="R17" s="162"/>
      <c r="S17" s="162"/>
      <c r="T17" s="162"/>
      <c r="U17" s="162"/>
      <c r="V17" s="162"/>
      <c r="W17" s="162"/>
      <c r="X17" s="162"/>
      <c r="Y17" s="162"/>
      <c r="Z17" s="162"/>
    </row>
    <row r="18" spans="1:26" ht="13.5" customHeight="1" x14ac:dyDescent="0.45">
      <c r="A18" s="618"/>
      <c r="B18" s="106"/>
      <c r="C18" s="115" t="s">
        <v>810</v>
      </c>
      <c r="D18" s="426" t="s">
        <v>811</v>
      </c>
      <c r="E18" s="430">
        <v>509.06449999999995</v>
      </c>
      <c r="F18" s="430">
        <v>407.2516</v>
      </c>
      <c r="G18" s="162"/>
      <c r="H18" s="162"/>
      <c r="I18" s="162"/>
      <c r="J18" s="162"/>
      <c r="K18" s="162"/>
      <c r="L18" s="162"/>
      <c r="M18" s="162"/>
      <c r="N18" s="162"/>
      <c r="O18" s="162"/>
      <c r="P18" s="162"/>
      <c r="Q18" s="162"/>
      <c r="R18" s="162"/>
      <c r="S18" s="162"/>
      <c r="T18" s="162"/>
      <c r="U18" s="162"/>
      <c r="V18" s="162"/>
      <c r="W18" s="162"/>
      <c r="X18" s="162"/>
      <c r="Y18" s="162"/>
      <c r="Z18" s="162"/>
    </row>
    <row r="19" spans="1:26" ht="13.5" customHeight="1" x14ac:dyDescent="0.45">
      <c r="A19" s="618"/>
      <c r="B19" s="106"/>
      <c r="C19" s="115" t="s">
        <v>812</v>
      </c>
      <c r="D19" s="426" t="s">
        <v>813</v>
      </c>
      <c r="E19" s="430">
        <v>1018.1289999999999</v>
      </c>
      <c r="F19" s="430">
        <v>799.95849999999996</v>
      </c>
      <c r="G19" s="162"/>
      <c r="H19" s="162"/>
      <c r="I19" s="162"/>
      <c r="J19" s="162"/>
      <c r="K19" s="162"/>
      <c r="L19" s="162"/>
      <c r="M19" s="162"/>
      <c r="N19" s="162"/>
      <c r="O19" s="162"/>
      <c r="P19" s="162"/>
      <c r="Q19" s="162"/>
      <c r="R19" s="162"/>
      <c r="S19" s="162"/>
      <c r="T19" s="162"/>
      <c r="U19" s="162"/>
      <c r="V19" s="162"/>
      <c r="W19" s="162"/>
      <c r="X19" s="162"/>
      <c r="Y19" s="162"/>
      <c r="Z19" s="162"/>
    </row>
    <row r="20" spans="1:26" ht="13.5" customHeight="1" x14ac:dyDescent="0.45">
      <c r="A20" s="618"/>
      <c r="B20" s="106"/>
      <c r="C20" s="115"/>
      <c r="D20" s="426"/>
      <c r="E20" s="162"/>
      <c r="F20" s="162"/>
      <c r="G20" s="162"/>
      <c r="H20" s="162"/>
      <c r="I20" s="162"/>
      <c r="J20" s="162"/>
      <c r="K20" s="162"/>
      <c r="L20" s="162"/>
      <c r="M20" s="162"/>
      <c r="N20" s="162"/>
      <c r="O20" s="162"/>
      <c r="P20" s="162"/>
      <c r="Q20" s="162"/>
      <c r="R20" s="162"/>
      <c r="S20" s="162"/>
      <c r="T20" s="162"/>
      <c r="U20" s="162"/>
      <c r="V20" s="162"/>
      <c r="W20" s="162"/>
      <c r="X20" s="162"/>
      <c r="Y20" s="162"/>
      <c r="Z20" s="162"/>
    </row>
    <row r="21" spans="1:26" ht="13.5" customHeight="1" x14ac:dyDescent="0.45">
      <c r="A21" s="618"/>
      <c r="B21" s="118"/>
      <c r="C21" s="181"/>
      <c r="D21" s="181"/>
      <c r="E21" s="191"/>
      <c r="F21" s="191"/>
      <c r="G21" s="191"/>
      <c r="H21" s="191"/>
      <c r="I21" s="191"/>
      <c r="J21" s="191"/>
      <c r="K21" s="191"/>
      <c r="L21" s="191"/>
      <c r="M21" s="191"/>
      <c r="N21" s="191"/>
      <c r="O21" s="191"/>
      <c r="P21" s="191"/>
      <c r="Q21" s="191"/>
      <c r="R21" s="191"/>
      <c r="S21" s="191"/>
      <c r="T21" s="191"/>
      <c r="U21" s="191"/>
      <c r="V21" s="191"/>
      <c r="W21" s="191"/>
      <c r="X21" s="191"/>
      <c r="Y21" s="191"/>
      <c r="Z21" s="191"/>
    </row>
    <row r="22" spans="1:26" ht="15.75" customHeight="1" x14ac:dyDescent="0.45">
      <c r="A22" s="1"/>
      <c r="B22" s="1"/>
      <c r="C22" s="1"/>
      <c r="D22" s="55"/>
      <c r="E22" s="1"/>
      <c r="F22" s="1"/>
      <c r="G22" s="1"/>
      <c r="H22" s="1"/>
      <c r="I22" s="1"/>
      <c r="J22" s="1"/>
      <c r="K22" s="1"/>
      <c r="L22" s="1"/>
      <c r="M22" s="1"/>
      <c r="N22" s="1"/>
      <c r="O22" s="1"/>
      <c r="P22" s="1"/>
      <c r="Q22" s="1"/>
      <c r="R22" s="1"/>
      <c r="S22" s="1"/>
      <c r="T22" s="1"/>
      <c r="U22" s="1"/>
      <c r="V22" s="1"/>
      <c r="W22" s="1"/>
      <c r="X22" s="1"/>
      <c r="Y22" s="1"/>
      <c r="Z22" s="1"/>
    </row>
    <row r="23" spans="1:26" ht="15.75" customHeight="1" x14ac:dyDescent="0.45">
      <c r="A23" s="1"/>
      <c r="B23" s="1"/>
      <c r="C23" s="1"/>
      <c r="D23" s="55"/>
      <c r="E23" s="1"/>
      <c r="F23" s="1"/>
      <c r="G23" s="1"/>
      <c r="H23" s="1"/>
      <c r="I23" s="1"/>
      <c r="J23" s="1"/>
      <c r="K23" s="1"/>
      <c r="L23" s="1"/>
      <c r="M23" s="1"/>
      <c r="N23" s="1"/>
      <c r="O23" s="1"/>
      <c r="P23" s="1"/>
      <c r="Q23" s="1"/>
      <c r="R23" s="1"/>
      <c r="S23" s="1"/>
      <c r="T23" s="1"/>
      <c r="U23" s="1"/>
      <c r="V23" s="1"/>
      <c r="W23" s="1"/>
      <c r="X23" s="1"/>
      <c r="Y23" s="1"/>
      <c r="Z23" s="1"/>
    </row>
    <row r="24" spans="1:26" ht="15.75" customHeight="1" x14ac:dyDescent="0.45">
      <c r="A24" s="1"/>
      <c r="B24" s="1"/>
      <c r="C24" s="18" t="s">
        <v>814</v>
      </c>
      <c r="D24" s="55"/>
      <c r="E24" s="1"/>
      <c r="F24" s="1"/>
      <c r="G24" s="1"/>
      <c r="H24" s="1"/>
      <c r="I24" s="1"/>
      <c r="J24" s="1"/>
      <c r="K24" s="1"/>
      <c r="L24" s="1"/>
      <c r="M24" s="1"/>
      <c r="N24" s="1"/>
      <c r="O24" s="1"/>
      <c r="P24" s="1"/>
      <c r="Q24" s="1"/>
      <c r="R24" s="1"/>
      <c r="S24" s="1"/>
      <c r="T24" s="1"/>
      <c r="U24" s="1"/>
      <c r="V24" s="1"/>
      <c r="W24" s="1"/>
      <c r="X24" s="1"/>
      <c r="Y24" s="1"/>
      <c r="Z24" s="1"/>
    </row>
    <row r="25" spans="1:26" ht="15.75" customHeight="1" x14ac:dyDescent="0.45">
      <c r="A25" s="1"/>
      <c r="B25" s="1">
        <v>1</v>
      </c>
      <c r="C25" s="90" t="s">
        <v>815</v>
      </c>
      <c r="D25" s="55"/>
      <c r="E25" s="1"/>
      <c r="F25" s="1"/>
      <c r="G25" s="1"/>
      <c r="H25" s="1"/>
      <c r="I25" s="1"/>
      <c r="J25" s="1"/>
      <c r="K25" s="1"/>
      <c r="L25" s="1"/>
      <c r="M25" s="1"/>
      <c r="N25" s="1"/>
      <c r="O25" s="1"/>
      <c r="P25" s="1"/>
      <c r="Q25" s="1"/>
      <c r="R25" s="1"/>
      <c r="S25" s="1"/>
      <c r="T25" s="1"/>
      <c r="U25" s="1"/>
      <c r="V25" s="1"/>
      <c r="W25" s="1"/>
      <c r="X25" s="1"/>
      <c r="Y25" s="1"/>
      <c r="Z25" s="1"/>
    </row>
    <row r="26" spans="1:26" ht="15.75" customHeight="1" x14ac:dyDescent="0.45">
      <c r="A26" s="1"/>
      <c r="B26" s="1"/>
      <c r="C26" s="90" t="s">
        <v>816</v>
      </c>
      <c r="D26" s="55"/>
      <c r="E26" s="1"/>
      <c r="F26" s="1"/>
      <c r="G26" s="1"/>
      <c r="H26" s="1"/>
      <c r="I26" s="1"/>
      <c r="J26" s="1"/>
      <c r="K26" s="1"/>
      <c r="L26" s="1"/>
      <c r="M26" s="1"/>
      <c r="N26" s="1"/>
      <c r="O26" s="1"/>
      <c r="P26" s="1"/>
      <c r="Q26" s="1"/>
      <c r="R26" s="1"/>
      <c r="S26" s="1"/>
      <c r="T26" s="1"/>
      <c r="U26" s="1"/>
      <c r="V26" s="1"/>
      <c r="W26" s="1"/>
      <c r="X26" s="1"/>
      <c r="Y26" s="1"/>
      <c r="Z26" s="1"/>
    </row>
    <row r="27" spans="1:26" ht="15.75" customHeight="1" x14ac:dyDescent="0.45">
      <c r="A27" s="1"/>
      <c r="B27" s="1"/>
      <c r="C27" s="90" t="s">
        <v>817</v>
      </c>
      <c r="D27" s="55"/>
      <c r="E27" s="1"/>
      <c r="F27" s="1"/>
      <c r="G27" s="1"/>
      <c r="H27" s="1"/>
      <c r="I27" s="1"/>
      <c r="J27" s="1"/>
      <c r="K27" s="1"/>
      <c r="L27" s="1"/>
      <c r="M27" s="1"/>
      <c r="N27" s="1"/>
      <c r="O27" s="1"/>
      <c r="P27" s="1"/>
      <c r="Q27" s="1"/>
      <c r="R27" s="1"/>
      <c r="S27" s="1"/>
      <c r="T27" s="1"/>
      <c r="U27" s="1"/>
      <c r="V27" s="1"/>
      <c r="W27" s="1"/>
      <c r="X27" s="1"/>
      <c r="Y27" s="1"/>
      <c r="Z27" s="1"/>
    </row>
    <row r="28" spans="1:26" ht="15.75" customHeight="1" x14ac:dyDescent="0.45">
      <c r="A28" s="1"/>
      <c r="B28" s="18"/>
      <c r="C28" s="1"/>
      <c r="D28" s="55"/>
      <c r="E28" s="1"/>
      <c r="F28" s="1"/>
      <c r="G28" s="1"/>
      <c r="H28" s="1"/>
      <c r="I28" s="1"/>
      <c r="J28" s="1"/>
      <c r="K28" s="1"/>
      <c r="L28" s="1"/>
      <c r="M28" s="1"/>
      <c r="N28" s="1"/>
      <c r="O28" s="1"/>
      <c r="P28" s="1"/>
      <c r="Q28" s="1"/>
      <c r="R28" s="1"/>
      <c r="S28" s="1"/>
      <c r="T28" s="1"/>
      <c r="U28" s="1"/>
      <c r="V28" s="1"/>
      <c r="W28" s="1"/>
      <c r="X28" s="1"/>
      <c r="Y28" s="1"/>
      <c r="Z28" s="1"/>
    </row>
    <row r="29" spans="1:26" ht="15.75" customHeight="1" x14ac:dyDescent="0.45">
      <c r="A29" s="1"/>
      <c r="B29" s="1"/>
      <c r="C29" s="1"/>
      <c r="D29" s="55"/>
      <c r="E29" s="1"/>
      <c r="F29" s="1"/>
      <c r="G29" s="1"/>
      <c r="H29" s="1"/>
      <c r="I29" s="1"/>
      <c r="J29" s="1"/>
      <c r="K29" s="1"/>
      <c r="L29" s="1"/>
      <c r="M29" s="1"/>
      <c r="N29" s="1"/>
      <c r="O29" s="1"/>
      <c r="P29" s="1"/>
      <c r="Q29" s="1"/>
      <c r="R29" s="1"/>
      <c r="S29" s="1"/>
      <c r="T29" s="1"/>
      <c r="U29" s="1"/>
      <c r="V29" s="1"/>
      <c r="W29" s="1"/>
      <c r="X29" s="1"/>
      <c r="Y29" s="1"/>
      <c r="Z29" s="1"/>
    </row>
    <row r="30" spans="1:26" ht="15.75" customHeight="1" x14ac:dyDescent="0.45">
      <c r="A30" s="1"/>
      <c r="B30" s="1"/>
      <c r="C30" s="1"/>
      <c r="D30" s="55"/>
      <c r="E30" s="1"/>
      <c r="F30" s="1"/>
      <c r="G30" s="1"/>
      <c r="H30" s="1"/>
      <c r="I30" s="1"/>
      <c r="J30" s="1"/>
      <c r="K30" s="1"/>
      <c r="L30" s="1"/>
      <c r="M30" s="1"/>
      <c r="N30" s="1"/>
      <c r="O30" s="1"/>
      <c r="P30" s="1"/>
      <c r="Q30" s="1"/>
      <c r="R30" s="1"/>
      <c r="S30" s="1"/>
      <c r="T30" s="1"/>
      <c r="U30" s="1"/>
      <c r="V30" s="1"/>
      <c r="W30" s="1"/>
      <c r="X30" s="1"/>
      <c r="Y30" s="1"/>
      <c r="Z30" s="1"/>
    </row>
    <row r="31" spans="1:26" ht="15.75" customHeight="1" x14ac:dyDescent="0.45">
      <c r="A31" s="1"/>
      <c r="B31" s="1"/>
      <c r="C31" s="1"/>
      <c r="D31" s="55"/>
      <c r="E31" s="1"/>
      <c r="F31" s="1"/>
      <c r="G31" s="1"/>
      <c r="H31" s="1"/>
      <c r="I31" s="1"/>
      <c r="J31" s="1"/>
      <c r="K31" s="1"/>
      <c r="L31" s="1"/>
      <c r="M31" s="1"/>
      <c r="N31" s="1"/>
      <c r="O31" s="1"/>
      <c r="P31" s="1"/>
      <c r="Q31" s="1"/>
      <c r="R31" s="1"/>
      <c r="S31" s="1"/>
      <c r="T31" s="1"/>
      <c r="U31" s="1"/>
      <c r="V31" s="1"/>
      <c r="W31" s="1"/>
      <c r="X31" s="1"/>
      <c r="Y31" s="1"/>
      <c r="Z31" s="1"/>
    </row>
    <row r="32" spans="1:26" ht="15.75" customHeight="1" x14ac:dyDescent="0.45">
      <c r="A32" s="1"/>
      <c r="B32" s="1"/>
      <c r="C32" s="1"/>
      <c r="D32" s="55"/>
      <c r="E32" s="1"/>
      <c r="F32" s="1"/>
      <c r="G32" s="1"/>
      <c r="H32" s="1"/>
      <c r="I32" s="1"/>
      <c r="J32" s="1"/>
      <c r="K32" s="1"/>
      <c r="L32" s="1"/>
      <c r="M32" s="1"/>
      <c r="N32" s="1"/>
      <c r="O32" s="1"/>
      <c r="P32" s="1"/>
      <c r="Q32" s="1"/>
      <c r="R32" s="1"/>
      <c r="S32" s="1"/>
      <c r="T32" s="1"/>
      <c r="U32" s="1"/>
      <c r="V32" s="1"/>
      <c r="W32" s="1"/>
      <c r="X32" s="1"/>
      <c r="Y32" s="1"/>
      <c r="Z32" s="1"/>
    </row>
    <row r="33" spans="1:26" ht="15.75" customHeight="1" x14ac:dyDescent="0.45">
      <c r="A33" s="1"/>
      <c r="B33" s="1"/>
      <c r="C33" s="1"/>
      <c r="D33" s="55"/>
      <c r="E33" s="1"/>
      <c r="F33" s="1"/>
      <c r="G33" s="1"/>
      <c r="H33" s="1"/>
      <c r="I33" s="1"/>
      <c r="J33" s="1"/>
      <c r="K33" s="1"/>
      <c r="L33" s="1"/>
      <c r="M33" s="1"/>
      <c r="N33" s="1"/>
      <c r="O33" s="1"/>
      <c r="P33" s="1"/>
      <c r="Q33" s="1"/>
      <c r="R33" s="1"/>
      <c r="S33" s="1"/>
      <c r="T33" s="1"/>
      <c r="U33" s="1"/>
      <c r="V33" s="1"/>
      <c r="W33" s="1"/>
      <c r="X33" s="1"/>
      <c r="Y33" s="1"/>
      <c r="Z33" s="1"/>
    </row>
    <row r="34" spans="1:26" ht="15.75" customHeight="1" x14ac:dyDescent="0.45">
      <c r="A34" s="1"/>
      <c r="B34" s="1"/>
      <c r="C34" s="1"/>
      <c r="D34" s="55"/>
      <c r="E34" s="1"/>
      <c r="F34" s="1"/>
      <c r="G34" s="1"/>
      <c r="H34" s="1"/>
      <c r="I34" s="1"/>
      <c r="J34" s="1"/>
      <c r="K34" s="1"/>
      <c r="L34" s="1"/>
      <c r="M34" s="1"/>
      <c r="N34" s="1"/>
      <c r="O34" s="1"/>
      <c r="P34" s="1"/>
      <c r="Q34" s="1"/>
      <c r="R34" s="1"/>
      <c r="S34" s="1"/>
      <c r="T34" s="1"/>
      <c r="U34" s="1"/>
      <c r="V34" s="1"/>
      <c r="W34" s="1"/>
      <c r="X34" s="1"/>
      <c r="Y34" s="1"/>
      <c r="Z34" s="1"/>
    </row>
    <row r="35" spans="1:26" ht="15.75" customHeight="1" x14ac:dyDescent="0.45">
      <c r="A35" s="1"/>
      <c r="B35" s="1"/>
      <c r="C35" s="1"/>
      <c r="D35" s="55"/>
      <c r="E35" s="1"/>
      <c r="F35" s="1"/>
      <c r="G35" s="1"/>
      <c r="H35" s="1"/>
      <c r="I35" s="1"/>
      <c r="J35" s="1"/>
      <c r="K35" s="1"/>
      <c r="L35" s="1"/>
      <c r="M35" s="1"/>
      <c r="N35" s="1"/>
      <c r="O35" s="1"/>
      <c r="P35" s="1"/>
      <c r="Q35" s="1"/>
      <c r="R35" s="1"/>
      <c r="S35" s="1"/>
      <c r="T35" s="1"/>
      <c r="U35" s="1"/>
      <c r="V35" s="1"/>
      <c r="W35" s="1"/>
      <c r="X35" s="1"/>
      <c r="Y35" s="1"/>
      <c r="Z35" s="1"/>
    </row>
    <row r="36" spans="1:26" ht="15.75" customHeight="1" x14ac:dyDescent="0.45">
      <c r="A36" s="1"/>
      <c r="B36" s="1"/>
      <c r="C36" s="1"/>
      <c r="D36" s="55"/>
      <c r="E36" s="1"/>
      <c r="F36" s="1"/>
      <c r="G36" s="1"/>
      <c r="H36" s="1"/>
      <c r="I36" s="1"/>
      <c r="J36" s="1"/>
      <c r="K36" s="1"/>
      <c r="L36" s="1"/>
      <c r="M36" s="1"/>
      <c r="N36" s="1"/>
      <c r="O36" s="1"/>
      <c r="P36" s="1"/>
      <c r="Q36" s="1"/>
      <c r="R36" s="1"/>
      <c r="S36" s="1"/>
      <c r="T36" s="1"/>
      <c r="U36" s="1"/>
      <c r="V36" s="1"/>
      <c r="W36" s="1"/>
      <c r="X36" s="1"/>
      <c r="Y36" s="1"/>
      <c r="Z36" s="1"/>
    </row>
    <row r="37" spans="1:26" ht="15.75" customHeight="1" x14ac:dyDescent="0.45">
      <c r="A37" s="1"/>
      <c r="B37" s="1"/>
      <c r="C37" s="1"/>
      <c r="D37" s="55"/>
      <c r="E37" s="1"/>
      <c r="F37" s="1"/>
      <c r="G37" s="1"/>
      <c r="H37" s="1"/>
      <c r="I37" s="1"/>
      <c r="J37" s="1"/>
      <c r="K37" s="1"/>
      <c r="L37" s="1"/>
      <c r="M37" s="1"/>
      <c r="N37" s="1"/>
      <c r="O37" s="1"/>
      <c r="P37" s="1"/>
      <c r="Q37" s="1"/>
      <c r="R37" s="1"/>
      <c r="S37" s="1"/>
      <c r="T37" s="1"/>
      <c r="U37" s="1"/>
      <c r="V37" s="1"/>
      <c r="W37" s="1"/>
      <c r="X37" s="1"/>
      <c r="Y37" s="1"/>
      <c r="Z37" s="1"/>
    </row>
    <row r="38" spans="1:26" ht="15.75" customHeight="1" x14ac:dyDescent="0.45">
      <c r="A38" s="1"/>
      <c r="B38" s="1"/>
      <c r="C38" s="1"/>
      <c r="D38" s="55"/>
      <c r="E38" s="1"/>
      <c r="F38" s="1"/>
      <c r="G38" s="1"/>
      <c r="H38" s="1"/>
      <c r="I38" s="1"/>
      <c r="J38" s="1"/>
      <c r="K38" s="1"/>
      <c r="L38" s="1"/>
      <c r="M38" s="1"/>
      <c r="N38" s="1"/>
      <c r="O38" s="1"/>
      <c r="P38" s="1"/>
      <c r="Q38" s="1"/>
      <c r="R38" s="1"/>
      <c r="S38" s="1"/>
      <c r="T38" s="1"/>
      <c r="U38" s="1"/>
      <c r="V38" s="1"/>
      <c r="W38" s="1"/>
      <c r="X38" s="1"/>
      <c r="Y38" s="1"/>
      <c r="Z38" s="1"/>
    </row>
    <row r="39" spans="1:26" ht="15.75" customHeight="1" x14ac:dyDescent="0.45">
      <c r="A39" s="1"/>
      <c r="B39" s="1"/>
      <c r="C39" s="1"/>
      <c r="D39" s="55"/>
      <c r="E39" s="1"/>
      <c r="F39" s="1"/>
      <c r="G39" s="1"/>
      <c r="H39" s="1"/>
      <c r="I39" s="1"/>
      <c r="J39" s="1"/>
      <c r="K39" s="1"/>
      <c r="L39" s="1"/>
      <c r="M39" s="1"/>
      <c r="N39" s="1"/>
      <c r="O39" s="1"/>
      <c r="P39" s="1"/>
      <c r="Q39" s="1"/>
      <c r="R39" s="1"/>
      <c r="S39" s="1"/>
      <c r="T39" s="1"/>
      <c r="U39" s="1"/>
      <c r="V39" s="1"/>
      <c r="W39" s="1"/>
      <c r="X39" s="1"/>
      <c r="Y39" s="1"/>
      <c r="Z39" s="1"/>
    </row>
    <row r="40" spans="1:26" ht="15.75" customHeight="1" x14ac:dyDescent="0.45">
      <c r="A40" s="1"/>
      <c r="B40" s="1"/>
      <c r="C40" s="1"/>
      <c r="D40" s="55"/>
      <c r="E40" s="1"/>
      <c r="F40" s="1"/>
      <c r="G40" s="1"/>
      <c r="H40" s="1"/>
      <c r="I40" s="1"/>
      <c r="J40" s="1"/>
      <c r="K40" s="1"/>
      <c r="L40" s="1"/>
      <c r="M40" s="1"/>
      <c r="N40" s="1"/>
      <c r="O40" s="1"/>
      <c r="P40" s="1"/>
      <c r="Q40" s="1"/>
      <c r="R40" s="1"/>
      <c r="S40" s="1"/>
      <c r="T40" s="1"/>
      <c r="U40" s="1"/>
      <c r="V40" s="1"/>
      <c r="W40" s="1"/>
      <c r="X40" s="1"/>
      <c r="Y40" s="1"/>
      <c r="Z40" s="1"/>
    </row>
    <row r="41" spans="1:26" ht="15.75" customHeight="1" x14ac:dyDescent="0.45">
      <c r="A41" s="1"/>
      <c r="B41" s="1"/>
      <c r="C41" s="1"/>
      <c r="D41" s="55"/>
      <c r="E41" s="1"/>
      <c r="F41" s="1"/>
      <c r="G41" s="1"/>
      <c r="H41" s="1"/>
      <c r="I41" s="1"/>
      <c r="J41" s="1"/>
      <c r="K41" s="1"/>
      <c r="L41" s="1"/>
      <c r="M41" s="1"/>
      <c r="N41" s="1"/>
      <c r="O41" s="1"/>
      <c r="P41" s="1"/>
      <c r="Q41" s="1"/>
      <c r="R41" s="1"/>
      <c r="S41" s="1"/>
      <c r="T41" s="1"/>
      <c r="U41" s="1"/>
      <c r="V41" s="1"/>
      <c r="W41" s="1"/>
      <c r="X41" s="1"/>
      <c r="Y41" s="1"/>
      <c r="Z41" s="1"/>
    </row>
    <row r="42" spans="1:26" ht="15.75" customHeight="1" x14ac:dyDescent="0.45">
      <c r="A42" s="1"/>
      <c r="B42" s="1"/>
      <c r="C42" s="1"/>
      <c r="D42" s="55"/>
      <c r="E42" s="1"/>
      <c r="F42" s="1"/>
      <c r="G42" s="1"/>
      <c r="H42" s="1"/>
      <c r="I42" s="1"/>
      <c r="J42" s="1"/>
      <c r="K42" s="1"/>
      <c r="L42" s="1"/>
      <c r="M42" s="1"/>
      <c r="N42" s="1"/>
      <c r="O42" s="1"/>
      <c r="P42" s="1"/>
      <c r="Q42" s="1"/>
      <c r="R42" s="1"/>
      <c r="S42" s="1"/>
      <c r="T42" s="1"/>
      <c r="U42" s="1"/>
      <c r="V42" s="1"/>
      <c r="W42" s="1"/>
      <c r="X42" s="1"/>
      <c r="Y42" s="1"/>
      <c r="Z42" s="1"/>
    </row>
    <row r="43" spans="1:26" ht="15.75" customHeight="1" x14ac:dyDescent="0.45">
      <c r="A43" s="1"/>
      <c r="B43" s="1"/>
      <c r="C43" s="1"/>
      <c r="D43" s="55"/>
      <c r="E43" s="1"/>
      <c r="F43" s="1"/>
      <c r="G43" s="1"/>
      <c r="H43" s="1"/>
      <c r="I43" s="1"/>
      <c r="J43" s="1"/>
      <c r="K43" s="1"/>
      <c r="L43" s="1"/>
      <c r="M43" s="1"/>
      <c r="N43" s="1"/>
      <c r="O43" s="1"/>
      <c r="P43" s="1"/>
      <c r="Q43" s="1"/>
      <c r="R43" s="1"/>
      <c r="S43" s="1"/>
      <c r="T43" s="1"/>
      <c r="U43" s="1"/>
      <c r="V43" s="1"/>
      <c r="W43" s="1"/>
      <c r="X43" s="1"/>
      <c r="Y43" s="1"/>
      <c r="Z43" s="1"/>
    </row>
    <row r="44" spans="1:26" ht="15.75" customHeight="1" x14ac:dyDescent="0.45">
      <c r="A44" s="1"/>
      <c r="B44" s="1"/>
      <c r="C44" s="1"/>
      <c r="D44" s="55"/>
      <c r="E44" s="1"/>
      <c r="F44" s="1"/>
      <c r="G44" s="1"/>
      <c r="H44" s="1"/>
      <c r="I44" s="1"/>
      <c r="J44" s="1"/>
      <c r="K44" s="1"/>
      <c r="L44" s="1"/>
      <c r="M44" s="1"/>
      <c r="N44" s="1"/>
      <c r="O44" s="1"/>
      <c r="P44" s="1"/>
      <c r="Q44" s="1"/>
      <c r="R44" s="1"/>
      <c r="S44" s="1"/>
      <c r="T44" s="1"/>
      <c r="U44" s="1"/>
      <c r="V44" s="1"/>
      <c r="W44" s="1"/>
      <c r="X44" s="1"/>
      <c r="Y44" s="1"/>
      <c r="Z44" s="1"/>
    </row>
    <row r="45" spans="1:26" ht="15.75" customHeight="1" x14ac:dyDescent="0.45">
      <c r="A45" s="1"/>
      <c r="B45" s="1"/>
      <c r="C45" s="1"/>
      <c r="D45" s="55"/>
      <c r="E45" s="1"/>
      <c r="F45" s="1"/>
      <c r="G45" s="1"/>
      <c r="H45" s="1"/>
      <c r="I45" s="1"/>
      <c r="J45" s="1"/>
      <c r="K45" s="1"/>
      <c r="L45" s="1"/>
      <c r="M45" s="1"/>
      <c r="N45" s="1"/>
      <c r="O45" s="1"/>
      <c r="P45" s="1"/>
      <c r="Q45" s="1"/>
      <c r="R45" s="1"/>
      <c r="S45" s="1"/>
      <c r="T45" s="1"/>
      <c r="U45" s="1"/>
      <c r="V45" s="1"/>
      <c r="W45" s="1"/>
      <c r="X45" s="1"/>
      <c r="Y45" s="1"/>
      <c r="Z45" s="1"/>
    </row>
    <row r="46" spans="1:26" ht="15.75" customHeight="1" x14ac:dyDescent="0.45">
      <c r="A46" s="1"/>
      <c r="B46" s="1"/>
      <c r="C46" s="1"/>
      <c r="D46" s="55"/>
      <c r="E46" s="1"/>
      <c r="F46" s="1"/>
      <c r="G46" s="1"/>
      <c r="H46" s="1"/>
      <c r="I46" s="1"/>
      <c r="J46" s="1"/>
      <c r="K46" s="1"/>
      <c r="L46" s="1"/>
      <c r="M46" s="1"/>
      <c r="N46" s="1"/>
      <c r="O46" s="1"/>
      <c r="P46" s="1"/>
      <c r="Q46" s="1"/>
      <c r="R46" s="1"/>
      <c r="S46" s="1"/>
      <c r="T46" s="1"/>
      <c r="U46" s="1"/>
      <c r="V46" s="1"/>
      <c r="W46" s="1"/>
      <c r="X46" s="1"/>
      <c r="Y46" s="1"/>
      <c r="Z46" s="1"/>
    </row>
    <row r="47" spans="1:26" ht="15.75" customHeight="1" x14ac:dyDescent="0.45">
      <c r="A47" s="1"/>
      <c r="B47" s="1"/>
      <c r="C47" s="1"/>
      <c r="D47" s="55"/>
      <c r="E47" s="1"/>
      <c r="F47" s="1"/>
      <c r="G47" s="1"/>
      <c r="H47" s="1"/>
      <c r="I47" s="1"/>
      <c r="J47" s="1"/>
      <c r="K47" s="1"/>
      <c r="L47" s="1"/>
      <c r="M47" s="1"/>
      <c r="N47" s="1"/>
      <c r="O47" s="1"/>
      <c r="P47" s="1"/>
      <c r="Q47" s="1"/>
      <c r="R47" s="1"/>
      <c r="S47" s="1"/>
      <c r="T47" s="1"/>
      <c r="U47" s="1"/>
      <c r="V47" s="1"/>
      <c r="W47" s="1"/>
      <c r="X47" s="1"/>
      <c r="Y47" s="1"/>
      <c r="Z47" s="1"/>
    </row>
    <row r="48" spans="1:26" ht="15.75" customHeight="1" x14ac:dyDescent="0.45">
      <c r="A48" s="1"/>
      <c r="B48" s="1"/>
      <c r="C48" s="1"/>
      <c r="D48" s="55"/>
      <c r="E48" s="1"/>
      <c r="F48" s="1"/>
      <c r="G48" s="1"/>
      <c r="H48" s="1"/>
      <c r="I48" s="1"/>
      <c r="J48" s="1"/>
      <c r="K48" s="1"/>
      <c r="L48" s="1"/>
      <c r="M48" s="1"/>
      <c r="N48" s="1"/>
      <c r="O48" s="1"/>
      <c r="P48" s="1"/>
      <c r="Q48" s="1"/>
      <c r="R48" s="1"/>
      <c r="S48" s="1"/>
      <c r="T48" s="1"/>
      <c r="U48" s="1"/>
      <c r="V48" s="1"/>
      <c r="W48" s="1"/>
      <c r="X48" s="1"/>
      <c r="Y48" s="1"/>
      <c r="Z48" s="1"/>
    </row>
    <row r="49" spans="1:26" ht="15.75" customHeight="1" x14ac:dyDescent="0.45">
      <c r="A49" s="1"/>
      <c r="B49" s="1"/>
      <c r="C49" s="1"/>
      <c r="D49" s="55"/>
      <c r="E49" s="1"/>
      <c r="F49" s="1"/>
      <c r="G49" s="1"/>
      <c r="H49" s="1"/>
      <c r="I49" s="1"/>
      <c r="J49" s="1"/>
      <c r="K49" s="1"/>
      <c r="L49" s="1"/>
      <c r="M49" s="1"/>
      <c r="N49" s="1"/>
      <c r="O49" s="1"/>
      <c r="P49" s="1"/>
      <c r="Q49" s="1"/>
      <c r="R49" s="1"/>
      <c r="S49" s="1"/>
      <c r="T49" s="1"/>
      <c r="U49" s="1"/>
      <c r="V49" s="1"/>
      <c r="W49" s="1"/>
      <c r="X49" s="1"/>
      <c r="Y49" s="1"/>
      <c r="Z49" s="1"/>
    </row>
    <row r="50" spans="1:26" ht="15.75" customHeight="1" x14ac:dyDescent="0.45">
      <c r="A50" s="1"/>
      <c r="B50" s="1"/>
      <c r="C50" s="1"/>
      <c r="D50" s="55"/>
      <c r="E50" s="1"/>
      <c r="F50" s="1"/>
      <c r="G50" s="1"/>
      <c r="H50" s="1"/>
      <c r="I50" s="1"/>
      <c r="J50" s="1"/>
      <c r="K50" s="1"/>
      <c r="L50" s="1"/>
      <c r="M50" s="1"/>
      <c r="N50" s="1"/>
      <c r="O50" s="1"/>
      <c r="P50" s="1"/>
      <c r="Q50" s="1"/>
      <c r="R50" s="1"/>
      <c r="S50" s="1"/>
      <c r="T50" s="1"/>
      <c r="U50" s="1"/>
      <c r="V50" s="1"/>
      <c r="W50" s="1"/>
      <c r="X50" s="1"/>
      <c r="Y50" s="1"/>
      <c r="Z50" s="1"/>
    </row>
    <row r="51" spans="1:26" ht="15.75" customHeight="1" x14ac:dyDescent="0.45">
      <c r="A51" s="1"/>
      <c r="B51" s="1"/>
      <c r="C51" s="1"/>
      <c r="D51" s="55"/>
      <c r="E51" s="1"/>
      <c r="F51" s="1"/>
      <c r="G51" s="1"/>
      <c r="H51" s="1"/>
      <c r="I51" s="1"/>
      <c r="J51" s="1"/>
      <c r="K51" s="1"/>
      <c r="L51" s="1"/>
      <c r="M51" s="1"/>
      <c r="N51" s="1"/>
      <c r="O51" s="1"/>
      <c r="P51" s="1"/>
      <c r="Q51" s="1"/>
      <c r="R51" s="1"/>
      <c r="S51" s="1"/>
      <c r="T51" s="1"/>
      <c r="U51" s="1"/>
      <c r="V51" s="1"/>
      <c r="W51" s="1"/>
      <c r="X51" s="1"/>
      <c r="Y51" s="1"/>
      <c r="Z51" s="1"/>
    </row>
    <row r="52" spans="1:26" ht="15.75" customHeight="1" x14ac:dyDescent="0.45">
      <c r="A52" s="1"/>
      <c r="B52" s="1"/>
      <c r="C52" s="1"/>
      <c r="D52" s="55"/>
      <c r="E52" s="1"/>
      <c r="F52" s="1"/>
      <c r="G52" s="1"/>
      <c r="H52" s="1"/>
      <c r="I52" s="1"/>
      <c r="J52" s="1"/>
      <c r="K52" s="1"/>
      <c r="L52" s="1"/>
      <c r="M52" s="1"/>
      <c r="N52" s="1"/>
      <c r="O52" s="1"/>
      <c r="P52" s="1"/>
      <c r="Q52" s="1"/>
      <c r="R52" s="1"/>
      <c r="S52" s="1"/>
      <c r="T52" s="1"/>
      <c r="U52" s="1"/>
      <c r="V52" s="1"/>
      <c r="W52" s="1"/>
      <c r="X52" s="1"/>
      <c r="Y52" s="1"/>
      <c r="Z52" s="1"/>
    </row>
    <row r="53" spans="1:26" ht="15.75" customHeight="1" x14ac:dyDescent="0.45">
      <c r="A53" s="1"/>
      <c r="B53" s="1"/>
      <c r="C53" s="1"/>
      <c r="D53" s="55"/>
      <c r="E53" s="1"/>
      <c r="F53" s="1"/>
      <c r="G53" s="1"/>
      <c r="H53" s="1"/>
      <c r="I53" s="1"/>
      <c r="J53" s="1"/>
      <c r="K53" s="1"/>
      <c r="L53" s="1"/>
      <c r="M53" s="1"/>
      <c r="N53" s="1"/>
      <c r="O53" s="1"/>
      <c r="P53" s="1"/>
      <c r="Q53" s="1"/>
      <c r="R53" s="1"/>
      <c r="S53" s="1"/>
      <c r="T53" s="1"/>
      <c r="U53" s="1"/>
      <c r="V53" s="1"/>
      <c r="W53" s="1"/>
      <c r="X53" s="1"/>
      <c r="Y53" s="1"/>
      <c r="Z53" s="1"/>
    </row>
    <row r="54" spans="1:26" ht="15.75" customHeight="1" x14ac:dyDescent="0.45">
      <c r="A54" s="1"/>
      <c r="B54" s="1"/>
      <c r="C54" s="1"/>
      <c r="D54" s="55"/>
      <c r="E54" s="1"/>
      <c r="F54" s="1"/>
      <c r="G54" s="1"/>
      <c r="H54" s="1"/>
      <c r="I54" s="1"/>
      <c r="J54" s="1"/>
      <c r="K54" s="1"/>
      <c r="L54" s="1"/>
      <c r="M54" s="1"/>
      <c r="N54" s="1"/>
      <c r="O54" s="1"/>
      <c r="P54" s="1"/>
      <c r="Q54" s="1"/>
      <c r="R54" s="1"/>
      <c r="S54" s="1"/>
      <c r="T54" s="1"/>
      <c r="U54" s="1"/>
      <c r="V54" s="1"/>
      <c r="W54" s="1"/>
      <c r="X54" s="1"/>
      <c r="Y54" s="1"/>
      <c r="Z54" s="1"/>
    </row>
    <row r="55" spans="1:26" ht="15.75" customHeight="1" x14ac:dyDescent="0.45">
      <c r="A55" s="1"/>
      <c r="B55" s="1"/>
      <c r="C55" s="1"/>
      <c r="D55" s="55"/>
      <c r="E55" s="1"/>
      <c r="F55" s="1"/>
      <c r="G55" s="1"/>
      <c r="H55" s="1"/>
      <c r="I55" s="1"/>
      <c r="J55" s="1"/>
      <c r="K55" s="1"/>
      <c r="L55" s="1"/>
      <c r="M55" s="1"/>
      <c r="N55" s="1"/>
      <c r="O55" s="1"/>
      <c r="P55" s="1"/>
      <c r="Q55" s="1"/>
      <c r="R55" s="1"/>
      <c r="S55" s="1"/>
      <c r="T55" s="1"/>
      <c r="U55" s="1"/>
      <c r="V55" s="1"/>
      <c r="W55" s="1"/>
      <c r="X55" s="1"/>
      <c r="Y55" s="1"/>
      <c r="Z55" s="1"/>
    </row>
    <row r="56" spans="1:26" ht="15.75" customHeight="1" x14ac:dyDescent="0.45">
      <c r="A56" s="1"/>
      <c r="B56" s="1"/>
      <c r="C56" s="1"/>
      <c r="D56" s="55"/>
      <c r="E56" s="1"/>
      <c r="F56" s="1"/>
      <c r="G56" s="1"/>
      <c r="H56" s="1"/>
      <c r="I56" s="1"/>
      <c r="J56" s="1"/>
      <c r="K56" s="1"/>
      <c r="L56" s="1"/>
      <c r="M56" s="1"/>
      <c r="N56" s="1"/>
      <c r="O56" s="1"/>
      <c r="P56" s="1"/>
      <c r="Q56" s="1"/>
      <c r="R56" s="1"/>
      <c r="S56" s="1"/>
      <c r="T56" s="1"/>
      <c r="U56" s="1"/>
      <c r="V56" s="1"/>
      <c r="W56" s="1"/>
      <c r="X56" s="1"/>
      <c r="Y56" s="1"/>
      <c r="Z56" s="1"/>
    </row>
    <row r="57" spans="1:26" ht="15.75" customHeight="1" x14ac:dyDescent="0.45">
      <c r="A57" s="1"/>
      <c r="B57" s="1"/>
      <c r="C57" s="1"/>
      <c r="D57" s="55"/>
      <c r="E57" s="1"/>
      <c r="F57" s="1"/>
      <c r="G57" s="1"/>
      <c r="H57" s="1"/>
      <c r="I57" s="1"/>
      <c r="J57" s="1"/>
      <c r="K57" s="1"/>
      <c r="L57" s="1"/>
      <c r="M57" s="1"/>
      <c r="N57" s="1"/>
      <c r="O57" s="1"/>
      <c r="P57" s="1"/>
      <c r="Q57" s="1"/>
      <c r="R57" s="1"/>
      <c r="S57" s="1"/>
      <c r="T57" s="1"/>
      <c r="U57" s="1"/>
      <c r="V57" s="1"/>
      <c r="W57" s="1"/>
      <c r="X57" s="1"/>
      <c r="Y57" s="1"/>
      <c r="Z57" s="1"/>
    </row>
    <row r="58" spans="1:26" ht="15.75" customHeight="1" x14ac:dyDescent="0.45">
      <c r="A58" s="1"/>
      <c r="B58" s="1"/>
      <c r="C58" s="1"/>
      <c r="D58" s="55"/>
      <c r="E58" s="1"/>
      <c r="F58" s="1"/>
      <c r="G58" s="1"/>
      <c r="H58" s="1"/>
      <c r="I58" s="1"/>
      <c r="J58" s="1"/>
      <c r="K58" s="1"/>
      <c r="L58" s="1"/>
      <c r="M58" s="1"/>
      <c r="N58" s="1"/>
      <c r="O58" s="1"/>
      <c r="P58" s="1"/>
      <c r="Q58" s="1"/>
      <c r="R58" s="1"/>
      <c r="S58" s="1"/>
      <c r="T58" s="1"/>
      <c r="U58" s="1"/>
      <c r="V58" s="1"/>
      <c r="W58" s="1"/>
      <c r="X58" s="1"/>
      <c r="Y58" s="1"/>
      <c r="Z58" s="1"/>
    </row>
    <row r="59" spans="1:26" ht="15.75" customHeight="1" x14ac:dyDescent="0.45">
      <c r="A59" s="1"/>
      <c r="B59" s="1"/>
      <c r="C59" s="1"/>
      <c r="D59" s="55"/>
      <c r="E59" s="1"/>
      <c r="F59" s="1"/>
      <c r="G59" s="1"/>
      <c r="H59" s="1"/>
      <c r="I59" s="1"/>
      <c r="J59" s="1"/>
      <c r="K59" s="1"/>
      <c r="L59" s="1"/>
      <c r="M59" s="1"/>
      <c r="N59" s="1"/>
      <c r="O59" s="1"/>
      <c r="P59" s="1"/>
      <c r="Q59" s="1"/>
      <c r="R59" s="1"/>
      <c r="S59" s="1"/>
      <c r="T59" s="1"/>
      <c r="U59" s="1"/>
      <c r="V59" s="1"/>
      <c r="W59" s="1"/>
      <c r="X59" s="1"/>
      <c r="Y59" s="1"/>
      <c r="Z59" s="1"/>
    </row>
    <row r="60" spans="1:26" ht="15.75" customHeight="1" x14ac:dyDescent="0.45">
      <c r="A60" s="1"/>
      <c r="B60" s="1"/>
      <c r="C60" s="1"/>
      <c r="D60" s="55"/>
      <c r="E60" s="1"/>
      <c r="F60" s="1"/>
      <c r="G60" s="1"/>
      <c r="H60" s="1"/>
      <c r="I60" s="1"/>
      <c r="J60" s="1"/>
      <c r="K60" s="1"/>
      <c r="L60" s="1"/>
      <c r="M60" s="1"/>
      <c r="N60" s="1"/>
      <c r="O60" s="1"/>
      <c r="P60" s="1"/>
      <c r="Q60" s="1"/>
      <c r="R60" s="1"/>
      <c r="S60" s="1"/>
      <c r="T60" s="1"/>
      <c r="U60" s="1"/>
      <c r="V60" s="1"/>
      <c r="W60" s="1"/>
      <c r="X60" s="1"/>
      <c r="Y60" s="1"/>
      <c r="Z60" s="1"/>
    </row>
    <row r="61" spans="1:26" ht="15.75" customHeight="1" x14ac:dyDescent="0.45">
      <c r="A61" s="1"/>
      <c r="B61" s="1"/>
      <c r="C61" s="1"/>
      <c r="D61" s="55"/>
      <c r="E61" s="1"/>
      <c r="F61" s="1"/>
      <c r="G61" s="1"/>
      <c r="H61" s="1"/>
      <c r="I61" s="1"/>
      <c r="J61" s="1"/>
      <c r="K61" s="1"/>
      <c r="L61" s="1"/>
      <c r="M61" s="1"/>
      <c r="N61" s="1"/>
      <c r="O61" s="1"/>
      <c r="P61" s="1"/>
      <c r="Q61" s="1"/>
      <c r="R61" s="1"/>
      <c r="S61" s="1"/>
      <c r="T61" s="1"/>
      <c r="U61" s="1"/>
      <c r="V61" s="1"/>
      <c r="W61" s="1"/>
      <c r="X61" s="1"/>
      <c r="Y61" s="1"/>
      <c r="Z61" s="1"/>
    </row>
    <row r="62" spans="1:26" ht="15.75" customHeight="1" x14ac:dyDescent="0.45">
      <c r="A62" s="1"/>
      <c r="B62" s="1"/>
      <c r="C62" s="1"/>
      <c r="D62" s="55"/>
      <c r="E62" s="1"/>
      <c r="F62" s="1"/>
      <c r="G62" s="1"/>
      <c r="H62" s="1"/>
      <c r="I62" s="1"/>
      <c r="J62" s="1"/>
      <c r="K62" s="1"/>
      <c r="L62" s="1"/>
      <c r="M62" s="1"/>
      <c r="N62" s="1"/>
      <c r="O62" s="1"/>
      <c r="P62" s="1"/>
      <c r="Q62" s="1"/>
      <c r="R62" s="1"/>
      <c r="S62" s="1"/>
      <c r="T62" s="1"/>
      <c r="U62" s="1"/>
      <c r="V62" s="1"/>
      <c r="W62" s="1"/>
      <c r="X62" s="1"/>
      <c r="Y62" s="1"/>
      <c r="Z62" s="1"/>
    </row>
    <row r="63" spans="1:26" ht="15.75" customHeight="1" x14ac:dyDescent="0.45">
      <c r="A63" s="1"/>
      <c r="B63" s="1"/>
      <c r="C63" s="1"/>
      <c r="D63" s="55"/>
      <c r="E63" s="1"/>
      <c r="F63" s="1"/>
      <c r="G63" s="1"/>
      <c r="H63" s="1"/>
      <c r="I63" s="1"/>
      <c r="J63" s="1"/>
      <c r="K63" s="1"/>
      <c r="L63" s="1"/>
      <c r="M63" s="1"/>
      <c r="N63" s="1"/>
      <c r="O63" s="1"/>
      <c r="P63" s="1"/>
      <c r="Q63" s="1"/>
      <c r="R63" s="1"/>
      <c r="S63" s="1"/>
      <c r="T63" s="1"/>
      <c r="U63" s="1"/>
      <c r="V63" s="1"/>
      <c r="W63" s="1"/>
      <c r="X63" s="1"/>
      <c r="Y63" s="1"/>
      <c r="Z63" s="1"/>
    </row>
    <row r="64" spans="1:26" ht="15.75" customHeight="1" x14ac:dyDescent="0.45">
      <c r="A64" s="1"/>
      <c r="B64" s="1"/>
      <c r="C64" s="1"/>
      <c r="D64" s="55"/>
      <c r="E64" s="1"/>
      <c r="F64" s="1"/>
      <c r="G64" s="1"/>
      <c r="H64" s="1"/>
      <c r="I64" s="1"/>
      <c r="J64" s="1"/>
      <c r="K64" s="1"/>
      <c r="L64" s="1"/>
      <c r="M64" s="1"/>
      <c r="N64" s="1"/>
      <c r="O64" s="1"/>
      <c r="P64" s="1"/>
      <c r="Q64" s="1"/>
      <c r="R64" s="1"/>
      <c r="S64" s="1"/>
      <c r="T64" s="1"/>
      <c r="U64" s="1"/>
      <c r="V64" s="1"/>
      <c r="W64" s="1"/>
      <c r="X64" s="1"/>
      <c r="Y64" s="1"/>
      <c r="Z64" s="1"/>
    </row>
    <row r="65" spans="1:26" ht="15.75" customHeight="1" x14ac:dyDescent="0.45">
      <c r="A65" s="1"/>
      <c r="B65" s="1"/>
      <c r="C65" s="1"/>
      <c r="D65" s="55"/>
      <c r="E65" s="1"/>
      <c r="F65" s="1"/>
      <c r="G65" s="1"/>
      <c r="H65" s="1"/>
      <c r="I65" s="1"/>
      <c r="J65" s="1"/>
      <c r="K65" s="1"/>
      <c r="L65" s="1"/>
      <c r="M65" s="1"/>
      <c r="N65" s="1"/>
      <c r="O65" s="1"/>
      <c r="P65" s="1"/>
      <c r="Q65" s="1"/>
      <c r="R65" s="1"/>
      <c r="S65" s="1"/>
      <c r="T65" s="1"/>
      <c r="U65" s="1"/>
      <c r="V65" s="1"/>
      <c r="W65" s="1"/>
      <c r="X65" s="1"/>
      <c r="Y65" s="1"/>
      <c r="Z65" s="1"/>
    </row>
    <row r="66" spans="1:26" ht="15.75" customHeight="1" x14ac:dyDescent="0.45">
      <c r="A66" s="1"/>
      <c r="B66" s="1"/>
      <c r="C66" s="1"/>
      <c r="D66" s="55"/>
      <c r="E66" s="1"/>
      <c r="F66" s="1"/>
      <c r="G66" s="1"/>
      <c r="H66" s="1"/>
      <c r="I66" s="1"/>
      <c r="J66" s="1"/>
      <c r="K66" s="1"/>
      <c r="L66" s="1"/>
      <c r="M66" s="1"/>
      <c r="N66" s="1"/>
      <c r="O66" s="1"/>
      <c r="P66" s="1"/>
      <c r="Q66" s="1"/>
      <c r="R66" s="1"/>
      <c r="S66" s="1"/>
      <c r="T66" s="1"/>
      <c r="U66" s="1"/>
      <c r="V66" s="1"/>
      <c r="W66" s="1"/>
      <c r="X66" s="1"/>
      <c r="Y66" s="1"/>
      <c r="Z66" s="1"/>
    </row>
    <row r="67" spans="1:26" ht="15.75" customHeight="1" x14ac:dyDescent="0.45">
      <c r="A67" s="1"/>
      <c r="B67" s="1"/>
      <c r="C67" s="1"/>
      <c r="D67" s="55"/>
      <c r="E67" s="1"/>
      <c r="F67" s="1"/>
      <c r="G67" s="1"/>
      <c r="H67" s="1"/>
      <c r="I67" s="1"/>
      <c r="J67" s="1"/>
      <c r="K67" s="1"/>
      <c r="L67" s="1"/>
      <c r="M67" s="1"/>
      <c r="N67" s="1"/>
      <c r="O67" s="1"/>
      <c r="P67" s="1"/>
      <c r="Q67" s="1"/>
      <c r="R67" s="1"/>
      <c r="S67" s="1"/>
      <c r="T67" s="1"/>
      <c r="U67" s="1"/>
      <c r="V67" s="1"/>
      <c r="W67" s="1"/>
      <c r="X67" s="1"/>
      <c r="Y67" s="1"/>
      <c r="Z67" s="1"/>
    </row>
    <row r="68" spans="1:26" ht="15.75" customHeight="1" x14ac:dyDescent="0.45">
      <c r="A68" s="1"/>
      <c r="B68" s="1"/>
      <c r="C68" s="1"/>
      <c r="D68" s="55"/>
      <c r="E68" s="1"/>
      <c r="F68" s="1"/>
      <c r="G68" s="1"/>
      <c r="H68" s="1"/>
      <c r="I68" s="1"/>
      <c r="J68" s="1"/>
      <c r="K68" s="1"/>
      <c r="L68" s="1"/>
      <c r="M68" s="1"/>
      <c r="N68" s="1"/>
      <c r="O68" s="1"/>
      <c r="P68" s="1"/>
      <c r="Q68" s="1"/>
      <c r="R68" s="1"/>
      <c r="S68" s="1"/>
      <c r="T68" s="1"/>
      <c r="U68" s="1"/>
      <c r="V68" s="1"/>
      <c r="W68" s="1"/>
      <c r="X68" s="1"/>
      <c r="Y68" s="1"/>
      <c r="Z68" s="1"/>
    </row>
    <row r="69" spans="1:26" ht="15.75" customHeight="1" x14ac:dyDescent="0.45">
      <c r="A69" s="1"/>
      <c r="B69" s="1"/>
      <c r="C69" s="1"/>
      <c r="D69" s="55"/>
      <c r="E69" s="1"/>
      <c r="F69" s="1"/>
      <c r="G69" s="1"/>
      <c r="H69" s="1"/>
      <c r="I69" s="1"/>
      <c r="J69" s="1"/>
      <c r="K69" s="1"/>
      <c r="L69" s="1"/>
      <c r="M69" s="1"/>
      <c r="N69" s="1"/>
      <c r="O69" s="1"/>
      <c r="P69" s="1"/>
      <c r="Q69" s="1"/>
      <c r="R69" s="1"/>
      <c r="S69" s="1"/>
      <c r="T69" s="1"/>
      <c r="U69" s="1"/>
      <c r="V69" s="1"/>
      <c r="W69" s="1"/>
      <c r="X69" s="1"/>
      <c r="Y69" s="1"/>
      <c r="Z69" s="1"/>
    </row>
    <row r="70" spans="1:26" ht="15.75" customHeight="1" x14ac:dyDescent="0.45">
      <c r="A70" s="1"/>
      <c r="B70" s="1"/>
      <c r="C70" s="1"/>
      <c r="D70" s="55"/>
      <c r="E70" s="1"/>
      <c r="F70" s="1"/>
      <c r="G70" s="1"/>
      <c r="H70" s="1"/>
      <c r="I70" s="1"/>
      <c r="J70" s="1"/>
      <c r="K70" s="1"/>
      <c r="L70" s="1"/>
      <c r="M70" s="1"/>
      <c r="N70" s="1"/>
      <c r="O70" s="1"/>
      <c r="P70" s="1"/>
      <c r="Q70" s="1"/>
      <c r="R70" s="1"/>
      <c r="S70" s="1"/>
      <c r="T70" s="1"/>
      <c r="U70" s="1"/>
      <c r="V70" s="1"/>
      <c r="W70" s="1"/>
      <c r="X70" s="1"/>
      <c r="Y70" s="1"/>
      <c r="Z70" s="1"/>
    </row>
    <row r="71" spans="1:26" ht="15.75" customHeight="1" x14ac:dyDescent="0.45">
      <c r="A71" s="1"/>
      <c r="B71" s="1"/>
      <c r="C71" s="1"/>
      <c r="D71" s="55"/>
      <c r="E71" s="1"/>
      <c r="F71" s="1"/>
      <c r="G71" s="1"/>
      <c r="H71" s="1"/>
      <c r="I71" s="1"/>
      <c r="J71" s="1"/>
      <c r="K71" s="1"/>
      <c r="L71" s="1"/>
      <c r="M71" s="1"/>
      <c r="N71" s="1"/>
      <c r="O71" s="1"/>
      <c r="P71" s="1"/>
      <c r="Q71" s="1"/>
      <c r="R71" s="1"/>
      <c r="S71" s="1"/>
      <c r="T71" s="1"/>
      <c r="U71" s="1"/>
      <c r="V71" s="1"/>
      <c r="W71" s="1"/>
      <c r="X71" s="1"/>
      <c r="Y71" s="1"/>
      <c r="Z71" s="1"/>
    </row>
    <row r="72" spans="1:26" ht="15.75" customHeight="1" x14ac:dyDescent="0.45">
      <c r="A72" s="1"/>
      <c r="B72" s="1"/>
      <c r="C72" s="1"/>
      <c r="D72" s="55"/>
      <c r="E72" s="1"/>
      <c r="F72" s="1"/>
      <c r="G72" s="1"/>
      <c r="H72" s="1"/>
      <c r="I72" s="1"/>
      <c r="J72" s="1"/>
      <c r="K72" s="1"/>
      <c r="L72" s="1"/>
      <c r="M72" s="1"/>
      <c r="N72" s="1"/>
      <c r="O72" s="1"/>
      <c r="P72" s="1"/>
      <c r="Q72" s="1"/>
      <c r="R72" s="1"/>
      <c r="S72" s="1"/>
      <c r="T72" s="1"/>
      <c r="U72" s="1"/>
      <c r="V72" s="1"/>
      <c r="W72" s="1"/>
      <c r="X72" s="1"/>
      <c r="Y72" s="1"/>
      <c r="Z72" s="1"/>
    </row>
    <row r="73" spans="1:26" ht="15.75" customHeight="1" x14ac:dyDescent="0.45">
      <c r="A73" s="1"/>
      <c r="B73" s="1"/>
      <c r="C73" s="1"/>
      <c r="D73" s="55"/>
      <c r="E73" s="1"/>
      <c r="F73" s="1"/>
      <c r="G73" s="1"/>
      <c r="H73" s="1"/>
      <c r="I73" s="1"/>
      <c r="J73" s="1"/>
      <c r="K73" s="1"/>
      <c r="L73" s="1"/>
      <c r="M73" s="1"/>
      <c r="N73" s="1"/>
      <c r="O73" s="1"/>
      <c r="P73" s="1"/>
      <c r="Q73" s="1"/>
      <c r="R73" s="1"/>
      <c r="S73" s="1"/>
      <c r="T73" s="1"/>
      <c r="U73" s="1"/>
      <c r="V73" s="1"/>
      <c r="W73" s="1"/>
      <c r="X73" s="1"/>
      <c r="Y73" s="1"/>
      <c r="Z73" s="1"/>
    </row>
    <row r="74" spans="1:26" ht="15.75" customHeight="1" x14ac:dyDescent="0.45">
      <c r="A74" s="1"/>
      <c r="B74" s="1"/>
      <c r="C74" s="1"/>
      <c r="D74" s="55"/>
      <c r="E74" s="1"/>
      <c r="F74" s="1"/>
      <c r="G74" s="1"/>
      <c r="H74" s="1"/>
      <c r="I74" s="1"/>
      <c r="J74" s="1"/>
      <c r="K74" s="1"/>
      <c r="L74" s="1"/>
      <c r="M74" s="1"/>
      <c r="N74" s="1"/>
      <c r="O74" s="1"/>
      <c r="P74" s="1"/>
      <c r="Q74" s="1"/>
      <c r="R74" s="1"/>
      <c r="S74" s="1"/>
      <c r="T74" s="1"/>
      <c r="U74" s="1"/>
      <c r="V74" s="1"/>
      <c r="W74" s="1"/>
      <c r="X74" s="1"/>
      <c r="Y74" s="1"/>
      <c r="Z74" s="1"/>
    </row>
    <row r="75" spans="1:26" ht="15.75" customHeight="1" x14ac:dyDescent="0.45">
      <c r="A75" s="1"/>
      <c r="B75" s="1"/>
      <c r="C75" s="1"/>
      <c r="D75" s="55"/>
      <c r="E75" s="1"/>
      <c r="F75" s="1"/>
      <c r="G75" s="1"/>
      <c r="H75" s="1"/>
      <c r="I75" s="1"/>
      <c r="J75" s="1"/>
      <c r="K75" s="1"/>
      <c r="L75" s="1"/>
      <c r="M75" s="1"/>
      <c r="N75" s="1"/>
      <c r="O75" s="1"/>
      <c r="P75" s="1"/>
      <c r="Q75" s="1"/>
      <c r="R75" s="1"/>
      <c r="S75" s="1"/>
      <c r="T75" s="1"/>
      <c r="U75" s="1"/>
      <c r="V75" s="1"/>
      <c r="W75" s="1"/>
      <c r="X75" s="1"/>
      <c r="Y75" s="1"/>
      <c r="Z75" s="1"/>
    </row>
    <row r="76" spans="1:26" ht="15.75" customHeight="1" x14ac:dyDescent="0.45">
      <c r="A76" s="1"/>
      <c r="B76" s="1"/>
      <c r="C76" s="1"/>
      <c r="D76" s="55"/>
      <c r="E76" s="1"/>
      <c r="F76" s="1"/>
      <c r="G76" s="1"/>
      <c r="H76" s="1"/>
      <c r="I76" s="1"/>
      <c r="J76" s="1"/>
      <c r="K76" s="1"/>
      <c r="L76" s="1"/>
      <c r="M76" s="1"/>
      <c r="N76" s="1"/>
      <c r="O76" s="1"/>
      <c r="P76" s="1"/>
      <c r="Q76" s="1"/>
      <c r="R76" s="1"/>
      <c r="S76" s="1"/>
      <c r="T76" s="1"/>
      <c r="U76" s="1"/>
      <c r="V76" s="1"/>
      <c r="W76" s="1"/>
      <c r="X76" s="1"/>
      <c r="Y76" s="1"/>
      <c r="Z76" s="1"/>
    </row>
    <row r="77" spans="1:26" ht="15.75" customHeight="1" x14ac:dyDescent="0.45">
      <c r="A77" s="1"/>
      <c r="B77" s="1"/>
      <c r="C77" s="1"/>
      <c r="D77" s="55"/>
      <c r="E77" s="1"/>
      <c r="F77" s="1"/>
      <c r="G77" s="1"/>
      <c r="H77" s="1"/>
      <c r="I77" s="1"/>
      <c r="J77" s="1"/>
      <c r="K77" s="1"/>
      <c r="L77" s="1"/>
      <c r="M77" s="1"/>
      <c r="N77" s="1"/>
      <c r="O77" s="1"/>
      <c r="P77" s="1"/>
      <c r="Q77" s="1"/>
      <c r="R77" s="1"/>
      <c r="S77" s="1"/>
      <c r="T77" s="1"/>
      <c r="U77" s="1"/>
      <c r="V77" s="1"/>
      <c r="W77" s="1"/>
      <c r="X77" s="1"/>
      <c r="Y77" s="1"/>
      <c r="Z77" s="1"/>
    </row>
    <row r="78" spans="1:26" ht="15.75" customHeight="1" x14ac:dyDescent="0.45">
      <c r="A78" s="1"/>
      <c r="B78" s="1"/>
      <c r="C78" s="1"/>
      <c r="D78" s="55"/>
      <c r="E78" s="1"/>
      <c r="F78" s="1"/>
      <c r="G78" s="1"/>
      <c r="H78" s="1"/>
      <c r="I78" s="1"/>
      <c r="J78" s="1"/>
      <c r="K78" s="1"/>
      <c r="L78" s="1"/>
      <c r="M78" s="1"/>
      <c r="N78" s="1"/>
      <c r="O78" s="1"/>
      <c r="P78" s="1"/>
      <c r="Q78" s="1"/>
      <c r="R78" s="1"/>
      <c r="S78" s="1"/>
      <c r="T78" s="1"/>
      <c r="U78" s="1"/>
      <c r="V78" s="1"/>
      <c r="W78" s="1"/>
      <c r="X78" s="1"/>
      <c r="Y78" s="1"/>
      <c r="Z78" s="1"/>
    </row>
    <row r="79" spans="1:26" ht="15.75" customHeight="1" x14ac:dyDescent="0.45">
      <c r="A79" s="1"/>
      <c r="B79" s="1"/>
      <c r="C79" s="1"/>
      <c r="D79" s="55"/>
      <c r="E79" s="1"/>
      <c r="F79" s="1"/>
      <c r="G79" s="1"/>
      <c r="H79" s="1"/>
      <c r="I79" s="1"/>
      <c r="J79" s="1"/>
      <c r="K79" s="1"/>
      <c r="L79" s="1"/>
      <c r="M79" s="1"/>
      <c r="N79" s="1"/>
      <c r="O79" s="1"/>
      <c r="P79" s="1"/>
      <c r="Q79" s="1"/>
      <c r="R79" s="1"/>
      <c r="S79" s="1"/>
      <c r="T79" s="1"/>
      <c r="U79" s="1"/>
      <c r="V79" s="1"/>
      <c r="W79" s="1"/>
      <c r="X79" s="1"/>
      <c r="Y79" s="1"/>
      <c r="Z79" s="1"/>
    </row>
    <row r="80" spans="1:26" ht="15.75" customHeight="1" x14ac:dyDescent="0.45">
      <c r="A80" s="1"/>
      <c r="B80" s="1"/>
      <c r="C80" s="1"/>
      <c r="D80" s="55"/>
      <c r="E80" s="1"/>
      <c r="F80" s="1"/>
      <c r="G80" s="1"/>
      <c r="H80" s="1"/>
      <c r="I80" s="1"/>
      <c r="J80" s="1"/>
      <c r="K80" s="1"/>
      <c r="L80" s="1"/>
      <c r="M80" s="1"/>
      <c r="N80" s="1"/>
      <c r="O80" s="1"/>
      <c r="P80" s="1"/>
      <c r="Q80" s="1"/>
      <c r="R80" s="1"/>
      <c r="S80" s="1"/>
      <c r="T80" s="1"/>
      <c r="U80" s="1"/>
      <c r="V80" s="1"/>
      <c r="W80" s="1"/>
      <c r="X80" s="1"/>
      <c r="Y80" s="1"/>
      <c r="Z80" s="1"/>
    </row>
    <row r="81" spans="1:26" ht="15.75" customHeight="1" x14ac:dyDescent="0.45">
      <c r="A81" s="1"/>
      <c r="B81" s="1"/>
      <c r="C81" s="1"/>
      <c r="D81" s="55"/>
      <c r="E81" s="1"/>
      <c r="F81" s="1"/>
      <c r="G81" s="1"/>
      <c r="H81" s="1"/>
      <c r="I81" s="1"/>
      <c r="J81" s="1"/>
      <c r="K81" s="1"/>
      <c r="L81" s="1"/>
      <c r="M81" s="1"/>
      <c r="N81" s="1"/>
      <c r="O81" s="1"/>
      <c r="P81" s="1"/>
      <c r="Q81" s="1"/>
      <c r="R81" s="1"/>
      <c r="S81" s="1"/>
      <c r="T81" s="1"/>
      <c r="U81" s="1"/>
      <c r="V81" s="1"/>
      <c r="W81" s="1"/>
      <c r="X81" s="1"/>
      <c r="Y81" s="1"/>
      <c r="Z81" s="1"/>
    </row>
    <row r="82" spans="1:26" ht="15.75" customHeight="1" x14ac:dyDescent="0.45">
      <c r="A82" s="1"/>
      <c r="B82" s="1"/>
      <c r="C82" s="1"/>
      <c r="D82" s="55"/>
      <c r="E82" s="1"/>
      <c r="F82" s="1"/>
      <c r="G82" s="1"/>
      <c r="H82" s="1"/>
      <c r="I82" s="1"/>
      <c r="J82" s="1"/>
      <c r="K82" s="1"/>
      <c r="L82" s="1"/>
      <c r="M82" s="1"/>
      <c r="N82" s="1"/>
      <c r="O82" s="1"/>
      <c r="P82" s="1"/>
      <c r="Q82" s="1"/>
      <c r="R82" s="1"/>
      <c r="S82" s="1"/>
      <c r="T82" s="1"/>
      <c r="U82" s="1"/>
      <c r="V82" s="1"/>
      <c r="W82" s="1"/>
      <c r="X82" s="1"/>
      <c r="Y82" s="1"/>
      <c r="Z82" s="1"/>
    </row>
    <row r="83" spans="1:26" ht="15.75" customHeight="1" x14ac:dyDescent="0.45">
      <c r="A83" s="1"/>
      <c r="B83" s="1"/>
      <c r="C83" s="1"/>
      <c r="D83" s="55"/>
      <c r="E83" s="1"/>
      <c r="F83" s="1"/>
      <c r="G83" s="1"/>
      <c r="H83" s="1"/>
      <c r="I83" s="1"/>
      <c r="J83" s="1"/>
      <c r="K83" s="1"/>
      <c r="L83" s="1"/>
      <c r="M83" s="1"/>
      <c r="N83" s="1"/>
      <c r="O83" s="1"/>
      <c r="P83" s="1"/>
      <c r="Q83" s="1"/>
      <c r="R83" s="1"/>
      <c r="S83" s="1"/>
      <c r="T83" s="1"/>
      <c r="U83" s="1"/>
      <c r="V83" s="1"/>
      <c r="W83" s="1"/>
      <c r="X83" s="1"/>
      <c r="Y83" s="1"/>
      <c r="Z83" s="1"/>
    </row>
    <row r="84" spans="1:26" ht="15.75" customHeight="1" x14ac:dyDescent="0.45">
      <c r="A84" s="1"/>
      <c r="B84" s="1"/>
      <c r="C84" s="1"/>
      <c r="D84" s="55"/>
      <c r="E84" s="1"/>
      <c r="F84" s="1"/>
      <c r="G84" s="1"/>
      <c r="H84" s="1"/>
      <c r="I84" s="1"/>
      <c r="J84" s="1"/>
      <c r="K84" s="1"/>
      <c r="L84" s="1"/>
      <c r="M84" s="1"/>
      <c r="N84" s="1"/>
      <c r="O84" s="1"/>
      <c r="P84" s="1"/>
      <c r="Q84" s="1"/>
      <c r="R84" s="1"/>
      <c r="S84" s="1"/>
      <c r="T84" s="1"/>
      <c r="U84" s="1"/>
      <c r="V84" s="1"/>
      <c r="W84" s="1"/>
      <c r="X84" s="1"/>
      <c r="Y84" s="1"/>
      <c r="Z84" s="1"/>
    </row>
    <row r="85" spans="1:26" ht="15.75" customHeight="1" x14ac:dyDescent="0.45">
      <c r="A85" s="1"/>
      <c r="B85" s="1"/>
      <c r="C85" s="1"/>
      <c r="D85" s="55"/>
      <c r="E85" s="1"/>
      <c r="F85" s="1"/>
      <c r="G85" s="1"/>
      <c r="H85" s="1"/>
      <c r="I85" s="1"/>
      <c r="J85" s="1"/>
      <c r="K85" s="1"/>
      <c r="L85" s="1"/>
      <c r="M85" s="1"/>
      <c r="N85" s="1"/>
      <c r="O85" s="1"/>
      <c r="P85" s="1"/>
      <c r="Q85" s="1"/>
      <c r="R85" s="1"/>
      <c r="S85" s="1"/>
      <c r="T85" s="1"/>
      <c r="U85" s="1"/>
      <c r="V85" s="1"/>
      <c r="W85" s="1"/>
      <c r="X85" s="1"/>
      <c r="Y85" s="1"/>
      <c r="Z85" s="1"/>
    </row>
    <row r="86" spans="1:26" ht="15.75" customHeight="1" x14ac:dyDescent="0.45">
      <c r="A86" s="1"/>
      <c r="B86" s="1"/>
      <c r="C86" s="1"/>
      <c r="D86" s="55"/>
      <c r="E86" s="1"/>
      <c r="F86" s="1"/>
      <c r="G86" s="1"/>
      <c r="H86" s="1"/>
      <c r="I86" s="1"/>
      <c r="J86" s="1"/>
      <c r="K86" s="1"/>
      <c r="L86" s="1"/>
      <c r="M86" s="1"/>
      <c r="N86" s="1"/>
      <c r="O86" s="1"/>
      <c r="P86" s="1"/>
      <c r="Q86" s="1"/>
      <c r="R86" s="1"/>
      <c r="S86" s="1"/>
      <c r="T86" s="1"/>
      <c r="U86" s="1"/>
      <c r="V86" s="1"/>
      <c r="W86" s="1"/>
      <c r="X86" s="1"/>
      <c r="Y86" s="1"/>
      <c r="Z86" s="1"/>
    </row>
    <row r="87" spans="1:26" ht="15.75" customHeight="1" x14ac:dyDescent="0.45">
      <c r="A87" s="1"/>
      <c r="B87" s="1"/>
      <c r="C87" s="1"/>
      <c r="D87" s="55"/>
      <c r="E87" s="1"/>
      <c r="F87" s="1"/>
      <c r="G87" s="1"/>
      <c r="H87" s="1"/>
      <c r="I87" s="1"/>
      <c r="J87" s="1"/>
      <c r="K87" s="1"/>
      <c r="L87" s="1"/>
      <c r="M87" s="1"/>
      <c r="N87" s="1"/>
      <c r="O87" s="1"/>
      <c r="P87" s="1"/>
      <c r="Q87" s="1"/>
      <c r="R87" s="1"/>
      <c r="S87" s="1"/>
      <c r="T87" s="1"/>
      <c r="U87" s="1"/>
      <c r="V87" s="1"/>
      <c r="W87" s="1"/>
      <c r="X87" s="1"/>
      <c r="Y87" s="1"/>
      <c r="Z87" s="1"/>
    </row>
    <row r="88" spans="1:26" ht="15.75" customHeight="1" x14ac:dyDescent="0.45">
      <c r="A88" s="1"/>
      <c r="B88" s="1"/>
      <c r="C88" s="1"/>
      <c r="D88" s="55"/>
      <c r="E88" s="1"/>
      <c r="F88" s="1"/>
      <c r="G88" s="1"/>
      <c r="H88" s="1"/>
      <c r="I88" s="1"/>
      <c r="J88" s="1"/>
      <c r="K88" s="1"/>
      <c r="L88" s="1"/>
      <c r="M88" s="1"/>
      <c r="N88" s="1"/>
      <c r="O88" s="1"/>
      <c r="P88" s="1"/>
      <c r="Q88" s="1"/>
      <c r="R88" s="1"/>
      <c r="S88" s="1"/>
      <c r="T88" s="1"/>
      <c r="U88" s="1"/>
      <c r="V88" s="1"/>
      <c r="W88" s="1"/>
      <c r="X88" s="1"/>
      <c r="Y88" s="1"/>
      <c r="Z88" s="1"/>
    </row>
    <row r="89" spans="1:26" ht="15.75" customHeight="1" x14ac:dyDescent="0.45">
      <c r="A89" s="1"/>
      <c r="B89" s="1"/>
      <c r="C89" s="1"/>
      <c r="D89" s="55"/>
      <c r="E89" s="1"/>
      <c r="F89" s="1"/>
      <c r="G89" s="1"/>
      <c r="H89" s="1"/>
      <c r="I89" s="1"/>
      <c r="J89" s="1"/>
      <c r="K89" s="1"/>
      <c r="L89" s="1"/>
      <c r="M89" s="1"/>
      <c r="N89" s="1"/>
      <c r="O89" s="1"/>
      <c r="P89" s="1"/>
      <c r="Q89" s="1"/>
      <c r="R89" s="1"/>
      <c r="S89" s="1"/>
      <c r="T89" s="1"/>
      <c r="U89" s="1"/>
      <c r="V89" s="1"/>
      <c r="W89" s="1"/>
      <c r="X89" s="1"/>
      <c r="Y89" s="1"/>
      <c r="Z89" s="1"/>
    </row>
    <row r="90" spans="1:26" ht="15.75" customHeight="1" x14ac:dyDescent="0.45">
      <c r="A90" s="1"/>
      <c r="B90" s="1"/>
      <c r="C90" s="1"/>
      <c r="D90" s="55"/>
      <c r="E90" s="1"/>
      <c r="F90" s="1"/>
      <c r="G90" s="1"/>
      <c r="H90" s="1"/>
      <c r="I90" s="1"/>
      <c r="J90" s="1"/>
      <c r="K90" s="1"/>
      <c r="L90" s="1"/>
      <c r="M90" s="1"/>
      <c r="N90" s="1"/>
      <c r="O90" s="1"/>
      <c r="P90" s="1"/>
      <c r="Q90" s="1"/>
      <c r="R90" s="1"/>
      <c r="S90" s="1"/>
      <c r="T90" s="1"/>
      <c r="U90" s="1"/>
      <c r="V90" s="1"/>
      <c r="W90" s="1"/>
      <c r="X90" s="1"/>
      <c r="Y90" s="1"/>
      <c r="Z90" s="1"/>
    </row>
    <row r="91" spans="1:26" ht="15.75" customHeight="1" x14ac:dyDescent="0.45">
      <c r="A91" s="1"/>
      <c r="B91" s="1"/>
      <c r="C91" s="1"/>
      <c r="D91" s="55"/>
      <c r="E91" s="1"/>
      <c r="F91" s="1"/>
      <c r="G91" s="1"/>
      <c r="H91" s="1"/>
      <c r="I91" s="1"/>
      <c r="J91" s="1"/>
      <c r="K91" s="1"/>
      <c r="L91" s="1"/>
      <c r="M91" s="1"/>
      <c r="N91" s="1"/>
      <c r="O91" s="1"/>
      <c r="P91" s="1"/>
      <c r="Q91" s="1"/>
      <c r="R91" s="1"/>
      <c r="S91" s="1"/>
      <c r="T91" s="1"/>
      <c r="U91" s="1"/>
      <c r="V91" s="1"/>
      <c r="W91" s="1"/>
      <c r="X91" s="1"/>
      <c r="Y91" s="1"/>
      <c r="Z91" s="1"/>
    </row>
    <row r="92" spans="1:26" ht="15.75" customHeight="1" x14ac:dyDescent="0.45">
      <c r="A92" s="1"/>
      <c r="B92" s="1"/>
      <c r="C92" s="1"/>
      <c r="D92" s="55"/>
      <c r="E92" s="1"/>
      <c r="F92" s="1"/>
      <c r="G92" s="1"/>
      <c r="H92" s="1"/>
      <c r="I92" s="1"/>
      <c r="J92" s="1"/>
      <c r="K92" s="1"/>
      <c r="L92" s="1"/>
      <c r="M92" s="1"/>
      <c r="N92" s="1"/>
      <c r="O92" s="1"/>
      <c r="P92" s="1"/>
      <c r="Q92" s="1"/>
      <c r="R92" s="1"/>
      <c r="S92" s="1"/>
      <c r="T92" s="1"/>
      <c r="U92" s="1"/>
      <c r="V92" s="1"/>
      <c r="W92" s="1"/>
      <c r="X92" s="1"/>
      <c r="Y92" s="1"/>
      <c r="Z92" s="1"/>
    </row>
    <row r="93" spans="1:26" ht="15.75" customHeight="1" x14ac:dyDescent="0.45">
      <c r="A93" s="1"/>
      <c r="B93" s="1"/>
      <c r="C93" s="1"/>
      <c r="D93" s="55"/>
      <c r="E93" s="1"/>
      <c r="F93" s="1"/>
      <c r="G93" s="1"/>
      <c r="H93" s="1"/>
      <c r="I93" s="1"/>
      <c r="J93" s="1"/>
      <c r="K93" s="1"/>
      <c r="L93" s="1"/>
      <c r="M93" s="1"/>
      <c r="N93" s="1"/>
      <c r="O93" s="1"/>
      <c r="P93" s="1"/>
      <c r="Q93" s="1"/>
      <c r="R93" s="1"/>
      <c r="S93" s="1"/>
      <c r="T93" s="1"/>
      <c r="U93" s="1"/>
      <c r="V93" s="1"/>
      <c r="W93" s="1"/>
      <c r="X93" s="1"/>
      <c r="Y93" s="1"/>
      <c r="Z93" s="1"/>
    </row>
    <row r="94" spans="1:26" ht="15.75" customHeight="1" x14ac:dyDescent="0.45">
      <c r="A94" s="1"/>
      <c r="B94" s="1"/>
      <c r="C94" s="1"/>
      <c r="D94" s="55"/>
      <c r="E94" s="1"/>
      <c r="F94" s="1"/>
      <c r="G94" s="1"/>
      <c r="H94" s="1"/>
      <c r="I94" s="1"/>
      <c r="J94" s="1"/>
      <c r="K94" s="1"/>
      <c r="L94" s="1"/>
      <c r="M94" s="1"/>
      <c r="N94" s="1"/>
      <c r="O94" s="1"/>
      <c r="P94" s="1"/>
      <c r="Q94" s="1"/>
      <c r="R94" s="1"/>
      <c r="S94" s="1"/>
      <c r="T94" s="1"/>
      <c r="U94" s="1"/>
      <c r="V94" s="1"/>
      <c r="W94" s="1"/>
      <c r="X94" s="1"/>
      <c r="Y94" s="1"/>
      <c r="Z94" s="1"/>
    </row>
    <row r="95" spans="1:26" ht="15.75" customHeight="1" x14ac:dyDescent="0.45">
      <c r="A95" s="1"/>
      <c r="B95" s="1"/>
      <c r="C95" s="1"/>
      <c r="D95" s="55"/>
      <c r="E95" s="1"/>
      <c r="F95" s="1"/>
      <c r="G95" s="1"/>
      <c r="H95" s="1"/>
      <c r="I95" s="1"/>
      <c r="J95" s="1"/>
      <c r="K95" s="1"/>
      <c r="L95" s="1"/>
      <c r="M95" s="1"/>
      <c r="N95" s="1"/>
      <c r="O95" s="1"/>
      <c r="P95" s="1"/>
      <c r="Q95" s="1"/>
      <c r="R95" s="1"/>
      <c r="S95" s="1"/>
      <c r="T95" s="1"/>
      <c r="U95" s="1"/>
      <c r="V95" s="1"/>
      <c r="W95" s="1"/>
      <c r="X95" s="1"/>
      <c r="Y95" s="1"/>
      <c r="Z95" s="1"/>
    </row>
    <row r="96" spans="1:26" ht="15.75" customHeight="1" x14ac:dyDescent="0.45">
      <c r="A96" s="1"/>
      <c r="B96" s="1"/>
      <c r="C96" s="1"/>
      <c r="D96" s="55"/>
      <c r="E96" s="1"/>
      <c r="F96" s="1"/>
      <c r="G96" s="1"/>
      <c r="H96" s="1"/>
      <c r="I96" s="1"/>
      <c r="J96" s="1"/>
      <c r="K96" s="1"/>
      <c r="L96" s="1"/>
      <c r="M96" s="1"/>
      <c r="N96" s="1"/>
      <c r="O96" s="1"/>
      <c r="P96" s="1"/>
      <c r="Q96" s="1"/>
      <c r="R96" s="1"/>
      <c r="S96" s="1"/>
      <c r="T96" s="1"/>
      <c r="U96" s="1"/>
      <c r="V96" s="1"/>
      <c r="W96" s="1"/>
      <c r="X96" s="1"/>
      <c r="Y96" s="1"/>
      <c r="Z96" s="1"/>
    </row>
    <row r="97" spans="1:26" ht="15.75" customHeight="1" x14ac:dyDescent="0.45">
      <c r="A97" s="1"/>
      <c r="B97" s="1"/>
      <c r="C97" s="1"/>
      <c r="D97" s="55"/>
      <c r="E97" s="1"/>
      <c r="F97" s="1"/>
      <c r="G97" s="1"/>
      <c r="H97" s="1"/>
      <c r="I97" s="1"/>
      <c r="J97" s="1"/>
      <c r="K97" s="1"/>
      <c r="L97" s="1"/>
      <c r="M97" s="1"/>
      <c r="N97" s="1"/>
      <c r="O97" s="1"/>
      <c r="P97" s="1"/>
      <c r="Q97" s="1"/>
      <c r="R97" s="1"/>
      <c r="S97" s="1"/>
      <c r="T97" s="1"/>
      <c r="U97" s="1"/>
      <c r="V97" s="1"/>
      <c r="W97" s="1"/>
      <c r="X97" s="1"/>
      <c r="Y97" s="1"/>
      <c r="Z97" s="1"/>
    </row>
    <row r="98" spans="1:26" ht="15.75" customHeight="1" x14ac:dyDescent="0.45">
      <c r="A98" s="1"/>
      <c r="B98" s="1"/>
      <c r="C98" s="1"/>
      <c r="D98" s="55"/>
      <c r="E98" s="1"/>
      <c r="F98" s="1"/>
      <c r="G98" s="1"/>
      <c r="H98" s="1"/>
      <c r="I98" s="1"/>
      <c r="J98" s="1"/>
      <c r="K98" s="1"/>
      <c r="L98" s="1"/>
      <c r="M98" s="1"/>
      <c r="N98" s="1"/>
      <c r="O98" s="1"/>
      <c r="P98" s="1"/>
      <c r="Q98" s="1"/>
      <c r="R98" s="1"/>
      <c r="S98" s="1"/>
      <c r="T98" s="1"/>
      <c r="U98" s="1"/>
      <c r="V98" s="1"/>
      <c r="W98" s="1"/>
      <c r="X98" s="1"/>
      <c r="Y98" s="1"/>
      <c r="Z98" s="1"/>
    </row>
    <row r="99" spans="1:26" ht="15.75" customHeight="1" x14ac:dyDescent="0.45">
      <c r="A99" s="1"/>
      <c r="B99" s="1"/>
      <c r="C99" s="1"/>
      <c r="D99" s="55"/>
      <c r="E99" s="1"/>
      <c r="F99" s="1"/>
      <c r="G99" s="1"/>
      <c r="H99" s="1"/>
      <c r="I99" s="1"/>
      <c r="J99" s="1"/>
      <c r="K99" s="1"/>
      <c r="L99" s="1"/>
      <c r="M99" s="1"/>
      <c r="N99" s="1"/>
      <c r="O99" s="1"/>
      <c r="P99" s="1"/>
      <c r="Q99" s="1"/>
      <c r="R99" s="1"/>
      <c r="S99" s="1"/>
      <c r="T99" s="1"/>
      <c r="U99" s="1"/>
      <c r="V99" s="1"/>
      <c r="W99" s="1"/>
      <c r="X99" s="1"/>
      <c r="Y99" s="1"/>
      <c r="Z99" s="1"/>
    </row>
    <row r="100" spans="1:26" ht="15.75" customHeight="1" x14ac:dyDescent="0.45">
      <c r="A100" s="1"/>
      <c r="B100" s="1"/>
      <c r="C100" s="1"/>
      <c r="D100" s="55"/>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45">
      <c r="A101" s="1"/>
      <c r="B101" s="1"/>
      <c r="C101" s="1"/>
      <c r="D101" s="55"/>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45">
      <c r="A102" s="1"/>
      <c r="B102" s="1"/>
      <c r="C102" s="1"/>
      <c r="D102" s="55"/>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45">
      <c r="A103" s="1"/>
      <c r="B103" s="1"/>
      <c r="C103" s="1"/>
      <c r="D103" s="55"/>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45">
      <c r="A104" s="1"/>
      <c r="B104" s="1"/>
      <c r="C104" s="1"/>
      <c r="D104" s="55"/>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45">
      <c r="A105" s="1"/>
      <c r="B105" s="1"/>
      <c r="C105" s="1"/>
      <c r="D105" s="55"/>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45">
      <c r="A106" s="1"/>
      <c r="B106" s="1"/>
      <c r="C106" s="1"/>
      <c r="D106" s="55"/>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45">
      <c r="A107" s="1"/>
      <c r="B107" s="1"/>
      <c r="C107" s="1"/>
      <c r="D107" s="55"/>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45">
      <c r="A108" s="1"/>
      <c r="B108" s="1"/>
      <c r="C108" s="1"/>
      <c r="D108" s="55"/>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45">
      <c r="A109" s="1"/>
      <c r="B109" s="1"/>
      <c r="C109" s="1"/>
      <c r="D109" s="55"/>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45">
      <c r="A110" s="1"/>
      <c r="B110" s="1"/>
      <c r="C110" s="1"/>
      <c r="D110" s="55"/>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45">
      <c r="A111" s="1"/>
      <c r="B111" s="1"/>
      <c r="C111" s="1"/>
      <c r="D111" s="55"/>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45">
      <c r="A112" s="1"/>
      <c r="B112" s="1"/>
      <c r="C112" s="1"/>
      <c r="D112" s="55"/>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45">
      <c r="A113" s="1"/>
      <c r="B113" s="1"/>
      <c r="C113" s="1"/>
      <c r="D113" s="55"/>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45">
      <c r="A114" s="1"/>
      <c r="B114" s="1"/>
      <c r="C114" s="1"/>
      <c r="D114" s="55"/>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45">
      <c r="A115" s="1"/>
      <c r="B115" s="1"/>
      <c r="C115" s="1"/>
      <c r="D115" s="55"/>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45">
      <c r="A116" s="1"/>
      <c r="B116" s="1"/>
      <c r="C116" s="1"/>
      <c r="D116" s="55"/>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45">
      <c r="A117" s="1"/>
      <c r="B117" s="1"/>
      <c r="C117" s="1"/>
      <c r="D117" s="55"/>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45">
      <c r="A118" s="1"/>
      <c r="B118" s="1"/>
      <c r="C118" s="1"/>
      <c r="D118" s="55"/>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45">
      <c r="A119" s="1"/>
      <c r="B119" s="1"/>
      <c r="C119" s="1"/>
      <c r="D119" s="55"/>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45">
      <c r="A120" s="1"/>
      <c r="B120" s="1"/>
      <c r="C120" s="1"/>
      <c r="D120" s="55"/>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45">
      <c r="A121" s="1"/>
      <c r="B121" s="1"/>
      <c r="C121" s="1"/>
      <c r="D121" s="55"/>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45">
      <c r="A122" s="1"/>
      <c r="B122" s="1"/>
      <c r="C122" s="1"/>
      <c r="D122" s="55"/>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45">
      <c r="A123" s="1"/>
      <c r="B123" s="1"/>
      <c r="C123" s="1"/>
      <c r="D123" s="55"/>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45">
      <c r="A124" s="1"/>
      <c r="B124" s="1"/>
      <c r="C124" s="1"/>
      <c r="D124" s="55"/>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45">
      <c r="A125" s="1"/>
      <c r="B125" s="1"/>
      <c r="C125" s="1"/>
      <c r="D125" s="55"/>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45">
      <c r="A126" s="1"/>
      <c r="B126" s="1"/>
      <c r="C126" s="1"/>
      <c r="D126" s="55"/>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45">
      <c r="A127" s="1"/>
      <c r="B127" s="1"/>
      <c r="C127" s="1"/>
      <c r="D127" s="55"/>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45">
      <c r="A128" s="1"/>
      <c r="B128" s="1"/>
      <c r="C128" s="1"/>
      <c r="D128" s="55"/>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45">
      <c r="A129" s="1"/>
      <c r="B129" s="1"/>
      <c r="C129" s="1"/>
      <c r="D129" s="55"/>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45">
      <c r="A130" s="1"/>
      <c r="B130" s="1"/>
      <c r="C130" s="1"/>
      <c r="D130" s="55"/>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45">
      <c r="A131" s="1"/>
      <c r="B131" s="1"/>
      <c r="C131" s="1"/>
      <c r="D131" s="55"/>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45">
      <c r="A132" s="1"/>
      <c r="B132" s="1"/>
      <c r="C132" s="1"/>
      <c r="D132" s="55"/>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45">
      <c r="A133" s="1"/>
      <c r="B133" s="1"/>
      <c r="C133" s="1"/>
      <c r="D133" s="55"/>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45">
      <c r="A134" s="1"/>
      <c r="B134" s="1"/>
      <c r="C134" s="1"/>
      <c r="D134" s="55"/>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45">
      <c r="A135" s="1"/>
      <c r="B135" s="1"/>
      <c r="C135" s="1"/>
      <c r="D135" s="55"/>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45">
      <c r="A136" s="1"/>
      <c r="B136" s="1"/>
      <c r="C136" s="1"/>
      <c r="D136" s="55"/>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45">
      <c r="A137" s="1"/>
      <c r="B137" s="1"/>
      <c r="C137" s="1"/>
      <c r="D137" s="55"/>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45">
      <c r="A138" s="1"/>
      <c r="B138" s="1"/>
      <c r="C138" s="1"/>
      <c r="D138" s="55"/>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45">
      <c r="A139" s="1"/>
      <c r="B139" s="1"/>
      <c r="C139" s="1"/>
      <c r="D139" s="55"/>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45">
      <c r="A140" s="1"/>
      <c r="B140" s="1"/>
      <c r="C140" s="1"/>
      <c r="D140" s="55"/>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45">
      <c r="A141" s="1"/>
      <c r="B141" s="1"/>
      <c r="C141" s="1"/>
      <c r="D141" s="55"/>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45">
      <c r="A142" s="1"/>
      <c r="B142" s="1"/>
      <c r="C142" s="1"/>
      <c r="D142" s="55"/>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45">
      <c r="A143" s="1"/>
      <c r="B143" s="1"/>
      <c r="C143" s="1"/>
      <c r="D143" s="55"/>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45">
      <c r="A144" s="1"/>
      <c r="B144" s="1"/>
      <c r="C144" s="1"/>
      <c r="D144" s="55"/>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45">
      <c r="A145" s="1"/>
      <c r="B145" s="1"/>
      <c r="C145" s="1"/>
      <c r="D145" s="55"/>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45">
      <c r="A146" s="1"/>
      <c r="B146" s="1"/>
      <c r="C146" s="1"/>
      <c r="D146" s="55"/>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45">
      <c r="A147" s="1"/>
      <c r="B147" s="1"/>
      <c r="C147" s="1"/>
      <c r="D147" s="55"/>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45">
      <c r="A148" s="1"/>
      <c r="B148" s="1"/>
      <c r="C148" s="1"/>
      <c r="D148" s="55"/>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45">
      <c r="A149" s="1"/>
      <c r="B149" s="1"/>
      <c r="C149" s="1"/>
      <c r="D149" s="55"/>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45">
      <c r="A150" s="1"/>
      <c r="B150" s="1"/>
      <c r="C150" s="1"/>
      <c r="D150" s="55"/>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45">
      <c r="A151" s="1"/>
      <c r="B151" s="1"/>
      <c r="C151" s="1"/>
      <c r="D151" s="55"/>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45">
      <c r="A152" s="1"/>
      <c r="B152" s="1"/>
      <c r="C152" s="1"/>
      <c r="D152" s="55"/>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45">
      <c r="A153" s="1"/>
      <c r="B153" s="1"/>
      <c r="C153" s="1"/>
      <c r="D153" s="55"/>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45">
      <c r="A154" s="1"/>
      <c r="B154" s="1"/>
      <c r="C154" s="1"/>
      <c r="D154" s="55"/>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45">
      <c r="A155" s="1"/>
      <c r="B155" s="1"/>
      <c r="C155" s="1"/>
      <c r="D155" s="55"/>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45">
      <c r="A156" s="1"/>
      <c r="B156" s="1"/>
      <c r="C156" s="1"/>
      <c r="D156" s="55"/>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45">
      <c r="A157" s="1"/>
      <c r="B157" s="1"/>
      <c r="C157" s="1"/>
      <c r="D157" s="55"/>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45">
      <c r="A158" s="1"/>
      <c r="B158" s="1"/>
      <c r="C158" s="1"/>
      <c r="D158" s="55"/>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45">
      <c r="A159" s="1"/>
      <c r="B159" s="1"/>
      <c r="C159" s="1"/>
      <c r="D159" s="55"/>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45">
      <c r="A160" s="1"/>
      <c r="B160" s="1"/>
      <c r="C160" s="1"/>
      <c r="D160" s="55"/>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45">
      <c r="A161" s="1"/>
      <c r="B161" s="1"/>
      <c r="C161" s="1"/>
      <c r="D161" s="55"/>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45">
      <c r="A162" s="1"/>
      <c r="B162" s="1"/>
      <c r="C162" s="1"/>
      <c r="D162" s="55"/>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45">
      <c r="A163" s="1"/>
      <c r="B163" s="1"/>
      <c r="C163" s="1"/>
      <c r="D163" s="55"/>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45">
      <c r="A164" s="1"/>
      <c r="B164" s="1"/>
      <c r="C164" s="1"/>
      <c r="D164" s="55"/>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45">
      <c r="A165" s="1"/>
      <c r="B165" s="1"/>
      <c r="C165" s="1"/>
      <c r="D165" s="55"/>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45">
      <c r="A166" s="1"/>
      <c r="B166" s="1"/>
      <c r="C166" s="1"/>
      <c r="D166" s="55"/>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45">
      <c r="A167" s="1"/>
      <c r="B167" s="1"/>
      <c r="C167" s="1"/>
      <c r="D167" s="55"/>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45">
      <c r="A168" s="1"/>
      <c r="B168" s="1"/>
      <c r="C168" s="1"/>
      <c r="D168" s="55"/>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45">
      <c r="A169" s="1"/>
      <c r="B169" s="1"/>
      <c r="C169" s="1"/>
      <c r="D169" s="55"/>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45">
      <c r="A170" s="1"/>
      <c r="B170" s="1"/>
      <c r="C170" s="1"/>
      <c r="D170" s="55"/>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45">
      <c r="A171" s="1"/>
      <c r="B171" s="1"/>
      <c r="C171" s="1"/>
      <c r="D171" s="55"/>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45">
      <c r="A172" s="1"/>
      <c r="B172" s="1"/>
      <c r="C172" s="1"/>
      <c r="D172" s="55"/>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45">
      <c r="A173" s="1"/>
      <c r="B173" s="1"/>
      <c r="C173" s="1"/>
      <c r="D173" s="55"/>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45">
      <c r="A174" s="1"/>
      <c r="B174" s="1"/>
      <c r="C174" s="1"/>
      <c r="D174" s="55"/>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45">
      <c r="A175" s="1"/>
      <c r="B175" s="1"/>
      <c r="C175" s="1"/>
      <c r="D175" s="55"/>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45">
      <c r="A176" s="1"/>
      <c r="B176" s="1"/>
      <c r="C176" s="1"/>
      <c r="D176" s="55"/>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45">
      <c r="A177" s="1"/>
      <c r="B177" s="1"/>
      <c r="C177" s="1"/>
      <c r="D177" s="55"/>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45">
      <c r="A178" s="1"/>
      <c r="B178" s="1"/>
      <c r="C178" s="1"/>
      <c r="D178" s="55"/>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45">
      <c r="A179" s="1"/>
      <c r="B179" s="1"/>
      <c r="C179" s="1"/>
      <c r="D179" s="55"/>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45">
      <c r="A180" s="1"/>
      <c r="B180" s="1"/>
      <c r="C180" s="1"/>
      <c r="D180" s="55"/>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45">
      <c r="A181" s="1"/>
      <c r="B181" s="1"/>
      <c r="C181" s="1"/>
      <c r="D181" s="55"/>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45">
      <c r="A182" s="1"/>
      <c r="B182" s="1"/>
      <c r="C182" s="1"/>
      <c r="D182" s="55"/>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45">
      <c r="A183" s="1"/>
      <c r="B183" s="1"/>
      <c r="C183" s="1"/>
      <c r="D183" s="55"/>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45">
      <c r="A184" s="1"/>
      <c r="B184" s="1"/>
      <c r="C184" s="1"/>
      <c r="D184" s="55"/>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45">
      <c r="A185" s="1"/>
      <c r="B185" s="1"/>
      <c r="C185" s="1"/>
      <c r="D185" s="55"/>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45">
      <c r="A186" s="1"/>
      <c r="B186" s="1"/>
      <c r="C186" s="1"/>
      <c r="D186" s="55"/>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45">
      <c r="A187" s="1"/>
      <c r="B187" s="1"/>
      <c r="C187" s="1"/>
      <c r="D187" s="55"/>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45">
      <c r="A188" s="1"/>
      <c r="B188" s="1"/>
      <c r="C188" s="1"/>
      <c r="D188" s="55"/>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45">
      <c r="A189" s="1"/>
      <c r="B189" s="1"/>
      <c r="C189" s="1"/>
      <c r="D189" s="55"/>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45">
      <c r="A190" s="1"/>
      <c r="B190" s="1"/>
      <c r="C190" s="1"/>
      <c r="D190" s="55"/>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45">
      <c r="A191" s="1"/>
      <c r="B191" s="1"/>
      <c r="C191" s="1"/>
      <c r="D191" s="55"/>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45">
      <c r="A192" s="1"/>
      <c r="B192" s="1"/>
      <c r="C192" s="1"/>
      <c r="D192" s="55"/>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45">
      <c r="A193" s="1"/>
      <c r="B193" s="1"/>
      <c r="C193" s="1"/>
      <c r="D193" s="55"/>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45">
      <c r="A194" s="1"/>
      <c r="B194" s="1"/>
      <c r="C194" s="1"/>
      <c r="D194" s="55"/>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45">
      <c r="A195" s="1"/>
      <c r="B195" s="1"/>
      <c r="C195" s="1"/>
      <c r="D195" s="55"/>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45">
      <c r="A196" s="1"/>
      <c r="B196" s="1"/>
      <c r="C196" s="1"/>
      <c r="D196" s="55"/>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45">
      <c r="A197" s="1"/>
      <c r="B197" s="1"/>
      <c r="C197" s="1"/>
      <c r="D197" s="55"/>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45">
      <c r="A198" s="1"/>
      <c r="B198" s="1"/>
      <c r="C198" s="1"/>
      <c r="D198" s="55"/>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45">
      <c r="A199" s="1"/>
      <c r="B199" s="1"/>
      <c r="C199" s="1"/>
      <c r="D199" s="55"/>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45">
      <c r="A200" s="1"/>
      <c r="B200" s="1"/>
      <c r="C200" s="1"/>
      <c r="D200" s="55"/>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45">
      <c r="A201" s="1"/>
      <c r="B201" s="1"/>
      <c r="C201" s="1"/>
      <c r="D201" s="55"/>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45">
      <c r="A202" s="1"/>
      <c r="B202" s="1"/>
      <c r="C202" s="1"/>
      <c r="D202" s="55"/>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45">
      <c r="A203" s="1"/>
      <c r="B203" s="1"/>
      <c r="C203" s="1"/>
      <c r="D203" s="55"/>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45">
      <c r="A204" s="1"/>
      <c r="B204" s="1"/>
      <c r="C204" s="1"/>
      <c r="D204" s="55"/>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45">
      <c r="A205" s="1"/>
      <c r="B205" s="1"/>
      <c r="C205" s="1"/>
      <c r="D205" s="55"/>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45">
      <c r="A206" s="1"/>
      <c r="B206" s="1"/>
      <c r="C206" s="1"/>
      <c r="D206" s="55"/>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45">
      <c r="A207" s="1"/>
      <c r="B207" s="1"/>
      <c r="C207" s="1"/>
      <c r="D207" s="55"/>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45">
      <c r="A208" s="1"/>
      <c r="B208" s="1"/>
      <c r="C208" s="1"/>
      <c r="D208" s="55"/>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45">
      <c r="A209" s="1"/>
      <c r="B209" s="1"/>
      <c r="C209" s="1"/>
      <c r="D209" s="55"/>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45">
      <c r="A210" s="1"/>
      <c r="B210" s="1"/>
      <c r="C210" s="1"/>
      <c r="D210" s="55"/>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45">
      <c r="A211" s="1"/>
      <c r="B211" s="1"/>
      <c r="C211" s="1"/>
      <c r="D211" s="55"/>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45">
      <c r="A212" s="1"/>
      <c r="B212" s="1"/>
      <c r="C212" s="1"/>
      <c r="D212" s="55"/>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45">
      <c r="A213" s="1"/>
      <c r="B213" s="1"/>
      <c r="C213" s="1"/>
      <c r="D213" s="55"/>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45">
      <c r="A214" s="1"/>
      <c r="B214" s="1"/>
      <c r="C214" s="1"/>
      <c r="D214" s="55"/>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45">
      <c r="A215" s="1"/>
      <c r="B215" s="1"/>
      <c r="C215" s="1"/>
      <c r="D215" s="55"/>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45">
      <c r="A216" s="1"/>
      <c r="B216" s="1"/>
      <c r="C216" s="1"/>
      <c r="D216" s="55"/>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45">
      <c r="A217" s="1"/>
      <c r="B217" s="1"/>
      <c r="C217" s="1"/>
      <c r="D217" s="55"/>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45">
      <c r="A218" s="1"/>
      <c r="B218" s="1"/>
      <c r="C218" s="1"/>
      <c r="D218" s="55"/>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45">
      <c r="A219" s="1"/>
      <c r="B219" s="1"/>
      <c r="C219" s="1"/>
      <c r="D219" s="55"/>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45">
      <c r="A220" s="1"/>
      <c r="B220" s="1"/>
      <c r="C220" s="1"/>
      <c r="D220" s="55"/>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45">
      <c r="A221" s="1"/>
      <c r="B221" s="1"/>
      <c r="C221" s="1"/>
      <c r="D221" s="55"/>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45">
      <c r="A222" s="1"/>
      <c r="B222" s="1"/>
      <c r="C222" s="1"/>
      <c r="D222" s="55"/>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45">
      <c r="A223" s="1"/>
      <c r="B223" s="1"/>
      <c r="C223" s="1"/>
      <c r="D223" s="55"/>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45">
      <c r="A224" s="1"/>
      <c r="B224" s="1"/>
      <c r="C224" s="1"/>
      <c r="D224" s="55"/>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45">
      <c r="A225" s="1"/>
      <c r="B225" s="1"/>
      <c r="C225" s="1"/>
      <c r="D225" s="55"/>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45">
      <c r="A226" s="1"/>
      <c r="B226" s="1"/>
      <c r="C226" s="1"/>
      <c r="D226" s="55"/>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45">
      <c r="A227" s="1"/>
      <c r="B227" s="1"/>
      <c r="C227" s="1"/>
      <c r="D227" s="55"/>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4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4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4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4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4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4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4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4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4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4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4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4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4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hyperlinks>
    <hyperlink ref="C25" r:id="rId1" xr:uid="{00000000-0004-0000-0700-000000000000}"/>
    <hyperlink ref="C26" r:id="rId2" xr:uid="{00000000-0004-0000-0700-000001000000}"/>
    <hyperlink ref="C27" r:id="rId3" xr:uid="{00000000-0004-0000-0700-000002000000}"/>
  </hyperlinks>
  <pageMargins left="0" right="0" top="0" bottom="0"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C47D"/>
  </sheetPr>
  <dimension ref="A1:M1000"/>
  <sheetViews>
    <sheetView workbookViewId="0"/>
  </sheetViews>
  <sheetFormatPr defaultColWidth="12.69140625" defaultRowHeight="15" customHeight="1" x14ac:dyDescent="0.45"/>
  <cols>
    <col min="1" max="1" width="3.23046875" customWidth="1"/>
    <col min="2" max="2" width="2.3828125" customWidth="1"/>
    <col min="3" max="3" width="38.765625" customWidth="1"/>
    <col min="4" max="5" width="13.765625" customWidth="1"/>
    <col min="6" max="6" width="9" customWidth="1"/>
    <col min="7" max="10" width="13.765625" customWidth="1"/>
    <col min="11" max="11" width="8.3828125" customWidth="1"/>
    <col min="12" max="12" width="3.3828125" customWidth="1"/>
    <col min="13" max="13" width="12.3828125" customWidth="1"/>
  </cols>
  <sheetData>
    <row r="1" spans="1:13" ht="20.25" customHeight="1" x14ac:dyDescent="0.45">
      <c r="A1" s="618"/>
      <c r="B1" s="54"/>
      <c r="C1" s="619" t="s">
        <v>19</v>
      </c>
      <c r="D1" s="349"/>
      <c r="E1" s="349"/>
      <c r="F1" s="349"/>
      <c r="G1" s="349"/>
      <c r="H1" s="349"/>
      <c r="I1" s="349"/>
      <c r="J1" s="349"/>
      <c r="K1" s="349"/>
      <c r="L1" s="71"/>
      <c r="M1" s="1"/>
    </row>
    <row r="2" spans="1:13" ht="14.25" customHeight="1" x14ac:dyDescent="0.45">
      <c r="A2" s="618"/>
      <c r="B2" s="618"/>
      <c r="C2" s="5"/>
      <c r="D2" s="6"/>
      <c r="E2" s="6"/>
      <c r="F2" s="6"/>
      <c r="G2" s="6"/>
      <c r="H2" s="618"/>
      <c r="I2" s="618"/>
      <c r="J2" s="618"/>
      <c r="K2" s="618"/>
      <c r="L2" s="618"/>
      <c r="M2" s="1"/>
    </row>
    <row r="3" spans="1:13" ht="14.25" customHeight="1" x14ac:dyDescent="0.45">
      <c r="A3" s="618"/>
      <c r="B3" s="7"/>
      <c r="C3" s="103"/>
      <c r="D3" s="104"/>
      <c r="E3" s="104"/>
      <c r="F3" s="104"/>
      <c r="G3" s="104"/>
      <c r="H3" s="158"/>
      <c r="I3" s="158"/>
      <c r="J3" s="158"/>
      <c r="K3" s="158"/>
      <c r="L3" s="159"/>
      <c r="M3" s="1"/>
    </row>
    <row r="4" spans="1:13" ht="21" customHeight="1" x14ac:dyDescent="0.45">
      <c r="A4" s="618"/>
      <c r="B4" s="106"/>
      <c r="C4" s="107" t="s">
        <v>20</v>
      </c>
      <c r="D4" s="108"/>
      <c r="E4" s="108"/>
      <c r="F4" s="108"/>
      <c r="G4" s="108"/>
      <c r="H4" s="183"/>
      <c r="I4" s="183"/>
      <c r="J4" s="183"/>
      <c r="K4" s="183"/>
      <c r="L4" s="184"/>
      <c r="M4" s="1"/>
    </row>
    <row r="5" spans="1:13" ht="14.25" customHeight="1" x14ac:dyDescent="0.45">
      <c r="A5" s="4"/>
      <c r="B5" s="160"/>
      <c r="C5" s="111"/>
      <c r="D5" s="443"/>
      <c r="E5" s="443"/>
      <c r="F5" s="443"/>
      <c r="G5" s="443"/>
      <c r="H5" s="174"/>
      <c r="I5" s="174"/>
      <c r="J5" s="174"/>
      <c r="K5" s="174"/>
      <c r="L5" s="431"/>
      <c r="M5" s="1"/>
    </row>
    <row r="6" spans="1:13" ht="14.25" customHeight="1" x14ac:dyDescent="0.45">
      <c r="A6" s="618"/>
      <c r="B6" s="106"/>
      <c r="C6" s="115"/>
      <c r="D6" s="132"/>
      <c r="E6" s="132"/>
      <c r="F6" s="132"/>
      <c r="G6" s="132"/>
      <c r="H6" s="162"/>
      <c r="I6" s="162"/>
      <c r="J6" s="162"/>
      <c r="K6" s="162"/>
      <c r="L6" s="184"/>
      <c r="M6" s="1"/>
    </row>
    <row r="7" spans="1:13" ht="14.25" customHeight="1" x14ac:dyDescent="0.45">
      <c r="A7" s="618"/>
      <c r="B7" s="106"/>
      <c r="C7" s="115"/>
      <c r="D7" s="132"/>
      <c r="E7" s="132"/>
      <c r="F7" s="132"/>
      <c r="G7" s="132"/>
      <c r="H7" s="162"/>
      <c r="I7" s="162"/>
      <c r="J7" s="162"/>
      <c r="K7" s="162"/>
      <c r="L7" s="184"/>
      <c r="M7" s="1"/>
    </row>
    <row r="8" spans="1:13" ht="14.25" customHeight="1" x14ac:dyDescent="0.45">
      <c r="A8" s="618"/>
      <c r="B8" s="106"/>
      <c r="C8" s="115"/>
      <c r="D8" s="132"/>
      <c r="E8" s="132"/>
      <c r="F8" s="132"/>
      <c r="G8" s="132"/>
      <c r="H8" s="162"/>
      <c r="I8" s="162"/>
      <c r="J8" s="162"/>
      <c r="K8" s="162"/>
      <c r="L8" s="184"/>
      <c r="M8" s="1"/>
    </row>
    <row r="9" spans="1:13" ht="14.25" customHeight="1" x14ac:dyDescent="0.45">
      <c r="A9" s="618"/>
      <c r="B9" s="106"/>
      <c r="C9" s="115"/>
      <c r="D9" s="132"/>
      <c r="E9" s="132"/>
      <c r="F9" s="132"/>
      <c r="G9" s="132"/>
      <c r="H9" s="162"/>
      <c r="I9" s="162"/>
      <c r="J9" s="162"/>
      <c r="K9" s="162"/>
      <c r="L9" s="184"/>
      <c r="M9" s="1"/>
    </row>
    <row r="10" spans="1:13" ht="14.25" customHeight="1" x14ac:dyDescent="0.45">
      <c r="A10" s="618"/>
      <c r="B10" s="106"/>
      <c r="C10" s="115"/>
      <c r="D10" s="132"/>
      <c r="E10" s="132"/>
      <c r="F10" s="132"/>
      <c r="G10" s="132"/>
      <c r="H10" s="162"/>
      <c r="I10" s="162"/>
      <c r="J10" s="162"/>
      <c r="K10" s="162"/>
      <c r="L10" s="184"/>
      <c r="M10" s="1"/>
    </row>
    <row r="11" spans="1:13" ht="14.25" customHeight="1" x14ac:dyDescent="0.45">
      <c r="A11" s="618"/>
      <c r="B11" s="106"/>
      <c r="C11" s="115"/>
      <c r="D11" s="132"/>
      <c r="E11" s="132"/>
      <c r="F11" s="132"/>
      <c r="G11" s="132"/>
      <c r="H11" s="162"/>
      <c r="I11" s="162"/>
      <c r="J11" s="162"/>
      <c r="K11" s="162"/>
      <c r="L11" s="184"/>
      <c r="M11" s="1"/>
    </row>
    <row r="12" spans="1:13" ht="14.25" customHeight="1" x14ac:dyDescent="0.45">
      <c r="A12" s="618"/>
      <c r="B12" s="106"/>
      <c r="C12" s="115"/>
      <c r="D12" s="132"/>
      <c r="E12" s="132"/>
      <c r="F12" s="132"/>
      <c r="G12" s="132"/>
      <c r="H12" s="162"/>
      <c r="I12" s="162"/>
      <c r="J12" s="162"/>
      <c r="K12" s="162"/>
      <c r="L12" s="184"/>
      <c r="M12" s="1"/>
    </row>
    <row r="13" spans="1:13" ht="14.25" customHeight="1" x14ac:dyDescent="0.45">
      <c r="A13" s="618"/>
      <c r="B13" s="106"/>
      <c r="C13" s="115"/>
      <c r="D13" s="132"/>
      <c r="E13" s="132"/>
      <c r="F13" s="132"/>
      <c r="G13" s="132"/>
      <c r="H13" s="162"/>
      <c r="I13" s="162"/>
      <c r="J13" s="162"/>
      <c r="K13" s="162"/>
      <c r="L13" s="184"/>
      <c r="M13" s="1"/>
    </row>
    <row r="14" spans="1:13" ht="14.25" customHeight="1" x14ac:dyDescent="0.45">
      <c r="A14" s="618"/>
      <c r="B14" s="106"/>
      <c r="C14" s="115"/>
      <c r="D14" s="132"/>
      <c r="E14" s="132"/>
      <c r="F14" s="132"/>
      <c r="G14" s="132"/>
      <c r="H14" s="162"/>
      <c r="I14" s="162"/>
      <c r="J14" s="162"/>
      <c r="K14" s="162"/>
      <c r="L14" s="184"/>
      <c r="M14" s="1"/>
    </row>
    <row r="15" spans="1:13" ht="14.25" customHeight="1" x14ac:dyDescent="0.45">
      <c r="A15" s="618"/>
      <c r="B15" s="106"/>
      <c r="C15" s="115"/>
      <c r="D15" s="132"/>
      <c r="E15" s="132"/>
      <c r="F15" s="132"/>
      <c r="G15" s="132"/>
      <c r="H15" s="162"/>
      <c r="I15" s="162"/>
      <c r="J15" s="162"/>
      <c r="K15" s="162"/>
      <c r="L15" s="184"/>
      <c r="M15" s="1"/>
    </row>
    <row r="16" spans="1:13" ht="14.25" customHeight="1" x14ac:dyDescent="0.45">
      <c r="A16" s="618"/>
      <c r="B16" s="106"/>
      <c r="C16" s="115"/>
      <c r="D16" s="132"/>
      <c r="E16" s="132"/>
      <c r="F16" s="132"/>
      <c r="G16" s="132"/>
      <c r="H16" s="162"/>
      <c r="I16" s="162"/>
      <c r="J16" s="162"/>
      <c r="K16" s="162"/>
      <c r="L16" s="184"/>
      <c r="M16" s="1"/>
    </row>
    <row r="17" spans="1:13" ht="14.25" customHeight="1" x14ac:dyDescent="0.45">
      <c r="A17" s="618"/>
      <c r="B17" s="106"/>
      <c r="C17" s="115"/>
      <c r="D17" s="132"/>
      <c r="E17" s="132"/>
      <c r="F17" s="132"/>
      <c r="G17" s="132"/>
      <c r="H17" s="162"/>
      <c r="I17" s="162"/>
      <c r="J17" s="162"/>
      <c r="K17" s="162"/>
      <c r="L17" s="184"/>
      <c r="M17" s="1"/>
    </row>
    <row r="18" spans="1:13" ht="14.25" customHeight="1" x14ac:dyDescent="0.45">
      <c r="A18" s="618"/>
      <c r="B18" s="106"/>
      <c r="C18" s="115"/>
      <c r="D18" s="132"/>
      <c r="E18" s="132"/>
      <c r="F18" s="132"/>
      <c r="G18" s="132"/>
      <c r="H18" s="162"/>
      <c r="I18" s="162"/>
      <c r="J18" s="162"/>
      <c r="K18" s="162"/>
      <c r="L18" s="184"/>
      <c r="M18" s="1"/>
    </row>
    <row r="19" spans="1:13" ht="14.25" customHeight="1" x14ac:dyDescent="0.45">
      <c r="A19" s="618"/>
      <c r="B19" s="106"/>
      <c r="C19" s="115"/>
      <c r="D19" s="132"/>
      <c r="E19" s="132"/>
      <c r="F19" s="132"/>
      <c r="G19" s="132"/>
      <c r="H19" s="162"/>
      <c r="I19" s="162"/>
      <c r="J19" s="162"/>
      <c r="K19" s="162"/>
      <c r="L19" s="184"/>
      <c r="M19" s="1"/>
    </row>
    <row r="20" spans="1:13" ht="14.25" customHeight="1" x14ac:dyDescent="0.45">
      <c r="A20" s="618"/>
      <c r="B20" s="106"/>
      <c r="C20" s="115"/>
      <c r="D20" s="132"/>
      <c r="E20" s="132"/>
      <c r="F20" s="132"/>
      <c r="G20" s="132"/>
      <c r="H20" s="162"/>
      <c r="I20" s="162"/>
      <c r="J20" s="162"/>
      <c r="K20" s="162"/>
      <c r="L20" s="184"/>
      <c r="M20" s="1"/>
    </row>
    <row r="21" spans="1:13" ht="14.25" customHeight="1" x14ac:dyDescent="0.45">
      <c r="A21" s="618"/>
      <c r="B21" s="106"/>
      <c r="C21" s="115"/>
      <c r="D21" s="132"/>
      <c r="E21" s="132"/>
      <c r="F21" s="132"/>
      <c r="G21" s="132"/>
      <c r="H21" s="162"/>
      <c r="I21" s="162"/>
      <c r="J21" s="162"/>
      <c r="K21" s="162"/>
      <c r="L21" s="184"/>
      <c r="M21" s="1"/>
    </row>
    <row r="22" spans="1:13" ht="14.25" customHeight="1" x14ac:dyDescent="0.45">
      <c r="A22" s="618"/>
      <c r="B22" s="106"/>
      <c r="C22" s="115"/>
      <c r="D22" s="132"/>
      <c r="E22" s="132"/>
      <c r="F22" s="132"/>
      <c r="G22" s="132"/>
      <c r="H22" s="162"/>
      <c r="I22" s="162"/>
      <c r="J22" s="162"/>
      <c r="K22" s="162"/>
      <c r="L22" s="184"/>
      <c r="M22" s="1"/>
    </row>
    <row r="23" spans="1:13" ht="14.25" customHeight="1" x14ac:dyDescent="0.45">
      <c r="A23" s="618"/>
      <c r="B23" s="106"/>
      <c r="C23" s="115"/>
      <c r="D23" s="132"/>
      <c r="E23" s="132"/>
      <c r="F23" s="132"/>
      <c r="G23" s="132"/>
      <c r="H23" s="162"/>
      <c r="I23" s="162"/>
      <c r="J23" s="162"/>
      <c r="K23" s="162"/>
      <c r="L23" s="184"/>
      <c r="M23" s="1"/>
    </row>
    <row r="24" spans="1:13" ht="14.25" customHeight="1" x14ac:dyDescent="0.45">
      <c r="A24" s="618"/>
      <c r="B24" s="106"/>
      <c r="C24" s="115"/>
      <c r="D24" s="132"/>
      <c r="E24" s="132"/>
      <c r="F24" s="132"/>
      <c r="G24" s="132"/>
      <c r="H24" s="162"/>
      <c r="I24" s="162"/>
      <c r="J24" s="162"/>
      <c r="K24" s="162"/>
      <c r="L24" s="184"/>
      <c r="M24" s="1"/>
    </row>
    <row r="25" spans="1:13" ht="14.25" customHeight="1" x14ac:dyDescent="0.45">
      <c r="A25" s="618"/>
      <c r="B25" s="106"/>
      <c r="C25" s="115"/>
      <c r="D25" s="132"/>
      <c r="E25" s="132"/>
      <c r="F25" s="132"/>
      <c r="G25" s="132"/>
      <c r="H25" s="162"/>
      <c r="I25" s="162"/>
      <c r="J25" s="162"/>
      <c r="K25" s="162"/>
      <c r="L25" s="184"/>
      <c r="M25" s="1"/>
    </row>
    <row r="26" spans="1:13" ht="14.25" customHeight="1" x14ac:dyDescent="0.45">
      <c r="A26" s="618"/>
      <c r="B26" s="106"/>
      <c r="C26" s="115"/>
      <c r="D26" s="132"/>
      <c r="E26" s="132"/>
      <c r="F26" s="132"/>
      <c r="G26" s="132"/>
      <c r="H26" s="162"/>
      <c r="I26" s="162"/>
      <c r="J26" s="162"/>
      <c r="K26" s="162"/>
      <c r="L26" s="184"/>
      <c r="M26" s="1"/>
    </row>
    <row r="27" spans="1:13" ht="14.25" customHeight="1" x14ac:dyDescent="0.45">
      <c r="A27" s="618"/>
      <c r="B27" s="106"/>
      <c r="C27" s="115"/>
      <c r="D27" s="132"/>
      <c r="E27" s="132"/>
      <c r="F27" s="132"/>
      <c r="G27" s="132"/>
      <c r="H27" s="162"/>
      <c r="I27" s="162"/>
      <c r="J27" s="162"/>
      <c r="K27" s="162"/>
      <c r="L27" s="184"/>
      <c r="M27" s="1"/>
    </row>
    <row r="28" spans="1:13" ht="14.25" customHeight="1" x14ac:dyDescent="0.45">
      <c r="A28" s="618"/>
      <c r="B28" s="106"/>
      <c r="C28" s="115"/>
      <c r="D28" s="132"/>
      <c r="E28" s="132"/>
      <c r="F28" s="132"/>
      <c r="G28" s="132"/>
      <c r="H28" s="162"/>
      <c r="I28" s="162"/>
      <c r="J28" s="162"/>
      <c r="K28" s="162"/>
      <c r="L28" s="184"/>
      <c r="M28" s="1"/>
    </row>
    <row r="29" spans="1:13" ht="14.25" customHeight="1" x14ac:dyDescent="0.45">
      <c r="A29" s="618"/>
      <c r="B29" s="106"/>
      <c r="C29" s="115"/>
      <c r="D29" s="132"/>
      <c r="E29" s="132"/>
      <c r="F29" s="132"/>
      <c r="G29" s="132"/>
      <c r="H29" s="162"/>
      <c r="I29" s="162"/>
      <c r="J29" s="162"/>
      <c r="K29" s="162"/>
      <c r="L29" s="184"/>
      <c r="M29" s="1"/>
    </row>
    <row r="30" spans="1:13" ht="14.25" customHeight="1" x14ac:dyDescent="0.45">
      <c r="A30" s="618"/>
      <c r="B30" s="106"/>
      <c r="C30" s="115"/>
      <c r="D30" s="132"/>
      <c r="E30" s="132"/>
      <c r="F30" s="132"/>
      <c r="G30" s="132"/>
      <c r="H30" s="162"/>
      <c r="I30" s="162"/>
      <c r="J30" s="162"/>
      <c r="K30" s="162"/>
      <c r="L30" s="184"/>
      <c r="M30" s="1"/>
    </row>
    <row r="31" spans="1:13" ht="14.25" customHeight="1" x14ac:dyDescent="0.45">
      <c r="A31" s="618"/>
      <c r="B31" s="106"/>
      <c r="C31" s="115"/>
      <c r="D31" s="132"/>
      <c r="E31" s="132"/>
      <c r="F31" s="132"/>
      <c r="G31" s="132"/>
      <c r="H31" s="162"/>
      <c r="I31" s="162"/>
      <c r="J31" s="162"/>
      <c r="K31" s="162"/>
      <c r="L31" s="184"/>
      <c r="M31" s="1"/>
    </row>
    <row r="32" spans="1:13" ht="14.25" customHeight="1" x14ac:dyDescent="0.45">
      <c r="A32" s="618"/>
      <c r="B32" s="106"/>
      <c r="C32" s="115"/>
      <c r="D32" s="132"/>
      <c r="E32" s="132"/>
      <c r="F32" s="132"/>
      <c r="G32" s="132"/>
      <c r="H32" s="162"/>
      <c r="I32" s="162"/>
      <c r="J32" s="162"/>
      <c r="K32" s="162"/>
      <c r="L32" s="184"/>
      <c r="M32" s="1"/>
    </row>
    <row r="33" spans="1:13" ht="14.25" customHeight="1" x14ac:dyDescent="0.45">
      <c r="A33" s="618"/>
      <c r="B33" s="106"/>
      <c r="C33" s="115"/>
      <c r="D33" s="132"/>
      <c r="E33" s="132"/>
      <c r="F33" s="132"/>
      <c r="G33" s="132"/>
      <c r="H33" s="162"/>
      <c r="I33" s="162"/>
      <c r="J33" s="162"/>
      <c r="K33" s="162"/>
      <c r="L33" s="184"/>
      <c r="M33" s="1"/>
    </row>
    <row r="34" spans="1:13" ht="14.25" customHeight="1" x14ac:dyDescent="0.45">
      <c r="A34" s="618"/>
      <c r="B34" s="106"/>
      <c r="C34" s="115"/>
      <c r="D34" s="132"/>
      <c r="E34" s="132"/>
      <c r="F34" s="132"/>
      <c r="G34" s="132"/>
      <c r="H34" s="162"/>
      <c r="I34" s="162"/>
      <c r="J34" s="162"/>
      <c r="K34" s="162"/>
      <c r="L34" s="184"/>
      <c r="M34" s="1"/>
    </row>
    <row r="35" spans="1:13" ht="14.25" customHeight="1" x14ac:dyDescent="0.45">
      <c r="A35" s="618"/>
      <c r="B35" s="106"/>
      <c r="C35" s="115"/>
      <c r="D35" s="132"/>
      <c r="E35" s="132"/>
      <c r="F35" s="132"/>
      <c r="G35" s="132"/>
      <c r="H35" s="162"/>
      <c r="I35" s="162"/>
      <c r="J35" s="162"/>
      <c r="K35" s="162"/>
      <c r="L35" s="184"/>
      <c r="M35" s="1"/>
    </row>
    <row r="36" spans="1:13" ht="14.25" customHeight="1" x14ac:dyDescent="0.45">
      <c r="A36" s="618"/>
      <c r="B36" s="106"/>
      <c r="C36" s="115"/>
      <c r="D36" s="132"/>
      <c r="E36" s="132"/>
      <c r="F36" s="132"/>
      <c r="G36" s="132"/>
      <c r="H36" s="162"/>
      <c r="I36" s="162"/>
      <c r="J36" s="162"/>
      <c r="K36" s="162"/>
      <c r="L36" s="184"/>
      <c r="M36" s="1"/>
    </row>
    <row r="37" spans="1:13" ht="14.25" customHeight="1" x14ac:dyDescent="0.45">
      <c r="A37" s="618"/>
      <c r="B37" s="106"/>
      <c r="C37" s="115"/>
      <c r="D37" s="132"/>
      <c r="E37" s="132"/>
      <c r="F37" s="132"/>
      <c r="G37" s="132"/>
      <c r="H37" s="162"/>
      <c r="I37" s="162"/>
      <c r="J37" s="162"/>
      <c r="K37" s="162"/>
      <c r="L37" s="184"/>
      <c r="M37" s="1"/>
    </row>
    <row r="38" spans="1:13" ht="14.25" customHeight="1" x14ac:dyDescent="0.45">
      <c r="A38" s="618"/>
      <c r="B38" s="106"/>
      <c r="C38" s="115"/>
      <c r="D38" s="132"/>
      <c r="E38" s="132"/>
      <c r="F38" s="132"/>
      <c r="G38" s="132"/>
      <c r="H38" s="162"/>
      <c r="I38" s="162"/>
      <c r="J38" s="162"/>
      <c r="K38" s="162"/>
      <c r="L38" s="184"/>
      <c r="M38" s="1"/>
    </row>
    <row r="39" spans="1:13" ht="14.25" customHeight="1" x14ac:dyDescent="0.45">
      <c r="A39" s="618"/>
      <c r="B39" s="106"/>
      <c r="C39" s="115"/>
      <c r="D39" s="132"/>
      <c r="E39" s="132"/>
      <c r="F39" s="132"/>
      <c r="G39" s="132"/>
      <c r="H39" s="162"/>
      <c r="I39" s="162"/>
      <c r="J39" s="162"/>
      <c r="K39" s="162"/>
      <c r="L39" s="184"/>
      <c r="M39" s="1"/>
    </row>
    <row r="40" spans="1:13" ht="14.25" customHeight="1" x14ac:dyDescent="0.45">
      <c r="A40" s="618"/>
      <c r="B40" s="106"/>
      <c r="C40" s="115"/>
      <c r="D40" s="132"/>
      <c r="E40" s="132"/>
      <c r="F40" s="132"/>
      <c r="G40" s="132"/>
      <c r="H40" s="162"/>
      <c r="I40" s="162"/>
      <c r="J40" s="162"/>
      <c r="K40" s="162"/>
      <c r="L40" s="184"/>
      <c r="M40" s="1"/>
    </row>
    <row r="41" spans="1:13" ht="14.25" customHeight="1" x14ac:dyDescent="0.45">
      <c r="A41" s="618"/>
      <c r="B41" s="106"/>
      <c r="C41" s="115"/>
      <c r="D41" s="132"/>
      <c r="E41" s="132"/>
      <c r="F41" s="132"/>
      <c r="G41" s="132"/>
      <c r="H41" s="162"/>
      <c r="I41" s="162"/>
      <c r="J41" s="162"/>
      <c r="K41" s="162"/>
      <c r="L41" s="184"/>
      <c r="M41" s="1"/>
    </row>
    <row r="42" spans="1:13" ht="14.25" customHeight="1" x14ac:dyDescent="0.45">
      <c r="A42" s="618"/>
      <c r="B42" s="106"/>
      <c r="C42" s="115"/>
      <c r="D42" s="132"/>
      <c r="E42" s="132"/>
      <c r="F42" s="132"/>
      <c r="G42" s="132"/>
      <c r="H42" s="162"/>
      <c r="I42" s="162"/>
      <c r="J42" s="162"/>
      <c r="K42" s="162"/>
      <c r="L42" s="184"/>
      <c r="M42" s="1"/>
    </row>
    <row r="43" spans="1:13" ht="14.25" customHeight="1" x14ac:dyDescent="0.45">
      <c r="A43" s="618"/>
      <c r="B43" s="106"/>
      <c r="C43" s="115"/>
      <c r="D43" s="132"/>
      <c r="E43" s="132"/>
      <c r="F43" s="132"/>
      <c r="G43" s="132"/>
      <c r="H43" s="162"/>
      <c r="I43" s="162"/>
      <c r="J43" s="162"/>
      <c r="K43" s="162"/>
      <c r="L43" s="184"/>
      <c r="M43" s="1"/>
    </row>
    <row r="44" spans="1:13" ht="14.25" customHeight="1" x14ac:dyDescent="0.45">
      <c r="A44" s="618"/>
      <c r="B44" s="106"/>
      <c r="C44" s="115"/>
      <c r="D44" s="132"/>
      <c r="E44" s="132"/>
      <c r="F44" s="132"/>
      <c r="G44" s="132"/>
      <c r="H44" s="162"/>
      <c r="I44" s="162"/>
      <c r="J44" s="162"/>
      <c r="K44" s="162"/>
      <c r="L44" s="184"/>
      <c r="M44" s="1"/>
    </row>
    <row r="45" spans="1:13" ht="14.25" customHeight="1" x14ac:dyDescent="0.45">
      <c r="A45" s="618"/>
      <c r="B45" s="106"/>
      <c r="C45" s="115"/>
      <c r="D45" s="132"/>
      <c r="E45" s="132"/>
      <c r="F45" s="132"/>
      <c r="G45" s="132"/>
      <c r="H45" s="162"/>
      <c r="I45" s="162"/>
      <c r="J45" s="162"/>
      <c r="K45" s="162"/>
      <c r="L45" s="184"/>
      <c r="M45" s="1"/>
    </row>
    <row r="46" spans="1:13" ht="14.25" customHeight="1" x14ac:dyDescent="0.45">
      <c r="A46" s="618"/>
      <c r="B46" s="106"/>
      <c r="C46" s="115"/>
      <c r="D46" s="132"/>
      <c r="E46" s="132"/>
      <c r="F46" s="132"/>
      <c r="G46" s="132"/>
      <c r="H46" s="162"/>
      <c r="I46" s="162"/>
      <c r="J46" s="162"/>
      <c r="K46" s="162"/>
      <c r="L46" s="184"/>
      <c r="M46" s="1"/>
    </row>
    <row r="47" spans="1:13" ht="14.25" customHeight="1" x14ac:dyDescent="0.45">
      <c r="A47" s="618"/>
      <c r="B47" s="106"/>
      <c r="C47" s="115"/>
      <c r="D47" s="132"/>
      <c r="E47" s="132"/>
      <c r="F47" s="132"/>
      <c r="G47" s="132"/>
      <c r="H47" s="162"/>
      <c r="I47" s="162"/>
      <c r="J47" s="162"/>
      <c r="K47" s="162"/>
      <c r="L47" s="184"/>
      <c r="M47" s="1"/>
    </row>
    <row r="48" spans="1:13" ht="14.25" customHeight="1" x14ac:dyDescent="0.45">
      <c r="A48" s="618"/>
      <c r="B48" s="106"/>
      <c r="C48" s="115"/>
      <c r="D48" s="132"/>
      <c r="E48" s="132"/>
      <c r="F48" s="132"/>
      <c r="G48" s="132"/>
      <c r="H48" s="162"/>
      <c r="I48" s="162"/>
      <c r="J48" s="162"/>
      <c r="K48" s="162"/>
      <c r="L48" s="184"/>
      <c r="M48" s="1"/>
    </row>
    <row r="49" spans="1:13" ht="14.25" customHeight="1" x14ac:dyDescent="0.45">
      <c r="A49" s="618"/>
      <c r="B49" s="106"/>
      <c r="C49" s="115"/>
      <c r="D49" s="132"/>
      <c r="E49" s="132"/>
      <c r="F49" s="132"/>
      <c r="G49" s="132"/>
      <c r="H49" s="162"/>
      <c r="I49" s="162"/>
      <c r="J49" s="162"/>
      <c r="K49" s="162"/>
      <c r="L49" s="184"/>
      <c r="M49" s="1"/>
    </row>
    <row r="50" spans="1:13" ht="14.25" customHeight="1" x14ac:dyDescent="0.45">
      <c r="A50" s="618"/>
      <c r="B50" s="106"/>
      <c r="C50" s="115"/>
      <c r="D50" s="132"/>
      <c r="E50" s="132"/>
      <c r="F50" s="132"/>
      <c r="G50" s="132"/>
      <c r="H50" s="162"/>
      <c r="I50" s="162"/>
      <c r="J50" s="162"/>
      <c r="K50" s="162"/>
      <c r="L50" s="184"/>
      <c r="M50" s="1"/>
    </row>
    <row r="51" spans="1:13" ht="14.25" customHeight="1" x14ac:dyDescent="0.45">
      <c r="A51" s="618"/>
      <c r="B51" s="106"/>
      <c r="C51" s="115"/>
      <c r="D51" s="132"/>
      <c r="E51" s="132"/>
      <c r="F51" s="132"/>
      <c r="G51" s="132"/>
      <c r="H51" s="162"/>
      <c r="I51" s="162"/>
      <c r="J51" s="162"/>
      <c r="K51" s="162"/>
      <c r="L51" s="184"/>
      <c r="M51" s="1"/>
    </row>
    <row r="52" spans="1:13" ht="14.25" customHeight="1" x14ac:dyDescent="0.45">
      <c r="A52" s="618"/>
      <c r="B52" s="106"/>
      <c r="C52" s="115"/>
      <c r="D52" s="132"/>
      <c r="E52" s="132"/>
      <c r="F52" s="132"/>
      <c r="G52" s="132"/>
      <c r="H52" s="162"/>
      <c r="I52" s="162"/>
      <c r="J52" s="162"/>
      <c r="K52" s="162"/>
      <c r="L52" s="184"/>
      <c r="M52" s="1"/>
    </row>
    <row r="53" spans="1:13" ht="14.25" customHeight="1" x14ac:dyDescent="0.45">
      <c r="A53" s="618"/>
      <c r="B53" s="106"/>
      <c r="C53" s="115"/>
      <c r="D53" s="132"/>
      <c r="E53" s="132"/>
      <c r="F53" s="132"/>
      <c r="G53" s="132"/>
      <c r="H53" s="162"/>
      <c r="I53" s="162"/>
      <c r="J53" s="162"/>
      <c r="K53" s="162"/>
      <c r="L53" s="184"/>
      <c r="M53" s="1"/>
    </row>
    <row r="54" spans="1:13" ht="14.25" customHeight="1" x14ac:dyDescent="0.45">
      <c r="A54" s="618"/>
      <c r="B54" s="106"/>
      <c r="C54" s="115"/>
      <c r="D54" s="132"/>
      <c r="E54" s="132"/>
      <c r="F54" s="132"/>
      <c r="G54" s="132"/>
      <c r="H54" s="162"/>
      <c r="I54" s="162"/>
      <c r="J54" s="162"/>
      <c r="K54" s="162"/>
      <c r="L54" s="184"/>
      <c r="M54" s="1"/>
    </row>
    <row r="55" spans="1:13" ht="14.25" customHeight="1" x14ac:dyDescent="0.45">
      <c r="A55" s="618"/>
      <c r="B55" s="106"/>
      <c r="C55" s="115"/>
      <c r="D55" s="132"/>
      <c r="E55" s="132"/>
      <c r="F55" s="132"/>
      <c r="G55" s="132"/>
      <c r="H55" s="162"/>
      <c r="I55" s="162"/>
      <c r="J55" s="162"/>
      <c r="K55" s="162"/>
      <c r="L55" s="184"/>
      <c r="M55" s="1"/>
    </row>
    <row r="56" spans="1:13" ht="14.25" customHeight="1" x14ac:dyDescent="0.45">
      <c r="A56" s="618"/>
      <c r="B56" s="106"/>
      <c r="C56" s="115"/>
      <c r="D56" s="132"/>
      <c r="E56" s="132"/>
      <c r="F56" s="132"/>
      <c r="G56" s="132"/>
      <c r="H56" s="162"/>
      <c r="I56" s="162"/>
      <c r="J56" s="162"/>
      <c r="K56" s="162"/>
      <c r="L56" s="184"/>
      <c r="M56" s="1"/>
    </row>
    <row r="57" spans="1:13" ht="14.25" customHeight="1" x14ac:dyDescent="0.45">
      <c r="A57" s="618"/>
      <c r="B57" s="106"/>
      <c r="C57" s="115"/>
      <c r="D57" s="132"/>
      <c r="E57" s="132"/>
      <c r="F57" s="132"/>
      <c r="G57" s="132"/>
      <c r="H57" s="162"/>
      <c r="I57" s="162"/>
      <c r="J57" s="162"/>
      <c r="K57" s="162"/>
      <c r="L57" s="184"/>
      <c r="M57" s="1"/>
    </row>
    <row r="58" spans="1:13" ht="14.25" customHeight="1" x14ac:dyDescent="0.45">
      <c r="A58" s="618"/>
      <c r="B58" s="106"/>
      <c r="C58" s="115"/>
      <c r="D58" s="132"/>
      <c r="E58" s="132"/>
      <c r="F58" s="132"/>
      <c r="G58" s="132"/>
      <c r="H58" s="162"/>
      <c r="I58" s="162"/>
      <c r="J58" s="162"/>
      <c r="K58" s="162"/>
      <c r="L58" s="184"/>
      <c r="M58" s="1"/>
    </row>
    <row r="59" spans="1:13" ht="14.25" customHeight="1" x14ac:dyDescent="0.45">
      <c r="A59" s="618"/>
      <c r="B59" s="106"/>
      <c r="C59" s="115"/>
      <c r="D59" s="132"/>
      <c r="E59" s="132"/>
      <c r="F59" s="132"/>
      <c r="G59" s="132"/>
      <c r="H59" s="162"/>
      <c r="I59" s="162"/>
      <c r="J59" s="162"/>
      <c r="K59" s="162"/>
      <c r="L59" s="184"/>
      <c r="M59" s="1"/>
    </row>
    <row r="60" spans="1:13" ht="14.25" customHeight="1" x14ac:dyDescent="0.45">
      <c r="A60" s="618"/>
      <c r="B60" s="106"/>
      <c r="C60" s="115"/>
      <c r="D60" s="132"/>
      <c r="E60" s="132"/>
      <c r="F60" s="132"/>
      <c r="G60" s="132"/>
      <c r="H60" s="162"/>
      <c r="I60" s="162"/>
      <c r="J60" s="162"/>
      <c r="K60" s="162"/>
      <c r="L60" s="184"/>
      <c r="M60" s="1"/>
    </row>
    <row r="61" spans="1:13" ht="14.25" customHeight="1" x14ac:dyDescent="0.45">
      <c r="A61" s="618"/>
      <c r="B61" s="106"/>
      <c r="C61" s="115"/>
      <c r="D61" s="132"/>
      <c r="E61" s="132"/>
      <c r="F61" s="132"/>
      <c r="G61" s="132"/>
      <c r="H61" s="162"/>
      <c r="I61" s="162"/>
      <c r="J61" s="162"/>
      <c r="K61" s="162"/>
      <c r="L61" s="184"/>
      <c r="M61" s="1"/>
    </row>
    <row r="62" spans="1:13" ht="14.25" customHeight="1" x14ac:dyDescent="0.45">
      <c r="A62" s="618"/>
      <c r="B62" s="106"/>
      <c r="C62" s="115"/>
      <c r="D62" s="132"/>
      <c r="E62" s="132"/>
      <c r="F62" s="132"/>
      <c r="G62" s="132"/>
      <c r="H62" s="162"/>
      <c r="I62" s="162"/>
      <c r="J62" s="162"/>
      <c r="K62" s="162"/>
      <c r="L62" s="184"/>
      <c r="M62" s="1"/>
    </row>
    <row r="63" spans="1:13" ht="14.25" customHeight="1" x14ac:dyDescent="0.45">
      <c r="A63" s="618"/>
      <c r="B63" s="106"/>
      <c r="C63" s="115"/>
      <c r="D63" s="132"/>
      <c r="E63" s="132"/>
      <c r="F63" s="132"/>
      <c r="G63" s="132"/>
      <c r="H63" s="162"/>
      <c r="I63" s="162"/>
      <c r="J63" s="162"/>
      <c r="K63" s="162"/>
      <c r="L63" s="184"/>
      <c r="M63" s="1"/>
    </row>
    <row r="64" spans="1:13" ht="14.25" customHeight="1" x14ac:dyDescent="0.45">
      <c r="A64" s="618"/>
      <c r="B64" s="106"/>
      <c r="C64" s="115"/>
      <c r="D64" s="132"/>
      <c r="E64" s="132"/>
      <c r="F64" s="132"/>
      <c r="G64" s="132"/>
      <c r="H64" s="162"/>
      <c r="I64" s="162"/>
      <c r="J64" s="162"/>
      <c r="K64" s="162"/>
      <c r="L64" s="184"/>
      <c r="M64" s="1"/>
    </row>
    <row r="65" spans="1:13" ht="14.25" customHeight="1" x14ac:dyDescent="0.45">
      <c r="A65" s="618"/>
      <c r="B65" s="106"/>
      <c r="C65" s="115"/>
      <c r="D65" s="132"/>
      <c r="E65" s="132"/>
      <c r="F65" s="132"/>
      <c r="G65" s="132"/>
      <c r="H65" s="162"/>
      <c r="I65" s="162"/>
      <c r="J65" s="162"/>
      <c r="K65" s="162"/>
      <c r="L65" s="184"/>
      <c r="M65" s="1"/>
    </row>
    <row r="66" spans="1:13" ht="14.25" customHeight="1" x14ac:dyDescent="0.45">
      <c r="A66" s="618"/>
      <c r="B66" s="106"/>
      <c r="C66" s="115"/>
      <c r="D66" s="132"/>
      <c r="E66" s="132"/>
      <c r="F66" s="132"/>
      <c r="G66" s="132"/>
      <c r="H66" s="162"/>
      <c r="I66" s="162"/>
      <c r="J66" s="162"/>
      <c r="K66" s="162"/>
      <c r="L66" s="184"/>
      <c r="M66" s="1"/>
    </row>
    <row r="67" spans="1:13" ht="14.25" customHeight="1" x14ac:dyDescent="0.45">
      <c r="A67" s="618"/>
      <c r="B67" s="106"/>
      <c r="C67" s="115"/>
      <c r="D67" s="132"/>
      <c r="E67" s="132"/>
      <c r="F67" s="132"/>
      <c r="G67" s="132"/>
      <c r="H67" s="162"/>
      <c r="I67" s="162"/>
      <c r="J67" s="162"/>
      <c r="K67" s="162"/>
      <c r="L67" s="184"/>
      <c r="M67" s="1"/>
    </row>
    <row r="68" spans="1:13" ht="14.25" customHeight="1" x14ac:dyDescent="0.45">
      <c r="A68" s="618"/>
      <c r="B68" s="106"/>
      <c r="C68" s="115"/>
      <c r="D68" s="132"/>
      <c r="E68" s="132"/>
      <c r="F68" s="132"/>
      <c r="G68" s="132"/>
      <c r="H68" s="162"/>
      <c r="I68" s="162"/>
      <c r="J68" s="162"/>
      <c r="K68" s="162"/>
      <c r="L68" s="184"/>
      <c r="M68" s="1"/>
    </row>
    <row r="69" spans="1:13" ht="14.25" customHeight="1" x14ac:dyDescent="0.45">
      <c r="A69" s="618"/>
      <c r="B69" s="106"/>
      <c r="C69" s="115"/>
      <c r="D69" s="132"/>
      <c r="E69" s="132"/>
      <c r="F69" s="132"/>
      <c r="G69" s="132"/>
      <c r="H69" s="162"/>
      <c r="I69" s="162"/>
      <c r="J69" s="162"/>
      <c r="K69" s="162"/>
      <c r="L69" s="184"/>
      <c r="M69" s="1"/>
    </row>
    <row r="70" spans="1:13" ht="14.25" customHeight="1" x14ac:dyDescent="0.45">
      <c r="A70" s="618"/>
      <c r="B70" s="106"/>
      <c r="C70" s="115"/>
      <c r="D70" s="132"/>
      <c r="E70" s="132"/>
      <c r="F70" s="132"/>
      <c r="G70" s="132"/>
      <c r="H70" s="162"/>
      <c r="I70" s="162"/>
      <c r="J70" s="162"/>
      <c r="K70" s="162"/>
      <c r="L70" s="184"/>
      <c r="M70" s="1"/>
    </row>
    <row r="71" spans="1:13" ht="14.25" customHeight="1" x14ac:dyDescent="0.45">
      <c r="A71" s="618"/>
      <c r="B71" s="106"/>
      <c r="C71" s="115"/>
      <c r="D71" s="132"/>
      <c r="E71" s="132"/>
      <c r="F71" s="132"/>
      <c r="G71" s="132"/>
      <c r="H71" s="162"/>
      <c r="I71" s="162"/>
      <c r="J71" s="162"/>
      <c r="K71" s="162"/>
      <c r="L71" s="184"/>
      <c r="M71" s="1"/>
    </row>
    <row r="72" spans="1:13" ht="14.25" customHeight="1" x14ac:dyDescent="0.45">
      <c r="A72" s="618"/>
      <c r="B72" s="106"/>
      <c r="C72" s="115"/>
      <c r="D72" s="132"/>
      <c r="E72" s="132"/>
      <c r="F72" s="132"/>
      <c r="G72" s="132"/>
      <c r="H72" s="162"/>
      <c r="I72" s="162"/>
      <c r="J72" s="162"/>
      <c r="K72" s="162"/>
      <c r="L72" s="184"/>
      <c r="M72" s="1"/>
    </row>
    <row r="73" spans="1:13" ht="14.25" customHeight="1" x14ac:dyDescent="0.45">
      <c r="A73" s="618"/>
      <c r="B73" s="106"/>
      <c r="C73" s="115"/>
      <c r="D73" s="132"/>
      <c r="E73" s="132"/>
      <c r="F73" s="132"/>
      <c r="G73" s="132"/>
      <c r="H73" s="162"/>
      <c r="I73" s="162"/>
      <c r="J73" s="162"/>
      <c r="K73" s="162"/>
      <c r="L73" s="184"/>
      <c r="M73" s="1"/>
    </row>
    <row r="74" spans="1:13" ht="14.25" customHeight="1" x14ac:dyDescent="0.45">
      <c r="A74" s="618"/>
      <c r="B74" s="106"/>
      <c r="C74" s="115"/>
      <c r="D74" s="132"/>
      <c r="E74" s="132"/>
      <c r="F74" s="132"/>
      <c r="G74" s="132"/>
      <c r="H74" s="162"/>
      <c r="I74" s="162"/>
      <c r="J74" s="162"/>
      <c r="K74" s="162"/>
      <c r="L74" s="184"/>
      <c r="M74" s="1"/>
    </row>
    <row r="75" spans="1:13" ht="14.25" customHeight="1" x14ac:dyDescent="0.45">
      <c r="A75" s="618"/>
      <c r="B75" s="106"/>
      <c r="C75" s="115"/>
      <c r="D75" s="132"/>
      <c r="E75" s="132"/>
      <c r="F75" s="132"/>
      <c r="G75" s="132"/>
      <c r="H75" s="162"/>
      <c r="I75" s="162"/>
      <c r="J75" s="162"/>
      <c r="K75" s="162"/>
      <c r="L75" s="184"/>
      <c r="M75" s="1"/>
    </row>
    <row r="76" spans="1:13" ht="14.25" customHeight="1" x14ac:dyDescent="0.45">
      <c r="A76" s="618"/>
      <c r="B76" s="106"/>
      <c r="C76" s="115"/>
      <c r="D76" s="132"/>
      <c r="E76" s="132"/>
      <c r="F76" s="132"/>
      <c r="G76" s="132"/>
      <c r="H76" s="162"/>
      <c r="I76" s="162"/>
      <c r="J76" s="162"/>
      <c r="K76" s="162"/>
      <c r="L76" s="184"/>
      <c r="M76" s="1"/>
    </row>
    <row r="77" spans="1:13" ht="14.25" customHeight="1" x14ac:dyDescent="0.45">
      <c r="A77" s="618"/>
      <c r="B77" s="106"/>
      <c r="C77" s="115"/>
      <c r="D77" s="132"/>
      <c r="E77" s="132"/>
      <c r="F77" s="132"/>
      <c r="G77" s="132"/>
      <c r="H77" s="162"/>
      <c r="I77" s="162"/>
      <c r="J77" s="162"/>
      <c r="K77" s="162"/>
      <c r="L77" s="184"/>
      <c r="M77" s="1"/>
    </row>
    <row r="78" spans="1:13" ht="14.25" customHeight="1" x14ac:dyDescent="0.45">
      <c r="A78" s="618"/>
      <c r="B78" s="106"/>
      <c r="C78" s="115"/>
      <c r="D78" s="132"/>
      <c r="E78" s="132"/>
      <c r="F78" s="132"/>
      <c r="G78" s="132"/>
      <c r="H78" s="162"/>
      <c r="I78" s="162"/>
      <c r="J78" s="162"/>
      <c r="K78" s="162"/>
      <c r="L78" s="184"/>
      <c r="M78" s="1"/>
    </row>
    <row r="79" spans="1:13" ht="14.25" customHeight="1" x14ac:dyDescent="0.45">
      <c r="A79" s="618"/>
      <c r="B79" s="106"/>
      <c r="C79" s="115"/>
      <c r="D79" s="132"/>
      <c r="E79" s="132"/>
      <c r="F79" s="132"/>
      <c r="G79" s="132"/>
      <c r="H79" s="162"/>
      <c r="I79" s="162"/>
      <c r="J79" s="162"/>
      <c r="K79" s="162"/>
      <c r="L79" s="184"/>
      <c r="M79" s="1"/>
    </row>
    <row r="80" spans="1:13" ht="14.25" customHeight="1" x14ac:dyDescent="0.45">
      <c r="A80" s="618"/>
      <c r="B80" s="106"/>
      <c r="C80" s="115"/>
      <c r="D80" s="132"/>
      <c r="E80" s="132"/>
      <c r="F80" s="132"/>
      <c r="G80" s="132"/>
      <c r="H80" s="162"/>
      <c r="I80" s="162"/>
      <c r="J80" s="162"/>
      <c r="K80" s="162"/>
      <c r="L80" s="184"/>
      <c r="M80" s="1"/>
    </row>
    <row r="81" spans="1:13" ht="14.25" customHeight="1" x14ac:dyDescent="0.45">
      <c r="A81" s="618"/>
      <c r="B81" s="106"/>
      <c r="C81" s="115"/>
      <c r="D81" s="132"/>
      <c r="E81" s="132"/>
      <c r="F81" s="132"/>
      <c r="G81" s="132"/>
      <c r="H81" s="162"/>
      <c r="I81" s="162"/>
      <c r="J81" s="162"/>
      <c r="K81" s="162"/>
      <c r="L81" s="184"/>
      <c r="M81" s="1"/>
    </row>
    <row r="82" spans="1:13" ht="14.25" customHeight="1" x14ac:dyDescent="0.45">
      <c r="A82" s="618"/>
      <c r="B82" s="106"/>
      <c r="C82" s="115"/>
      <c r="D82" s="132"/>
      <c r="E82" s="132"/>
      <c r="F82" s="132"/>
      <c r="G82" s="132"/>
      <c r="H82" s="162"/>
      <c r="I82" s="162"/>
      <c r="J82" s="162"/>
      <c r="K82" s="162"/>
      <c r="L82" s="184"/>
      <c r="M82" s="1"/>
    </row>
    <row r="83" spans="1:13" ht="14.25" customHeight="1" x14ac:dyDescent="0.45">
      <c r="A83" s="618"/>
      <c r="B83" s="106"/>
      <c r="C83" s="115"/>
      <c r="D83" s="132"/>
      <c r="E83" s="132"/>
      <c r="F83" s="132"/>
      <c r="G83" s="132"/>
      <c r="H83" s="162"/>
      <c r="I83" s="162"/>
      <c r="J83" s="162"/>
      <c r="K83" s="162"/>
      <c r="L83" s="184"/>
      <c r="M83" s="1"/>
    </row>
    <row r="84" spans="1:13" ht="14.25" customHeight="1" x14ac:dyDescent="0.45">
      <c r="A84" s="618"/>
      <c r="B84" s="106"/>
      <c r="C84" s="115"/>
      <c r="D84" s="132"/>
      <c r="E84" s="132"/>
      <c r="F84" s="132"/>
      <c r="G84" s="132"/>
      <c r="H84" s="162"/>
      <c r="I84" s="162"/>
      <c r="J84" s="162"/>
      <c r="K84" s="162"/>
      <c r="L84" s="184"/>
      <c r="M84" s="1"/>
    </row>
    <row r="85" spans="1:13" ht="14.25" customHeight="1" x14ac:dyDescent="0.45">
      <c r="A85" s="618"/>
      <c r="B85" s="106"/>
      <c r="C85" s="115"/>
      <c r="D85" s="132"/>
      <c r="E85" s="132"/>
      <c r="F85" s="132"/>
      <c r="G85" s="132"/>
      <c r="H85" s="162"/>
      <c r="I85" s="162"/>
      <c r="J85" s="162"/>
      <c r="K85" s="162"/>
      <c r="L85" s="184"/>
      <c r="M85" s="1"/>
    </row>
    <row r="86" spans="1:13" ht="14.25" customHeight="1" x14ac:dyDescent="0.45">
      <c r="A86" s="618"/>
      <c r="B86" s="106"/>
      <c r="C86" s="115"/>
      <c r="D86" s="132"/>
      <c r="E86" s="132"/>
      <c r="F86" s="132"/>
      <c r="G86" s="132"/>
      <c r="H86" s="162"/>
      <c r="I86" s="162"/>
      <c r="J86" s="162"/>
      <c r="K86" s="162"/>
      <c r="L86" s="184"/>
      <c r="M86" s="1"/>
    </row>
    <row r="87" spans="1:13" ht="14.25" customHeight="1" x14ac:dyDescent="0.45">
      <c r="A87" s="618"/>
      <c r="B87" s="106"/>
      <c r="C87" s="115"/>
      <c r="D87" s="132"/>
      <c r="E87" s="132"/>
      <c r="F87" s="132"/>
      <c r="G87" s="132"/>
      <c r="H87" s="162"/>
      <c r="I87" s="162"/>
      <c r="J87" s="162"/>
      <c r="K87" s="162"/>
      <c r="L87" s="184"/>
      <c r="M87" s="1"/>
    </row>
    <row r="88" spans="1:13" ht="14.25" customHeight="1" x14ac:dyDescent="0.45">
      <c r="A88" s="618"/>
      <c r="B88" s="106"/>
      <c r="C88" s="115"/>
      <c r="D88" s="132"/>
      <c r="E88" s="132"/>
      <c r="F88" s="132"/>
      <c r="G88" s="132"/>
      <c r="H88" s="162"/>
      <c r="I88" s="162"/>
      <c r="J88" s="162"/>
      <c r="K88" s="162"/>
      <c r="L88" s="184"/>
      <c r="M88" s="1"/>
    </row>
    <row r="89" spans="1:13" ht="14.25" customHeight="1" x14ac:dyDescent="0.45">
      <c r="A89" s="618"/>
      <c r="B89" s="106"/>
      <c r="C89" s="115"/>
      <c r="D89" s="132"/>
      <c r="E89" s="132"/>
      <c r="F89" s="132"/>
      <c r="G89" s="132"/>
      <c r="H89" s="162"/>
      <c r="I89" s="162"/>
      <c r="J89" s="162"/>
      <c r="K89" s="162"/>
      <c r="L89" s="184"/>
      <c r="M89" s="1"/>
    </row>
    <row r="90" spans="1:13" ht="14.25" customHeight="1" x14ac:dyDescent="0.45">
      <c r="A90" s="618"/>
      <c r="B90" s="106"/>
      <c r="C90" s="115"/>
      <c r="D90" s="132"/>
      <c r="E90" s="132"/>
      <c r="F90" s="132"/>
      <c r="G90" s="132"/>
      <c r="H90" s="162"/>
      <c r="I90" s="162"/>
      <c r="J90" s="162"/>
      <c r="K90" s="162"/>
      <c r="L90" s="184"/>
      <c r="M90" s="1"/>
    </row>
    <row r="91" spans="1:13" ht="14.25" customHeight="1" x14ac:dyDescent="0.45">
      <c r="A91" s="618"/>
      <c r="B91" s="106"/>
      <c r="C91" s="115"/>
      <c r="D91" s="132"/>
      <c r="E91" s="132"/>
      <c r="F91" s="132"/>
      <c r="G91" s="132"/>
      <c r="H91" s="162"/>
      <c r="I91" s="162"/>
      <c r="J91" s="162"/>
      <c r="K91" s="162"/>
      <c r="L91" s="184"/>
      <c r="M91" s="1"/>
    </row>
    <row r="92" spans="1:13" ht="14.25" customHeight="1" x14ac:dyDescent="0.45">
      <c r="A92" s="618"/>
      <c r="B92" s="106"/>
      <c r="C92" s="115"/>
      <c r="D92" s="132"/>
      <c r="E92" s="132"/>
      <c r="F92" s="132"/>
      <c r="G92" s="132"/>
      <c r="H92" s="162"/>
      <c r="I92" s="162"/>
      <c r="J92" s="162"/>
      <c r="K92" s="162"/>
      <c r="L92" s="184"/>
      <c r="M92" s="1"/>
    </row>
    <row r="93" spans="1:13" ht="14.25" customHeight="1" x14ac:dyDescent="0.45">
      <c r="A93" s="618"/>
      <c r="B93" s="106"/>
      <c r="C93" s="115"/>
      <c r="D93" s="132"/>
      <c r="E93" s="132"/>
      <c r="F93" s="132"/>
      <c r="G93" s="132"/>
      <c r="H93" s="162"/>
      <c r="I93" s="162"/>
      <c r="J93" s="162"/>
      <c r="K93" s="162"/>
      <c r="L93" s="184"/>
      <c r="M93" s="1"/>
    </row>
    <row r="94" spans="1:13" ht="14.25" customHeight="1" x14ac:dyDescent="0.45">
      <c r="A94" s="618"/>
      <c r="B94" s="106"/>
      <c r="C94" s="115"/>
      <c r="D94" s="132"/>
      <c r="E94" s="132"/>
      <c r="F94" s="132"/>
      <c r="G94" s="132"/>
      <c r="H94" s="162"/>
      <c r="I94" s="162"/>
      <c r="J94" s="162"/>
      <c r="K94" s="162"/>
      <c r="L94" s="184"/>
      <c r="M94" s="1"/>
    </row>
    <row r="95" spans="1:13" ht="14.25" customHeight="1" x14ac:dyDescent="0.45">
      <c r="A95" s="618"/>
      <c r="B95" s="106"/>
      <c r="C95" s="115"/>
      <c r="D95" s="132"/>
      <c r="E95" s="132"/>
      <c r="F95" s="132"/>
      <c r="G95" s="132"/>
      <c r="H95" s="162"/>
      <c r="I95" s="162"/>
      <c r="J95" s="162"/>
      <c r="K95" s="162"/>
      <c r="L95" s="184"/>
      <c r="M95" s="1"/>
    </row>
    <row r="96" spans="1:13" ht="14.25" customHeight="1" x14ac:dyDescent="0.45">
      <c r="A96" s="618"/>
      <c r="B96" s="106"/>
      <c r="C96" s="115"/>
      <c r="D96" s="132"/>
      <c r="E96" s="132"/>
      <c r="F96" s="132"/>
      <c r="G96" s="132"/>
      <c r="H96" s="162"/>
      <c r="I96" s="162"/>
      <c r="J96" s="162"/>
      <c r="K96" s="162"/>
      <c r="L96" s="184"/>
      <c r="M96" s="1"/>
    </row>
    <row r="97" spans="1:13" ht="14.25" customHeight="1" x14ac:dyDescent="0.45">
      <c r="A97" s="618"/>
      <c r="B97" s="106"/>
      <c r="C97" s="115"/>
      <c r="D97" s="132"/>
      <c r="E97" s="132"/>
      <c r="F97" s="132"/>
      <c r="G97" s="132"/>
      <c r="H97" s="162"/>
      <c r="I97" s="162"/>
      <c r="J97" s="162"/>
      <c r="K97" s="162"/>
      <c r="L97" s="184"/>
      <c r="M97" s="1"/>
    </row>
    <row r="98" spans="1:13" ht="14.25" customHeight="1" x14ac:dyDescent="0.45">
      <c r="A98" s="618"/>
      <c r="B98" s="106"/>
      <c r="C98" s="115"/>
      <c r="D98" s="132"/>
      <c r="E98" s="132"/>
      <c r="F98" s="132"/>
      <c r="G98" s="132"/>
      <c r="H98" s="162"/>
      <c r="I98" s="162"/>
      <c r="J98" s="162"/>
      <c r="K98" s="162"/>
      <c r="L98" s="184"/>
      <c r="M98" s="1"/>
    </row>
    <row r="99" spans="1:13" ht="14.25" customHeight="1" x14ac:dyDescent="0.45">
      <c r="A99" s="618"/>
      <c r="B99" s="106"/>
      <c r="C99" s="115"/>
      <c r="D99" s="132"/>
      <c r="E99" s="132"/>
      <c r="F99" s="132"/>
      <c r="G99" s="132"/>
      <c r="H99" s="162"/>
      <c r="I99" s="162"/>
      <c r="J99" s="162"/>
      <c r="K99" s="162"/>
      <c r="L99" s="184"/>
      <c r="M99" s="1"/>
    </row>
    <row r="100" spans="1:13" ht="14.25" customHeight="1" x14ac:dyDescent="0.45">
      <c r="A100" s="618"/>
      <c r="B100" s="106"/>
      <c r="C100" s="115"/>
      <c r="D100" s="132"/>
      <c r="E100" s="132"/>
      <c r="F100" s="132"/>
      <c r="G100" s="132"/>
      <c r="H100" s="162"/>
      <c r="I100" s="162"/>
      <c r="J100" s="162"/>
      <c r="K100" s="162"/>
      <c r="L100" s="184"/>
      <c r="M100" s="1"/>
    </row>
    <row r="101" spans="1:13" ht="14.25" customHeight="1" x14ac:dyDescent="0.45">
      <c r="A101" s="618"/>
      <c r="B101" s="106"/>
      <c r="C101" s="115"/>
      <c r="D101" s="132"/>
      <c r="E101" s="132"/>
      <c r="F101" s="132"/>
      <c r="G101" s="132"/>
      <c r="H101" s="162"/>
      <c r="I101" s="162"/>
      <c r="J101" s="162"/>
      <c r="K101" s="162"/>
      <c r="L101" s="184"/>
      <c r="M101" s="1"/>
    </row>
    <row r="102" spans="1:13" ht="14.25" customHeight="1" x14ac:dyDescent="0.45">
      <c r="A102" s="618"/>
      <c r="B102" s="106"/>
      <c r="C102" s="115"/>
      <c r="D102" s="132"/>
      <c r="E102" s="132"/>
      <c r="F102" s="132"/>
      <c r="G102" s="132"/>
      <c r="H102" s="162"/>
      <c r="I102" s="162"/>
      <c r="J102" s="162"/>
      <c r="K102" s="162"/>
      <c r="L102" s="184"/>
      <c r="M102" s="1"/>
    </row>
    <row r="103" spans="1:13" ht="14.25" customHeight="1" x14ac:dyDescent="0.45">
      <c r="A103" s="618"/>
      <c r="B103" s="106"/>
      <c r="C103" s="115"/>
      <c r="D103" s="132"/>
      <c r="E103" s="132"/>
      <c r="F103" s="132"/>
      <c r="G103" s="132"/>
      <c r="H103" s="162"/>
      <c r="I103" s="162"/>
      <c r="J103" s="162"/>
      <c r="K103" s="162"/>
      <c r="L103" s="184"/>
      <c r="M103" s="1"/>
    </row>
    <row r="104" spans="1:13" ht="14.25" customHeight="1" x14ac:dyDescent="0.45">
      <c r="A104" s="618"/>
      <c r="B104" s="106"/>
      <c r="C104" s="115"/>
      <c r="D104" s="132"/>
      <c r="E104" s="132"/>
      <c r="F104" s="132"/>
      <c r="G104" s="132"/>
      <c r="H104" s="162"/>
      <c r="I104" s="162"/>
      <c r="J104" s="162"/>
      <c r="K104" s="162"/>
      <c r="L104" s="184"/>
      <c r="M104" s="1"/>
    </row>
    <row r="105" spans="1:13" ht="14.25" customHeight="1" x14ac:dyDescent="0.45">
      <c r="A105" s="618"/>
      <c r="B105" s="106"/>
      <c r="C105" s="115"/>
      <c r="D105" s="132"/>
      <c r="E105" s="132"/>
      <c r="F105" s="132"/>
      <c r="G105" s="132"/>
      <c r="H105" s="162"/>
      <c r="I105" s="162"/>
      <c r="J105" s="162"/>
      <c r="K105" s="162"/>
      <c r="L105" s="184"/>
      <c r="M105" s="1"/>
    </row>
    <row r="106" spans="1:13" ht="14.25" customHeight="1" x14ac:dyDescent="0.45">
      <c r="A106" s="618"/>
      <c r="B106" s="106"/>
      <c r="C106" s="115"/>
      <c r="D106" s="132"/>
      <c r="E106" s="132"/>
      <c r="F106" s="132"/>
      <c r="G106" s="132"/>
      <c r="H106" s="162"/>
      <c r="I106" s="162"/>
      <c r="J106" s="162"/>
      <c r="K106" s="162"/>
      <c r="L106" s="184"/>
      <c r="M106" s="1"/>
    </row>
    <row r="107" spans="1:13" ht="14.25" customHeight="1" x14ac:dyDescent="0.45">
      <c r="A107" s="618"/>
      <c r="B107" s="106"/>
      <c r="C107" s="115"/>
      <c r="D107" s="132"/>
      <c r="E107" s="132"/>
      <c r="F107" s="132"/>
      <c r="G107" s="132"/>
      <c r="H107" s="162"/>
      <c r="I107" s="162"/>
      <c r="J107" s="162"/>
      <c r="K107" s="162"/>
      <c r="L107" s="184"/>
      <c r="M107" s="1"/>
    </row>
    <row r="108" spans="1:13" ht="14.25" customHeight="1" x14ac:dyDescent="0.45">
      <c r="A108" s="618"/>
      <c r="B108" s="106"/>
      <c r="C108" s="115"/>
      <c r="D108" s="132"/>
      <c r="E108" s="132"/>
      <c r="F108" s="132"/>
      <c r="G108" s="132"/>
      <c r="H108" s="162"/>
      <c r="I108" s="162"/>
      <c r="J108" s="162"/>
      <c r="K108" s="162"/>
      <c r="L108" s="184"/>
      <c r="M108" s="1"/>
    </row>
    <row r="109" spans="1:13" ht="14.25" customHeight="1" x14ac:dyDescent="0.45">
      <c r="A109" s="618"/>
      <c r="B109" s="106"/>
      <c r="C109" s="115"/>
      <c r="D109" s="132"/>
      <c r="E109" s="132"/>
      <c r="F109" s="132"/>
      <c r="G109" s="132"/>
      <c r="H109" s="162"/>
      <c r="I109" s="162"/>
      <c r="J109" s="162"/>
      <c r="K109" s="162"/>
      <c r="L109" s="184"/>
      <c r="M109" s="1"/>
    </row>
    <row r="110" spans="1:13" ht="14.25" customHeight="1" x14ac:dyDescent="0.45">
      <c r="A110" s="618"/>
      <c r="B110" s="106"/>
      <c r="C110" s="115"/>
      <c r="D110" s="132"/>
      <c r="E110" s="132"/>
      <c r="F110" s="132"/>
      <c r="G110" s="132"/>
      <c r="H110" s="162"/>
      <c r="I110" s="162"/>
      <c r="J110" s="162"/>
      <c r="K110" s="162"/>
      <c r="L110" s="184"/>
      <c r="M110" s="1"/>
    </row>
    <row r="111" spans="1:13" ht="14.25" customHeight="1" x14ac:dyDescent="0.45">
      <c r="A111" s="618"/>
      <c r="B111" s="106"/>
      <c r="C111" s="115"/>
      <c r="D111" s="132"/>
      <c r="E111" s="132"/>
      <c r="F111" s="132"/>
      <c r="G111" s="132"/>
      <c r="H111" s="162"/>
      <c r="I111" s="162"/>
      <c r="J111" s="162"/>
      <c r="K111" s="162"/>
      <c r="L111" s="184"/>
      <c r="M111" s="1"/>
    </row>
    <row r="112" spans="1:13" ht="14.25" customHeight="1" x14ac:dyDescent="0.45">
      <c r="A112" s="618"/>
      <c r="B112" s="106"/>
      <c r="C112" s="115"/>
      <c r="D112" s="132"/>
      <c r="E112" s="132"/>
      <c r="F112" s="132"/>
      <c r="G112" s="132"/>
      <c r="H112" s="162"/>
      <c r="I112" s="162"/>
      <c r="J112" s="162"/>
      <c r="K112" s="162"/>
      <c r="L112" s="184"/>
      <c r="M112" s="1"/>
    </row>
    <row r="113" spans="1:13" ht="14.25" customHeight="1" x14ac:dyDescent="0.45">
      <c r="A113" s="618"/>
      <c r="B113" s="106"/>
      <c r="C113" s="115"/>
      <c r="D113" s="132"/>
      <c r="E113" s="132"/>
      <c r="F113" s="132"/>
      <c r="G113" s="132"/>
      <c r="H113" s="162"/>
      <c r="I113" s="162"/>
      <c r="J113" s="162"/>
      <c r="K113" s="162"/>
      <c r="L113" s="184"/>
      <c r="M113" s="1"/>
    </row>
    <row r="114" spans="1:13" ht="14.25" customHeight="1" x14ac:dyDescent="0.45">
      <c r="A114" s="618"/>
      <c r="B114" s="106"/>
      <c r="C114" s="115"/>
      <c r="D114" s="132"/>
      <c r="E114" s="132"/>
      <c r="F114" s="132"/>
      <c r="G114" s="132"/>
      <c r="H114" s="162"/>
      <c r="I114" s="162"/>
      <c r="J114" s="162"/>
      <c r="K114" s="162"/>
      <c r="L114" s="184"/>
      <c r="M114" s="1"/>
    </row>
    <row r="115" spans="1:13" ht="14.25" customHeight="1" x14ac:dyDescent="0.45">
      <c r="A115" s="618"/>
      <c r="B115" s="106"/>
      <c r="C115" s="115"/>
      <c r="D115" s="132"/>
      <c r="E115" s="132"/>
      <c r="F115" s="132"/>
      <c r="G115" s="132"/>
      <c r="H115" s="162"/>
      <c r="I115" s="162"/>
      <c r="J115" s="162"/>
      <c r="K115" s="162"/>
      <c r="L115" s="184"/>
      <c r="M115" s="1"/>
    </row>
    <row r="116" spans="1:13" ht="14.25" customHeight="1" x14ac:dyDescent="0.45">
      <c r="A116" s="618"/>
      <c r="B116" s="106"/>
      <c r="C116" s="115"/>
      <c r="D116" s="132"/>
      <c r="E116" s="132"/>
      <c r="F116" s="132"/>
      <c r="G116" s="132"/>
      <c r="H116" s="162"/>
      <c r="I116" s="162"/>
      <c r="J116" s="162"/>
      <c r="K116" s="162"/>
      <c r="L116" s="184"/>
      <c r="M116" s="1"/>
    </row>
    <row r="117" spans="1:13" ht="14.25" customHeight="1" x14ac:dyDescent="0.45">
      <c r="A117" s="618"/>
      <c r="B117" s="118"/>
      <c r="C117" s="181"/>
      <c r="D117" s="172"/>
      <c r="E117" s="172"/>
      <c r="F117" s="172"/>
      <c r="G117" s="172"/>
      <c r="H117" s="191"/>
      <c r="I117" s="191"/>
      <c r="J117" s="191"/>
      <c r="K117" s="191"/>
      <c r="L117" s="192"/>
      <c r="M117" s="1"/>
    </row>
    <row r="118" spans="1:13" ht="14.25" customHeight="1" x14ac:dyDescent="0.45">
      <c r="A118" s="618"/>
      <c r="B118" s="618"/>
      <c r="C118" s="5"/>
      <c r="D118" s="6"/>
      <c r="E118" s="6"/>
      <c r="F118" s="6"/>
      <c r="G118" s="6"/>
      <c r="H118" s="618"/>
      <c r="I118" s="618"/>
      <c r="J118" s="618"/>
      <c r="K118" s="618"/>
      <c r="L118" s="618"/>
      <c r="M118" s="1"/>
    </row>
    <row r="119" spans="1:13" ht="14.25" customHeight="1" x14ac:dyDescent="0.45">
      <c r="A119" s="618"/>
      <c r="B119" s="7"/>
      <c r="C119" s="103"/>
      <c r="D119" s="104"/>
      <c r="E119" s="104"/>
      <c r="F119" s="104"/>
      <c r="G119" s="104"/>
      <c r="H119" s="158"/>
      <c r="I119" s="158"/>
      <c r="J119" s="158"/>
      <c r="K119" s="158"/>
      <c r="L119" s="159"/>
      <c r="M119" s="1"/>
    </row>
    <row r="120" spans="1:13" ht="14.25" customHeight="1" x14ac:dyDescent="0.45">
      <c r="A120" s="618"/>
      <c r="B120" s="106"/>
      <c r="C120" s="107" t="s">
        <v>92</v>
      </c>
      <c r="D120" s="108"/>
      <c r="E120" s="108"/>
      <c r="F120" s="108"/>
      <c r="G120" s="108"/>
      <c r="H120" s="183"/>
      <c r="I120" s="183"/>
      <c r="J120" s="183"/>
      <c r="K120" s="183"/>
      <c r="L120" s="184"/>
      <c r="M120" s="1"/>
    </row>
    <row r="121" spans="1:13" ht="14.25" customHeight="1" x14ac:dyDescent="0.45">
      <c r="A121" s="618"/>
      <c r="B121" s="160"/>
      <c r="C121" s="111"/>
      <c r="D121" s="443"/>
      <c r="E121" s="443"/>
      <c r="F121" s="443"/>
      <c r="G121" s="443"/>
      <c r="H121" s="174"/>
      <c r="I121" s="174"/>
      <c r="J121" s="174"/>
      <c r="K121" s="174"/>
      <c r="L121" s="431"/>
      <c r="M121" s="1"/>
    </row>
    <row r="122" spans="1:13" ht="14.25" customHeight="1" x14ac:dyDescent="0.45">
      <c r="A122" s="618"/>
      <c r="B122" s="160"/>
      <c r="C122" s="111"/>
      <c r="D122" s="443"/>
      <c r="E122" s="443"/>
      <c r="F122" s="443"/>
      <c r="G122" s="443"/>
      <c r="H122" s="174"/>
      <c r="I122" s="174"/>
      <c r="J122" s="174"/>
      <c r="K122" s="174"/>
      <c r="L122" s="431"/>
      <c r="M122" s="1"/>
    </row>
    <row r="123" spans="1:13" ht="14.25" customHeight="1" x14ac:dyDescent="0.45">
      <c r="A123" s="618"/>
      <c r="B123" s="160"/>
      <c r="C123" s="111"/>
      <c r="D123" s="443"/>
      <c r="E123" s="443"/>
      <c r="F123" s="443"/>
      <c r="G123" s="443"/>
      <c r="H123" s="174"/>
      <c r="I123" s="174"/>
      <c r="J123" s="174"/>
      <c r="K123" s="174"/>
      <c r="L123" s="431"/>
      <c r="M123" s="1"/>
    </row>
    <row r="124" spans="1:13" ht="14.25" customHeight="1" x14ac:dyDescent="0.45">
      <c r="A124" s="618"/>
      <c r="B124" s="160"/>
      <c r="C124" s="111"/>
      <c r="D124" s="443"/>
      <c r="E124" s="443"/>
      <c r="F124" s="443"/>
      <c r="G124" s="443"/>
      <c r="H124" s="174"/>
      <c r="I124" s="174"/>
      <c r="J124" s="174"/>
      <c r="K124" s="174"/>
      <c r="L124" s="431"/>
      <c r="M124" s="1"/>
    </row>
    <row r="125" spans="1:13" ht="14.25" customHeight="1" x14ac:dyDescent="0.45">
      <c r="A125" s="618"/>
      <c r="B125" s="160"/>
      <c r="C125" s="111"/>
      <c r="D125" s="443"/>
      <c r="E125" s="443"/>
      <c r="F125" s="443"/>
      <c r="G125" s="443"/>
      <c r="H125" s="174"/>
      <c r="I125" s="174"/>
      <c r="J125" s="174"/>
      <c r="K125" s="174"/>
      <c r="L125" s="431"/>
      <c r="M125" s="1"/>
    </row>
    <row r="126" spans="1:13" ht="14.25" customHeight="1" x14ac:dyDescent="0.45">
      <c r="A126" s="618"/>
      <c r="B126" s="160"/>
      <c r="C126" s="111"/>
      <c r="D126" s="443"/>
      <c r="E126" s="443"/>
      <c r="F126" s="443"/>
      <c r="G126" s="443"/>
      <c r="H126" s="174"/>
      <c r="I126" s="174"/>
      <c r="J126" s="174"/>
      <c r="K126" s="174"/>
      <c r="L126" s="431"/>
      <c r="M126" s="1"/>
    </row>
    <row r="127" spans="1:13" ht="14.25" customHeight="1" x14ac:dyDescent="0.45">
      <c r="A127" s="618"/>
      <c r="B127" s="160"/>
      <c r="C127" s="111"/>
      <c r="D127" s="443"/>
      <c r="E127" s="443"/>
      <c r="F127" s="443"/>
      <c r="G127" s="443"/>
      <c r="H127" s="174"/>
      <c r="I127" s="174"/>
      <c r="J127" s="174"/>
      <c r="K127" s="174"/>
      <c r="L127" s="431"/>
      <c r="M127" s="1"/>
    </row>
    <row r="128" spans="1:13" ht="14.25" customHeight="1" x14ac:dyDescent="0.45">
      <c r="A128" s="618"/>
      <c r="B128" s="160"/>
      <c r="C128" s="111"/>
      <c r="D128" s="443"/>
      <c r="E128" s="443"/>
      <c r="F128" s="443"/>
      <c r="G128" s="443"/>
      <c r="H128" s="174"/>
      <c r="I128" s="174"/>
      <c r="J128" s="174"/>
      <c r="K128" s="174"/>
      <c r="L128" s="431"/>
      <c r="M128" s="1"/>
    </row>
    <row r="129" spans="1:13" ht="14.25" customHeight="1" x14ac:dyDescent="0.45">
      <c r="A129" s="618"/>
      <c r="B129" s="160"/>
      <c r="C129" s="111"/>
      <c r="D129" s="443"/>
      <c r="E129" s="443"/>
      <c r="F129" s="443"/>
      <c r="G129" s="443"/>
      <c r="H129" s="174"/>
      <c r="I129" s="174"/>
      <c r="J129" s="174"/>
      <c r="K129" s="174"/>
      <c r="L129" s="431"/>
      <c r="M129" s="1"/>
    </row>
    <row r="130" spans="1:13" ht="14.25" customHeight="1" x14ac:dyDescent="0.45">
      <c r="A130" s="618"/>
      <c r="B130" s="160"/>
      <c r="C130" s="111"/>
      <c r="D130" s="443"/>
      <c r="E130" s="443"/>
      <c r="F130" s="443"/>
      <c r="G130" s="443"/>
      <c r="H130" s="174"/>
      <c r="I130" s="174"/>
      <c r="J130" s="174"/>
      <c r="K130" s="174"/>
      <c r="L130" s="431"/>
      <c r="M130" s="1"/>
    </row>
    <row r="131" spans="1:13" ht="14.25" customHeight="1" x14ac:dyDescent="0.45">
      <c r="A131" s="618"/>
      <c r="B131" s="160"/>
      <c r="C131" s="111"/>
      <c r="D131" s="443"/>
      <c r="E131" s="443"/>
      <c r="F131" s="443"/>
      <c r="G131" s="443"/>
      <c r="H131" s="174"/>
      <c r="I131" s="174"/>
      <c r="J131" s="174"/>
      <c r="K131" s="174"/>
      <c r="L131" s="431"/>
      <c r="M131" s="1"/>
    </row>
    <row r="132" spans="1:13" ht="14.25" customHeight="1" x14ac:dyDescent="0.45">
      <c r="A132" s="618"/>
      <c r="B132" s="160"/>
      <c r="C132" s="111"/>
      <c r="D132" s="443"/>
      <c r="E132" s="443"/>
      <c r="F132" s="443"/>
      <c r="G132" s="443"/>
      <c r="H132" s="174"/>
      <c r="I132" s="174"/>
      <c r="J132" s="174"/>
      <c r="K132" s="174"/>
      <c r="L132" s="431"/>
      <c r="M132" s="1"/>
    </row>
    <row r="133" spans="1:13" ht="14.25" customHeight="1" x14ac:dyDescent="0.45">
      <c r="A133" s="618"/>
      <c r="B133" s="160"/>
      <c r="C133" s="111"/>
      <c r="D133" s="443"/>
      <c r="E133" s="443"/>
      <c r="F133" s="443"/>
      <c r="G133" s="443"/>
      <c r="H133" s="174"/>
      <c r="I133" s="174"/>
      <c r="J133" s="174"/>
      <c r="K133" s="174"/>
      <c r="L133" s="431"/>
      <c r="M133" s="1"/>
    </row>
    <row r="134" spans="1:13" ht="14.25" customHeight="1" x14ac:dyDescent="0.45">
      <c r="A134" s="618"/>
      <c r="B134" s="106"/>
      <c r="C134" s="115"/>
      <c r="D134" s="132"/>
      <c r="E134" s="132"/>
      <c r="F134" s="132"/>
      <c r="G134" s="132"/>
      <c r="H134" s="162"/>
      <c r="I134" s="162"/>
      <c r="J134" s="162"/>
      <c r="K134" s="162"/>
      <c r="L134" s="184"/>
      <c r="M134" s="1"/>
    </row>
    <row r="135" spans="1:13" ht="14.25" customHeight="1" x14ac:dyDescent="0.45">
      <c r="A135" s="618"/>
      <c r="B135" s="106"/>
      <c r="C135" s="115"/>
      <c r="D135" s="132"/>
      <c r="E135" s="132"/>
      <c r="F135" s="132"/>
      <c r="G135" s="132"/>
      <c r="H135" s="162"/>
      <c r="I135" s="162"/>
      <c r="J135" s="162"/>
      <c r="K135" s="162"/>
      <c r="L135" s="184"/>
      <c r="M135" s="1"/>
    </row>
    <row r="136" spans="1:13" ht="14.25" customHeight="1" x14ac:dyDescent="0.45">
      <c r="A136" s="618"/>
      <c r="B136" s="106"/>
      <c r="C136" s="115"/>
      <c r="D136" s="132"/>
      <c r="E136" s="132"/>
      <c r="F136" s="132"/>
      <c r="G136" s="132"/>
      <c r="H136" s="162"/>
      <c r="I136" s="162"/>
      <c r="J136" s="162"/>
      <c r="K136" s="162"/>
      <c r="L136" s="184"/>
      <c r="M136" s="1"/>
    </row>
    <row r="137" spans="1:13" ht="14.25" customHeight="1" x14ac:dyDescent="0.45">
      <c r="A137" s="618"/>
      <c r="B137" s="106"/>
      <c r="C137" s="115"/>
      <c r="D137" s="132"/>
      <c r="E137" s="132"/>
      <c r="F137" s="132"/>
      <c r="G137" s="132"/>
      <c r="H137" s="162"/>
      <c r="I137" s="162"/>
      <c r="J137" s="162"/>
      <c r="K137" s="162"/>
      <c r="L137" s="184"/>
      <c r="M137" s="1"/>
    </row>
    <row r="138" spans="1:13" ht="14.25" customHeight="1" x14ac:dyDescent="0.45">
      <c r="A138" s="618"/>
      <c r="B138" s="106"/>
      <c r="C138" s="115"/>
      <c r="D138" s="132"/>
      <c r="E138" s="132"/>
      <c r="F138" s="132"/>
      <c r="G138" s="132"/>
      <c r="H138" s="162"/>
      <c r="I138" s="162"/>
      <c r="J138" s="162"/>
      <c r="K138" s="162"/>
      <c r="L138" s="184"/>
      <c r="M138" s="1"/>
    </row>
    <row r="139" spans="1:13" ht="14.25" customHeight="1" x14ac:dyDescent="0.45">
      <c r="A139" s="618"/>
      <c r="B139" s="106"/>
      <c r="C139" s="115"/>
      <c r="D139" s="132"/>
      <c r="E139" s="132"/>
      <c r="F139" s="132"/>
      <c r="G139" s="132"/>
      <c r="H139" s="162"/>
      <c r="I139" s="162"/>
      <c r="J139" s="162"/>
      <c r="K139" s="162"/>
      <c r="L139" s="184"/>
      <c r="M139" s="1"/>
    </row>
    <row r="140" spans="1:13" ht="14.25" customHeight="1" x14ac:dyDescent="0.45">
      <c r="A140" s="618"/>
      <c r="B140" s="118"/>
      <c r="C140" s="181"/>
      <c r="D140" s="172"/>
      <c r="E140" s="172"/>
      <c r="F140" s="172"/>
      <c r="G140" s="172"/>
      <c r="H140" s="191"/>
      <c r="I140" s="191"/>
      <c r="J140" s="191"/>
      <c r="K140" s="191"/>
      <c r="L140" s="192"/>
      <c r="M140" s="1"/>
    </row>
    <row r="141" spans="1:13" ht="14.25" customHeight="1" x14ac:dyDescent="0.45">
      <c r="A141" s="618"/>
      <c r="B141" s="618"/>
      <c r="C141" s="5"/>
      <c r="D141" s="6"/>
      <c r="E141" s="6"/>
      <c r="F141" s="6"/>
      <c r="G141" s="6"/>
      <c r="H141" s="618"/>
      <c r="I141" s="618"/>
      <c r="J141" s="618"/>
      <c r="K141" s="618"/>
      <c r="L141" s="618"/>
      <c r="M141" s="1"/>
    </row>
    <row r="142" spans="1:13" ht="14.25" customHeight="1" x14ac:dyDescent="0.45">
      <c r="A142" s="618"/>
      <c r="B142" s="7"/>
      <c r="C142" s="103"/>
      <c r="D142" s="158"/>
      <c r="E142" s="158"/>
      <c r="F142" s="158"/>
      <c r="G142" s="158"/>
      <c r="H142" s="158"/>
      <c r="I142" s="158"/>
      <c r="J142" s="158"/>
      <c r="K142" s="158"/>
      <c r="L142" s="159"/>
      <c r="M142" s="1"/>
    </row>
    <row r="143" spans="1:13" ht="20.25" customHeight="1" x14ac:dyDescent="0.45">
      <c r="A143" s="618"/>
      <c r="B143" s="106"/>
      <c r="C143" s="107" t="s">
        <v>124</v>
      </c>
      <c r="D143" s="463"/>
      <c r="E143" s="183"/>
      <c r="F143" s="183"/>
      <c r="G143" s="183"/>
      <c r="H143" s="183"/>
      <c r="I143" s="183"/>
      <c r="J143" s="183"/>
      <c r="K143" s="183"/>
      <c r="L143" s="184"/>
      <c r="M143" s="1"/>
    </row>
    <row r="144" spans="1:13" ht="14.25" customHeight="1" x14ac:dyDescent="0.45">
      <c r="A144" s="618"/>
      <c r="B144" s="106"/>
      <c r="C144" s="111"/>
      <c r="D144" s="111"/>
      <c r="E144" s="111"/>
      <c r="F144" s="111"/>
      <c r="G144" s="111"/>
      <c r="H144" s="111"/>
      <c r="I144" s="111"/>
      <c r="J144" s="111"/>
      <c r="K144" s="111"/>
      <c r="L144" s="184"/>
      <c r="M144" s="1"/>
    </row>
    <row r="145" spans="1:13" ht="14.25" customHeight="1" x14ac:dyDescent="0.45">
      <c r="A145" s="618"/>
      <c r="B145" s="106"/>
      <c r="C145" s="111"/>
      <c r="D145" s="111"/>
      <c r="E145" s="111"/>
      <c r="F145" s="111"/>
      <c r="G145" s="111"/>
      <c r="H145" s="111"/>
      <c r="I145" s="111"/>
      <c r="J145" s="111"/>
      <c r="K145" s="111"/>
      <c r="L145" s="184"/>
      <c r="M145" s="1"/>
    </row>
    <row r="146" spans="1:13" ht="14.25" customHeight="1" x14ac:dyDescent="0.45">
      <c r="A146" s="618"/>
      <c r="B146" s="106"/>
      <c r="C146" s="111"/>
      <c r="D146" s="111"/>
      <c r="E146" s="111"/>
      <c r="F146" s="111"/>
      <c r="G146" s="111"/>
      <c r="H146" s="111"/>
      <c r="I146" s="111"/>
      <c r="J146" s="111"/>
      <c r="K146" s="111"/>
      <c r="L146" s="184"/>
      <c r="M146" s="1"/>
    </row>
    <row r="147" spans="1:13" ht="14.25" customHeight="1" x14ac:dyDescent="0.45">
      <c r="A147" s="618"/>
      <c r="B147" s="106"/>
      <c r="C147" s="111"/>
      <c r="D147" s="111"/>
      <c r="E147" s="111"/>
      <c r="F147" s="111"/>
      <c r="G147" s="111"/>
      <c r="H147" s="111"/>
      <c r="I147" s="111"/>
      <c r="J147" s="111"/>
      <c r="K147" s="111"/>
      <c r="L147" s="184"/>
      <c r="M147" s="1"/>
    </row>
    <row r="148" spans="1:13" ht="14.25" customHeight="1" x14ac:dyDescent="0.45">
      <c r="A148" s="618"/>
      <c r="B148" s="106"/>
      <c r="C148" s="111"/>
      <c r="D148" s="111"/>
      <c r="E148" s="111"/>
      <c r="F148" s="111"/>
      <c r="G148" s="111"/>
      <c r="H148" s="111"/>
      <c r="I148" s="111"/>
      <c r="J148" s="111"/>
      <c r="K148" s="111"/>
      <c r="L148" s="184"/>
      <c r="M148" s="1"/>
    </row>
    <row r="149" spans="1:13" ht="14.25" customHeight="1" x14ac:dyDescent="0.45">
      <c r="A149" s="618"/>
      <c r="B149" s="106"/>
      <c r="C149" s="111"/>
      <c r="D149" s="111"/>
      <c r="E149" s="111"/>
      <c r="F149" s="111"/>
      <c r="G149" s="111"/>
      <c r="H149" s="111"/>
      <c r="I149" s="111"/>
      <c r="J149" s="111"/>
      <c r="K149" s="111"/>
      <c r="L149" s="184"/>
      <c r="M149" s="1"/>
    </row>
    <row r="150" spans="1:13" ht="14.25" customHeight="1" x14ac:dyDescent="0.45">
      <c r="A150" s="618"/>
      <c r="B150" s="106"/>
      <c r="C150" s="111"/>
      <c r="D150" s="111"/>
      <c r="E150" s="111"/>
      <c r="F150" s="111"/>
      <c r="G150" s="111"/>
      <c r="H150" s="111"/>
      <c r="I150" s="111"/>
      <c r="J150" s="111"/>
      <c r="K150" s="111"/>
      <c r="L150" s="184"/>
      <c r="M150" s="1"/>
    </row>
    <row r="151" spans="1:13" ht="14.25" customHeight="1" x14ac:dyDescent="0.45">
      <c r="A151" s="618"/>
      <c r="B151" s="106"/>
      <c r="C151" s="111"/>
      <c r="D151" s="111"/>
      <c r="E151" s="111"/>
      <c r="F151" s="111"/>
      <c r="G151" s="111"/>
      <c r="H151" s="111"/>
      <c r="I151" s="111"/>
      <c r="J151" s="111"/>
      <c r="K151" s="111"/>
      <c r="L151" s="184"/>
      <c r="M151" s="1"/>
    </row>
    <row r="152" spans="1:13" ht="14.25" customHeight="1" x14ac:dyDescent="0.45">
      <c r="A152" s="618"/>
      <c r="B152" s="106"/>
      <c r="C152" s="111"/>
      <c r="D152" s="111"/>
      <c r="E152" s="111"/>
      <c r="F152" s="111"/>
      <c r="G152" s="111"/>
      <c r="H152" s="111"/>
      <c r="I152" s="111"/>
      <c r="J152" s="111"/>
      <c r="K152" s="111"/>
      <c r="L152" s="184"/>
      <c r="M152" s="1"/>
    </row>
    <row r="153" spans="1:13" ht="14.25" customHeight="1" x14ac:dyDescent="0.45">
      <c r="A153" s="618"/>
      <c r="B153" s="106"/>
      <c r="C153" s="111"/>
      <c r="D153" s="111"/>
      <c r="E153" s="111"/>
      <c r="F153" s="111"/>
      <c r="G153" s="111"/>
      <c r="H153" s="111"/>
      <c r="I153" s="111"/>
      <c r="J153" s="111"/>
      <c r="K153" s="111"/>
      <c r="L153" s="184"/>
      <c r="M153" s="1"/>
    </row>
    <row r="154" spans="1:13" ht="14.25" customHeight="1" x14ac:dyDescent="0.45">
      <c r="A154" s="618"/>
      <c r="B154" s="106"/>
      <c r="C154" s="111"/>
      <c r="D154" s="111"/>
      <c r="E154" s="111"/>
      <c r="F154" s="111"/>
      <c r="G154" s="111"/>
      <c r="H154" s="111"/>
      <c r="I154" s="111"/>
      <c r="J154" s="111"/>
      <c r="K154" s="111"/>
      <c r="L154" s="184"/>
      <c r="M154" s="1"/>
    </row>
    <row r="155" spans="1:13" ht="14.25" customHeight="1" x14ac:dyDescent="0.45">
      <c r="A155" s="618"/>
      <c r="B155" s="106"/>
      <c r="C155" s="111"/>
      <c r="D155" s="111"/>
      <c r="E155" s="111"/>
      <c r="F155" s="111"/>
      <c r="G155" s="111"/>
      <c r="H155" s="111"/>
      <c r="I155" s="111"/>
      <c r="J155" s="111"/>
      <c r="K155" s="111"/>
      <c r="L155" s="184"/>
      <c r="M155" s="1"/>
    </row>
    <row r="156" spans="1:13" ht="14.25" customHeight="1" x14ac:dyDescent="0.45">
      <c r="A156" s="618"/>
      <c r="B156" s="106"/>
      <c r="C156" s="111"/>
      <c r="D156" s="111"/>
      <c r="E156" s="111"/>
      <c r="F156" s="111"/>
      <c r="G156" s="111"/>
      <c r="H156" s="111"/>
      <c r="I156" s="111"/>
      <c r="J156" s="111"/>
      <c r="K156" s="111"/>
      <c r="L156" s="184"/>
      <c r="M156" s="1"/>
    </row>
    <row r="157" spans="1:13" ht="14.25" customHeight="1" x14ac:dyDescent="0.45">
      <c r="A157" s="618"/>
      <c r="B157" s="106"/>
      <c r="C157" s="111"/>
      <c r="D157" s="111"/>
      <c r="E157" s="111"/>
      <c r="F157" s="111"/>
      <c r="G157" s="111"/>
      <c r="H157" s="111"/>
      <c r="I157" s="111"/>
      <c r="J157" s="111"/>
      <c r="K157" s="111"/>
      <c r="L157" s="184"/>
      <c r="M157" s="1"/>
    </row>
    <row r="158" spans="1:13" ht="14.25" customHeight="1" x14ac:dyDescent="0.45">
      <c r="A158" s="618"/>
      <c r="B158" s="106"/>
      <c r="C158" s="111"/>
      <c r="D158" s="111"/>
      <c r="E158" s="111"/>
      <c r="F158" s="111"/>
      <c r="G158" s="111"/>
      <c r="H158" s="111"/>
      <c r="I158" s="111"/>
      <c r="J158" s="111"/>
      <c r="K158" s="111"/>
      <c r="L158" s="184"/>
      <c r="M158" s="1"/>
    </row>
    <row r="159" spans="1:13" ht="14.25" customHeight="1" x14ac:dyDescent="0.45">
      <c r="A159" s="618"/>
      <c r="B159" s="106"/>
      <c r="C159" s="111"/>
      <c r="D159" s="111"/>
      <c r="E159" s="111"/>
      <c r="F159" s="111"/>
      <c r="G159" s="111"/>
      <c r="H159" s="111"/>
      <c r="I159" s="111"/>
      <c r="J159" s="111"/>
      <c r="K159" s="111"/>
      <c r="L159" s="184"/>
      <c r="M159" s="1"/>
    </row>
    <row r="160" spans="1:13" ht="14.25" customHeight="1" x14ac:dyDescent="0.45">
      <c r="A160" s="618"/>
      <c r="B160" s="106"/>
      <c r="C160" s="111"/>
      <c r="D160" s="111"/>
      <c r="E160" s="111"/>
      <c r="F160" s="111"/>
      <c r="G160" s="111"/>
      <c r="H160" s="111"/>
      <c r="I160" s="111"/>
      <c r="J160" s="111"/>
      <c r="K160" s="111"/>
      <c r="L160" s="184"/>
      <c r="M160" s="1"/>
    </row>
    <row r="161" spans="1:13" ht="14.25" customHeight="1" x14ac:dyDescent="0.45">
      <c r="A161" s="618"/>
      <c r="B161" s="106"/>
      <c r="C161" s="111"/>
      <c r="D161" s="111"/>
      <c r="E161" s="111"/>
      <c r="F161" s="111"/>
      <c r="G161" s="111"/>
      <c r="H161" s="111"/>
      <c r="I161" s="111"/>
      <c r="J161" s="111"/>
      <c r="K161" s="111"/>
      <c r="L161" s="184"/>
      <c r="M161" s="1"/>
    </row>
    <row r="162" spans="1:13" ht="14.25" customHeight="1" x14ac:dyDescent="0.45">
      <c r="A162" s="618"/>
      <c r="B162" s="106"/>
      <c r="C162" s="115"/>
      <c r="D162" s="111"/>
      <c r="E162" s="111"/>
      <c r="F162" s="111"/>
      <c r="G162" s="111"/>
      <c r="H162" s="111"/>
      <c r="I162" s="111"/>
      <c r="J162" s="111"/>
      <c r="K162" s="111"/>
      <c r="L162" s="184"/>
      <c r="M162" s="1"/>
    </row>
    <row r="163" spans="1:13" ht="14.25" customHeight="1" x14ac:dyDescent="0.45">
      <c r="A163" s="618"/>
      <c r="B163" s="118"/>
      <c r="C163" s="181"/>
      <c r="D163" s="191"/>
      <c r="E163" s="191"/>
      <c r="F163" s="191"/>
      <c r="G163" s="191"/>
      <c r="H163" s="191"/>
      <c r="I163" s="191"/>
      <c r="J163" s="191"/>
      <c r="K163" s="191"/>
      <c r="L163" s="192"/>
      <c r="M163" s="1"/>
    </row>
    <row r="164" spans="1:13" ht="14.25" customHeight="1" x14ac:dyDescent="0.45">
      <c r="A164" s="618"/>
      <c r="B164" s="618"/>
      <c r="C164" s="5"/>
      <c r="D164" s="6"/>
      <c r="E164" s="6"/>
      <c r="F164" s="6"/>
      <c r="G164" s="6"/>
      <c r="H164" s="618"/>
      <c r="I164" s="618"/>
      <c r="J164" s="618"/>
      <c r="K164" s="618"/>
      <c r="L164" s="618"/>
      <c r="M164" s="1"/>
    </row>
    <row r="165" spans="1:13" ht="14.25" customHeight="1" x14ac:dyDescent="0.45">
      <c r="A165" s="618"/>
      <c r="B165" s="7"/>
      <c r="C165" s="103"/>
      <c r="D165" s="158"/>
      <c r="E165" s="158"/>
      <c r="F165" s="158"/>
      <c r="G165" s="158"/>
      <c r="H165" s="158"/>
      <c r="I165" s="158"/>
      <c r="J165" s="158"/>
      <c r="K165" s="158"/>
      <c r="L165" s="159"/>
      <c r="M165" s="1"/>
    </row>
    <row r="166" spans="1:13" ht="14.25" customHeight="1" x14ac:dyDescent="0.45">
      <c r="A166" s="618"/>
      <c r="B166" s="106"/>
      <c r="C166" s="107" t="s">
        <v>125</v>
      </c>
      <c r="D166" s="463"/>
      <c r="E166" s="183"/>
      <c r="F166" s="183"/>
      <c r="G166" s="183"/>
      <c r="H166" s="183"/>
      <c r="I166" s="183"/>
      <c r="J166" s="183"/>
      <c r="K166" s="183"/>
      <c r="L166" s="184"/>
      <c r="M166" s="1"/>
    </row>
    <row r="167" spans="1:13" ht="14.25" customHeight="1" x14ac:dyDescent="0.45">
      <c r="A167" s="618"/>
      <c r="B167" s="106"/>
      <c r="C167" s="111"/>
      <c r="D167" s="196"/>
      <c r="E167" s="196"/>
      <c r="F167" s="196"/>
      <c r="G167" s="111"/>
      <c r="H167" s="111"/>
      <c r="I167" s="111"/>
      <c r="J167" s="111"/>
      <c r="K167" s="111"/>
      <c r="L167" s="184"/>
      <c r="M167" s="1"/>
    </row>
    <row r="168" spans="1:13" ht="14.25" customHeight="1" x14ac:dyDescent="0.45">
      <c r="A168" s="618"/>
      <c r="B168" s="106"/>
      <c r="C168" s="111"/>
      <c r="D168" s="196"/>
      <c r="E168" s="196"/>
      <c r="F168" s="196"/>
      <c r="G168" s="111"/>
      <c r="H168" s="111"/>
      <c r="I168" s="111"/>
      <c r="J168" s="111"/>
      <c r="K168" s="111"/>
      <c r="L168" s="184"/>
      <c r="M168" s="1"/>
    </row>
    <row r="169" spans="1:13" ht="14.25" customHeight="1" x14ac:dyDescent="0.45">
      <c r="A169" s="618"/>
      <c r="B169" s="106"/>
      <c r="C169" s="111"/>
      <c r="D169" s="196"/>
      <c r="E169" s="196"/>
      <c r="F169" s="196"/>
      <c r="G169" s="111"/>
      <c r="H169" s="111"/>
      <c r="I169" s="111"/>
      <c r="J169" s="111"/>
      <c r="K169" s="111"/>
      <c r="L169" s="184"/>
      <c r="M169" s="1"/>
    </row>
    <row r="170" spans="1:13" ht="14.25" customHeight="1" x14ac:dyDescent="0.45">
      <c r="A170" s="618"/>
      <c r="B170" s="106"/>
      <c r="C170" s="111"/>
      <c r="D170" s="196"/>
      <c r="E170" s="196"/>
      <c r="F170" s="196"/>
      <c r="G170" s="111"/>
      <c r="H170" s="111"/>
      <c r="I170" s="111"/>
      <c r="J170" s="111"/>
      <c r="K170" s="111"/>
      <c r="L170" s="184"/>
      <c r="M170" s="1"/>
    </row>
    <row r="171" spans="1:13" ht="14.25" customHeight="1" x14ac:dyDescent="0.45">
      <c r="A171" s="618"/>
      <c r="B171" s="106"/>
      <c r="C171" s="111"/>
      <c r="D171" s="196"/>
      <c r="E171" s="196"/>
      <c r="F171" s="196"/>
      <c r="G171" s="111"/>
      <c r="H171" s="111"/>
      <c r="I171" s="111"/>
      <c r="J171" s="111"/>
      <c r="K171" s="111"/>
      <c r="L171" s="184"/>
      <c r="M171" s="1"/>
    </row>
    <row r="172" spans="1:13" ht="14.25" customHeight="1" x14ac:dyDescent="0.45">
      <c r="A172" s="618"/>
      <c r="B172" s="106"/>
      <c r="C172" s="111"/>
      <c r="D172" s="196"/>
      <c r="E172" s="196"/>
      <c r="F172" s="196"/>
      <c r="G172" s="111"/>
      <c r="H172" s="111"/>
      <c r="I172" s="111"/>
      <c r="J172" s="111"/>
      <c r="K172" s="111"/>
      <c r="L172" s="184"/>
      <c r="M172" s="1"/>
    </row>
    <row r="173" spans="1:13" ht="14.25" customHeight="1" x14ac:dyDescent="0.45">
      <c r="A173" s="618"/>
      <c r="B173" s="106"/>
      <c r="C173" s="111"/>
      <c r="D173" s="196"/>
      <c r="E173" s="196"/>
      <c r="F173" s="196"/>
      <c r="G173" s="111"/>
      <c r="H173" s="111"/>
      <c r="I173" s="111"/>
      <c r="J173" s="111"/>
      <c r="K173" s="111"/>
      <c r="L173" s="184"/>
      <c r="M173" s="1"/>
    </row>
    <row r="174" spans="1:13" ht="14.25" customHeight="1" x14ac:dyDescent="0.45">
      <c r="A174" s="618"/>
      <c r="B174" s="106"/>
      <c r="C174" s="111"/>
      <c r="D174" s="196"/>
      <c r="E174" s="196"/>
      <c r="F174" s="196"/>
      <c r="G174" s="111"/>
      <c r="H174" s="111"/>
      <c r="I174" s="111"/>
      <c r="J174" s="111"/>
      <c r="K174" s="111"/>
      <c r="L174" s="184"/>
      <c r="M174" s="1"/>
    </row>
    <row r="175" spans="1:13" ht="14.25" customHeight="1" x14ac:dyDescent="0.45">
      <c r="A175" s="618"/>
      <c r="B175" s="106"/>
      <c r="C175" s="111"/>
      <c r="D175" s="196"/>
      <c r="E175" s="196"/>
      <c r="F175" s="196"/>
      <c r="G175" s="111"/>
      <c r="H175" s="111"/>
      <c r="I175" s="111"/>
      <c r="J175" s="111"/>
      <c r="K175" s="111"/>
      <c r="L175" s="184"/>
      <c r="M175" s="1"/>
    </row>
    <row r="176" spans="1:13" ht="14.25" customHeight="1" x14ac:dyDescent="0.45">
      <c r="A176" s="618"/>
      <c r="B176" s="106"/>
      <c r="C176" s="111"/>
      <c r="D176" s="196"/>
      <c r="E176" s="196"/>
      <c r="F176" s="196"/>
      <c r="G176" s="111"/>
      <c r="H176" s="111"/>
      <c r="I176" s="111"/>
      <c r="J176" s="111"/>
      <c r="K176" s="111"/>
      <c r="L176" s="184"/>
      <c r="M176" s="1"/>
    </row>
    <row r="177" spans="1:13" ht="14.25" customHeight="1" x14ac:dyDescent="0.45">
      <c r="A177" s="618"/>
      <c r="B177" s="106"/>
      <c r="C177" s="111"/>
      <c r="D177" s="196"/>
      <c r="E177" s="196"/>
      <c r="F177" s="196"/>
      <c r="G177" s="111"/>
      <c r="H177" s="111"/>
      <c r="I177" s="111"/>
      <c r="J177" s="111"/>
      <c r="K177" s="111"/>
      <c r="L177" s="184"/>
      <c r="M177" s="1"/>
    </row>
    <row r="178" spans="1:13" ht="14.25" customHeight="1" x14ac:dyDescent="0.45">
      <c r="A178" s="618"/>
      <c r="B178" s="106"/>
      <c r="C178" s="111"/>
      <c r="D178" s="196"/>
      <c r="E178" s="196"/>
      <c r="F178" s="196"/>
      <c r="G178" s="111"/>
      <c r="H178" s="111"/>
      <c r="I178" s="111"/>
      <c r="J178" s="111"/>
      <c r="K178" s="111"/>
      <c r="L178" s="184"/>
      <c r="M178" s="1"/>
    </row>
    <row r="179" spans="1:13" ht="14.25" customHeight="1" x14ac:dyDescent="0.45">
      <c r="A179" s="618"/>
      <c r="B179" s="106"/>
      <c r="C179" s="111"/>
      <c r="D179" s="111"/>
      <c r="E179" s="111"/>
      <c r="F179" s="111"/>
      <c r="G179" s="111"/>
      <c r="H179" s="111"/>
      <c r="I179" s="111"/>
      <c r="J179" s="111"/>
      <c r="K179" s="111"/>
      <c r="L179" s="184"/>
      <c r="M179" s="1"/>
    </row>
    <row r="180" spans="1:13" ht="14.25" customHeight="1" x14ac:dyDescent="0.45">
      <c r="A180" s="618"/>
      <c r="B180" s="106"/>
      <c r="C180" s="111"/>
      <c r="D180" s="111"/>
      <c r="E180" s="111"/>
      <c r="F180" s="111"/>
      <c r="G180" s="111"/>
      <c r="H180" s="111"/>
      <c r="I180" s="111"/>
      <c r="J180" s="111"/>
      <c r="K180" s="111"/>
      <c r="L180" s="184"/>
      <c r="M180" s="1"/>
    </row>
    <row r="181" spans="1:13" ht="14.25" customHeight="1" x14ac:dyDescent="0.45">
      <c r="A181" s="618"/>
      <c r="B181" s="106"/>
      <c r="C181" s="111"/>
      <c r="D181" s="196"/>
      <c r="E181" s="196"/>
      <c r="F181" s="196"/>
      <c r="G181" s="111"/>
      <c r="H181" s="111"/>
      <c r="I181" s="111"/>
      <c r="J181" s="111"/>
      <c r="K181" s="111"/>
      <c r="L181" s="184"/>
      <c r="M181" s="1"/>
    </row>
    <row r="182" spans="1:13" ht="14.25" customHeight="1" x14ac:dyDescent="0.45">
      <c r="A182" s="618"/>
      <c r="B182" s="106"/>
      <c r="C182" s="111"/>
      <c r="D182" s="196"/>
      <c r="E182" s="196"/>
      <c r="F182" s="196"/>
      <c r="G182" s="111"/>
      <c r="H182" s="111"/>
      <c r="I182" s="111"/>
      <c r="J182" s="111"/>
      <c r="K182" s="111"/>
      <c r="L182" s="184"/>
      <c r="M182" s="1"/>
    </row>
    <row r="183" spans="1:13" ht="14.25" customHeight="1" x14ac:dyDescent="0.45">
      <c r="A183" s="618"/>
      <c r="B183" s="106"/>
      <c r="C183" s="111"/>
      <c r="D183" s="111"/>
      <c r="E183" s="111"/>
      <c r="F183" s="111"/>
      <c r="G183" s="111"/>
      <c r="H183" s="111"/>
      <c r="I183" s="111"/>
      <c r="J183" s="111"/>
      <c r="K183" s="111"/>
      <c r="L183" s="184"/>
      <c r="M183" s="1"/>
    </row>
    <row r="184" spans="1:13" ht="14.25" customHeight="1" x14ac:dyDescent="0.45">
      <c r="A184" s="618"/>
      <c r="B184" s="106"/>
      <c r="C184" s="111"/>
      <c r="D184" s="196"/>
      <c r="E184" s="196"/>
      <c r="F184" s="196"/>
      <c r="G184" s="111"/>
      <c r="H184" s="111"/>
      <c r="I184" s="111"/>
      <c r="J184" s="111"/>
      <c r="K184" s="111"/>
      <c r="L184" s="184"/>
      <c r="M184" s="1"/>
    </row>
    <row r="185" spans="1:13" ht="14.25" customHeight="1" x14ac:dyDescent="0.45">
      <c r="A185" s="618"/>
      <c r="B185" s="106"/>
      <c r="C185" s="115"/>
      <c r="D185" s="197"/>
      <c r="E185" s="197"/>
      <c r="F185" s="197"/>
      <c r="G185" s="111"/>
      <c r="H185" s="111"/>
      <c r="I185" s="111"/>
      <c r="J185" s="111"/>
      <c r="K185" s="111"/>
      <c r="L185" s="184"/>
      <c r="M185" s="1"/>
    </row>
    <row r="186" spans="1:13" ht="14.25" customHeight="1" x14ac:dyDescent="0.45">
      <c r="A186" s="618"/>
      <c r="B186" s="118"/>
      <c r="C186" s="181"/>
      <c r="D186" s="191"/>
      <c r="E186" s="191"/>
      <c r="F186" s="191"/>
      <c r="G186" s="191"/>
      <c r="H186" s="191"/>
      <c r="I186" s="191"/>
      <c r="J186" s="191"/>
      <c r="K186" s="191"/>
      <c r="L186" s="192"/>
      <c r="M186" s="1"/>
    </row>
    <row r="187" spans="1:13" ht="14.25" customHeight="1" x14ac:dyDescent="0.45">
      <c r="A187" s="618"/>
      <c r="B187" s="618"/>
      <c r="C187" s="5"/>
      <c r="D187" s="6"/>
      <c r="E187" s="6"/>
      <c r="F187" s="6"/>
      <c r="G187" s="6"/>
      <c r="H187" s="618"/>
      <c r="I187" s="618"/>
      <c r="J187" s="618"/>
      <c r="K187" s="618"/>
      <c r="L187" s="618"/>
      <c r="M187" s="1"/>
    </row>
    <row r="188" spans="1:13" ht="14.25" customHeight="1" x14ac:dyDescent="0.45">
      <c r="A188" s="618"/>
      <c r="B188" s="7"/>
      <c r="C188" s="103"/>
      <c r="D188" s="158"/>
      <c r="E188" s="158"/>
      <c r="F188" s="158"/>
      <c r="G188" s="158"/>
      <c r="H188" s="158"/>
      <c r="I188" s="158"/>
      <c r="J188" s="158"/>
      <c r="K188" s="158"/>
      <c r="L188" s="159"/>
      <c r="M188" s="1"/>
    </row>
    <row r="189" spans="1:13" ht="14.25" customHeight="1" x14ac:dyDescent="0.45">
      <c r="A189" s="618"/>
      <c r="B189" s="106"/>
      <c r="C189" s="107" t="s">
        <v>818</v>
      </c>
      <c r="D189" s="463"/>
      <c r="E189" s="183"/>
      <c r="F189" s="183"/>
      <c r="G189" s="183"/>
      <c r="H189" s="183"/>
      <c r="I189" s="183"/>
      <c r="J189" s="183"/>
      <c r="K189" s="183"/>
      <c r="L189" s="184"/>
      <c r="M189" s="1"/>
    </row>
    <row r="190" spans="1:13" ht="14.25" customHeight="1" x14ac:dyDescent="0.45">
      <c r="A190" s="618"/>
      <c r="B190" s="106"/>
      <c r="C190" s="196"/>
      <c r="D190" s="196"/>
      <c r="E190" s="196"/>
      <c r="F190" s="196"/>
      <c r="G190" s="111"/>
      <c r="H190" s="111"/>
      <c r="I190" s="111"/>
      <c r="J190" s="111"/>
      <c r="K190" s="111"/>
      <c r="L190" s="184"/>
      <c r="M190" s="1"/>
    </row>
    <row r="191" spans="1:13" ht="14.25" customHeight="1" x14ac:dyDescent="0.45">
      <c r="A191" s="618"/>
      <c r="B191" s="106"/>
      <c r="C191" s="111"/>
      <c r="D191" s="196"/>
      <c r="E191" s="196"/>
      <c r="F191" s="196"/>
      <c r="G191" s="111"/>
      <c r="H191" s="111"/>
      <c r="I191" s="111"/>
      <c r="J191" s="111"/>
      <c r="K191" s="111"/>
      <c r="L191" s="184"/>
      <c r="M191" s="1"/>
    </row>
    <row r="192" spans="1:13" ht="14.25" customHeight="1" x14ac:dyDescent="0.45">
      <c r="A192" s="618"/>
      <c r="B192" s="106"/>
      <c r="C192" s="111"/>
      <c r="D192" s="196"/>
      <c r="E192" s="196"/>
      <c r="F192" s="196"/>
      <c r="G192" s="111"/>
      <c r="H192" s="111"/>
      <c r="I192" s="111"/>
      <c r="J192" s="111"/>
      <c r="K192" s="111"/>
      <c r="L192" s="184"/>
      <c r="M192" s="1"/>
    </row>
    <row r="193" spans="1:13" ht="14.25" customHeight="1" x14ac:dyDescent="0.45">
      <c r="A193" s="618"/>
      <c r="B193" s="106"/>
      <c r="C193" s="111"/>
      <c r="D193" s="196"/>
      <c r="E193" s="196"/>
      <c r="F193" s="196"/>
      <c r="G193" s="111"/>
      <c r="H193" s="111"/>
      <c r="I193" s="111"/>
      <c r="J193" s="111"/>
      <c r="K193" s="111"/>
      <c r="L193" s="184"/>
      <c r="M193" s="1"/>
    </row>
    <row r="194" spans="1:13" ht="14.25" customHeight="1" x14ac:dyDescent="0.45">
      <c r="A194" s="618"/>
      <c r="B194" s="106"/>
      <c r="C194" s="111"/>
      <c r="D194" s="196"/>
      <c r="E194" s="196"/>
      <c r="F194" s="196"/>
      <c r="G194" s="111"/>
      <c r="H194" s="111"/>
      <c r="I194" s="111"/>
      <c r="J194" s="111"/>
      <c r="K194" s="111"/>
      <c r="L194" s="184"/>
      <c r="M194" s="1"/>
    </row>
    <row r="195" spans="1:13" ht="14.25" customHeight="1" x14ac:dyDescent="0.45">
      <c r="A195" s="618"/>
      <c r="B195" s="106"/>
      <c r="C195" s="111"/>
      <c r="D195" s="196"/>
      <c r="E195" s="196"/>
      <c r="F195" s="196"/>
      <c r="G195" s="111"/>
      <c r="H195" s="111"/>
      <c r="I195" s="111"/>
      <c r="J195" s="111"/>
      <c r="K195" s="111"/>
      <c r="L195" s="184"/>
      <c r="M195" s="1"/>
    </row>
    <row r="196" spans="1:13" ht="14.25" customHeight="1" x14ac:dyDescent="0.45">
      <c r="A196" s="618"/>
      <c r="B196" s="106"/>
      <c r="C196" s="111"/>
      <c r="D196" s="196"/>
      <c r="E196" s="196"/>
      <c r="F196" s="196"/>
      <c r="G196" s="111"/>
      <c r="H196" s="111"/>
      <c r="I196" s="111"/>
      <c r="J196" s="111"/>
      <c r="K196" s="111"/>
      <c r="L196" s="184"/>
      <c r="M196" s="1"/>
    </row>
    <row r="197" spans="1:13" ht="14.25" customHeight="1" x14ac:dyDescent="0.45">
      <c r="A197" s="618"/>
      <c r="B197" s="106"/>
      <c r="C197" s="111"/>
      <c r="D197" s="196"/>
      <c r="E197" s="196"/>
      <c r="F197" s="196"/>
      <c r="G197" s="111"/>
      <c r="H197" s="111"/>
      <c r="I197" s="111"/>
      <c r="J197" s="111"/>
      <c r="K197" s="111"/>
      <c r="L197" s="184"/>
      <c r="M197" s="1"/>
    </row>
    <row r="198" spans="1:13" ht="14.25" customHeight="1" x14ac:dyDescent="0.45">
      <c r="A198" s="618"/>
      <c r="B198" s="106"/>
      <c r="C198" s="111"/>
      <c r="D198" s="196"/>
      <c r="E198" s="196"/>
      <c r="F198" s="196"/>
      <c r="G198" s="111"/>
      <c r="H198" s="111"/>
      <c r="I198" s="111"/>
      <c r="J198" s="111"/>
      <c r="K198" s="111"/>
      <c r="L198" s="184"/>
      <c r="M198" s="1"/>
    </row>
    <row r="199" spans="1:13" ht="14.25" customHeight="1" x14ac:dyDescent="0.45">
      <c r="A199" s="618"/>
      <c r="B199" s="106"/>
      <c r="C199" s="111"/>
      <c r="D199" s="196"/>
      <c r="E199" s="196"/>
      <c r="F199" s="196"/>
      <c r="G199" s="111"/>
      <c r="H199" s="111"/>
      <c r="I199" s="111"/>
      <c r="J199" s="111"/>
      <c r="K199" s="111"/>
      <c r="L199" s="184"/>
      <c r="M199" s="1"/>
    </row>
    <row r="200" spans="1:13" ht="14.25" customHeight="1" x14ac:dyDescent="0.45">
      <c r="A200" s="618"/>
      <c r="B200" s="106"/>
      <c r="C200" s="111"/>
      <c r="D200" s="196"/>
      <c r="E200" s="196"/>
      <c r="F200" s="196"/>
      <c r="G200" s="111"/>
      <c r="H200" s="111"/>
      <c r="I200" s="111"/>
      <c r="J200" s="111"/>
      <c r="K200" s="111"/>
      <c r="L200" s="184"/>
      <c r="M200" s="1"/>
    </row>
    <row r="201" spans="1:13" ht="14.25" customHeight="1" x14ac:dyDescent="0.45">
      <c r="A201" s="618"/>
      <c r="B201" s="106"/>
      <c r="C201" s="111"/>
      <c r="D201" s="196"/>
      <c r="E201" s="196"/>
      <c r="F201" s="196"/>
      <c r="G201" s="111"/>
      <c r="H201" s="111"/>
      <c r="I201" s="111"/>
      <c r="J201" s="111"/>
      <c r="K201" s="111"/>
      <c r="L201" s="184"/>
      <c r="M201" s="1"/>
    </row>
    <row r="202" spans="1:13" ht="14.25" customHeight="1" x14ac:dyDescent="0.45">
      <c r="A202" s="618"/>
      <c r="B202" s="106"/>
      <c r="C202" s="111"/>
      <c r="D202" s="111"/>
      <c r="E202" s="111"/>
      <c r="F202" s="111"/>
      <c r="G202" s="111"/>
      <c r="H202" s="111"/>
      <c r="I202" s="111"/>
      <c r="J202" s="111"/>
      <c r="K202" s="111"/>
      <c r="L202" s="184"/>
      <c r="M202" s="1"/>
    </row>
    <row r="203" spans="1:13" ht="14.25" customHeight="1" x14ac:dyDescent="0.45">
      <c r="A203" s="618"/>
      <c r="B203" s="106"/>
      <c r="C203" s="111"/>
      <c r="D203" s="111"/>
      <c r="E203" s="111"/>
      <c r="F203" s="111"/>
      <c r="G203" s="111"/>
      <c r="H203" s="111"/>
      <c r="I203" s="111"/>
      <c r="J203" s="111"/>
      <c r="K203" s="111"/>
      <c r="L203" s="184"/>
      <c r="M203" s="1"/>
    </row>
    <row r="204" spans="1:13" ht="14.25" customHeight="1" x14ac:dyDescent="0.45">
      <c r="A204" s="618"/>
      <c r="B204" s="106"/>
      <c r="C204" s="111"/>
      <c r="D204" s="196"/>
      <c r="E204" s="196"/>
      <c r="F204" s="196"/>
      <c r="G204" s="111"/>
      <c r="H204" s="111"/>
      <c r="I204" s="111"/>
      <c r="J204" s="111"/>
      <c r="K204" s="111"/>
      <c r="L204" s="184"/>
      <c r="M204" s="1"/>
    </row>
    <row r="205" spans="1:13" ht="14.25" customHeight="1" x14ac:dyDescent="0.45">
      <c r="A205" s="618"/>
      <c r="B205" s="106"/>
      <c r="C205" s="111"/>
      <c r="D205" s="196"/>
      <c r="E205" s="196"/>
      <c r="F205" s="196"/>
      <c r="G205" s="111"/>
      <c r="H205" s="111"/>
      <c r="I205" s="111"/>
      <c r="J205" s="111"/>
      <c r="K205" s="111"/>
      <c r="L205" s="184"/>
      <c r="M205" s="1"/>
    </row>
    <row r="206" spans="1:13" ht="14.25" customHeight="1" x14ac:dyDescent="0.45">
      <c r="A206" s="618"/>
      <c r="B206" s="106"/>
      <c r="C206" s="111"/>
      <c r="D206" s="196"/>
      <c r="E206" s="196"/>
      <c r="F206" s="196"/>
      <c r="G206" s="111"/>
      <c r="H206" s="111"/>
      <c r="I206" s="111"/>
      <c r="J206" s="111"/>
      <c r="K206" s="111"/>
      <c r="L206" s="184"/>
      <c r="M206" s="1"/>
    </row>
    <row r="207" spans="1:13" ht="14.25" customHeight="1" x14ac:dyDescent="0.45">
      <c r="A207" s="618"/>
      <c r="B207" s="106"/>
      <c r="C207" s="111"/>
      <c r="D207" s="196"/>
      <c r="E207" s="196"/>
      <c r="F207" s="196"/>
      <c r="G207" s="111"/>
      <c r="H207" s="111"/>
      <c r="I207" s="111"/>
      <c r="J207" s="111"/>
      <c r="K207" s="111"/>
      <c r="L207" s="184"/>
      <c r="M207" s="1"/>
    </row>
    <row r="208" spans="1:13" ht="14.25" customHeight="1" x14ac:dyDescent="0.45">
      <c r="A208" s="618"/>
      <c r="B208" s="106"/>
      <c r="C208" s="111"/>
      <c r="D208" s="196"/>
      <c r="E208" s="196"/>
      <c r="F208" s="196"/>
      <c r="G208" s="111"/>
      <c r="H208" s="111"/>
      <c r="I208" s="111"/>
      <c r="J208" s="111"/>
      <c r="K208" s="111"/>
      <c r="L208" s="184"/>
      <c r="M208" s="1"/>
    </row>
    <row r="209" spans="1:13" ht="14.25" customHeight="1" x14ac:dyDescent="0.45">
      <c r="A209" s="618"/>
      <c r="B209" s="106"/>
      <c r="C209" s="111"/>
      <c r="D209" s="196"/>
      <c r="E209" s="196"/>
      <c r="F209" s="196"/>
      <c r="G209" s="111"/>
      <c r="H209" s="111"/>
      <c r="I209" s="111"/>
      <c r="J209" s="111"/>
      <c r="K209" s="111"/>
      <c r="L209" s="184"/>
      <c r="M209" s="1"/>
    </row>
    <row r="210" spans="1:13" ht="14.25" customHeight="1" x14ac:dyDescent="0.45">
      <c r="A210" s="618"/>
      <c r="B210" s="106"/>
      <c r="C210" s="111"/>
      <c r="D210" s="196"/>
      <c r="E210" s="196"/>
      <c r="F210" s="196"/>
      <c r="G210" s="111"/>
      <c r="H210" s="111"/>
      <c r="I210" s="111"/>
      <c r="J210" s="111"/>
      <c r="K210" s="111"/>
      <c r="L210" s="184"/>
      <c r="M210" s="1"/>
    </row>
    <row r="211" spans="1:13" ht="14.25" customHeight="1" x14ac:dyDescent="0.45">
      <c r="A211" s="618"/>
      <c r="B211" s="106"/>
      <c r="C211" s="111"/>
      <c r="D211" s="196"/>
      <c r="E211" s="196"/>
      <c r="F211" s="196"/>
      <c r="G211" s="111"/>
      <c r="H211" s="111"/>
      <c r="I211" s="111"/>
      <c r="J211" s="111"/>
      <c r="K211" s="111"/>
      <c r="L211" s="184"/>
      <c r="M211" s="1"/>
    </row>
    <row r="212" spans="1:13" ht="14.25" customHeight="1" x14ac:dyDescent="0.45">
      <c r="A212" s="618"/>
      <c r="B212" s="106"/>
      <c r="C212" s="111"/>
      <c r="D212" s="196"/>
      <c r="E212" s="196"/>
      <c r="F212" s="196"/>
      <c r="G212" s="111"/>
      <c r="H212" s="111"/>
      <c r="I212" s="111"/>
      <c r="J212" s="111"/>
      <c r="K212" s="111"/>
      <c r="L212" s="184"/>
      <c r="M212" s="1"/>
    </row>
    <row r="213" spans="1:13" ht="14.25" customHeight="1" x14ac:dyDescent="0.45">
      <c r="A213" s="618"/>
      <c r="B213" s="106"/>
      <c r="C213" s="111"/>
      <c r="D213" s="196"/>
      <c r="E213" s="196"/>
      <c r="F213" s="196"/>
      <c r="G213" s="111"/>
      <c r="H213" s="111"/>
      <c r="I213" s="111"/>
      <c r="J213" s="111"/>
      <c r="K213" s="111"/>
      <c r="L213" s="184"/>
      <c r="M213" s="1"/>
    </row>
    <row r="214" spans="1:13" ht="14.25" customHeight="1" x14ac:dyDescent="0.45">
      <c r="A214" s="618"/>
      <c r="B214" s="106"/>
      <c r="C214" s="111"/>
      <c r="D214" s="196"/>
      <c r="E214" s="196"/>
      <c r="F214" s="196"/>
      <c r="G214" s="111"/>
      <c r="H214" s="111"/>
      <c r="I214" s="111"/>
      <c r="J214" s="111"/>
      <c r="K214" s="111"/>
      <c r="L214" s="184"/>
      <c r="M214" s="1"/>
    </row>
    <row r="215" spans="1:13" ht="14.25" customHeight="1" x14ac:dyDescent="0.45">
      <c r="A215" s="618"/>
      <c r="B215" s="106"/>
      <c r="C215" s="111"/>
      <c r="D215" s="111"/>
      <c r="E215" s="111"/>
      <c r="F215" s="111"/>
      <c r="G215" s="111"/>
      <c r="H215" s="111"/>
      <c r="I215" s="111"/>
      <c r="J215" s="111"/>
      <c r="K215" s="111"/>
      <c r="L215" s="184"/>
      <c r="M215" s="1"/>
    </row>
    <row r="216" spans="1:13" ht="14.25" customHeight="1" x14ac:dyDescent="0.45">
      <c r="A216" s="618"/>
      <c r="B216" s="106"/>
      <c r="C216" s="111"/>
      <c r="D216" s="111"/>
      <c r="E216" s="111"/>
      <c r="F216" s="111"/>
      <c r="G216" s="111"/>
      <c r="H216" s="111"/>
      <c r="I216" s="111"/>
      <c r="J216" s="111"/>
      <c r="K216" s="111"/>
      <c r="L216" s="184"/>
      <c r="M216" s="1"/>
    </row>
    <row r="217" spans="1:13" ht="14.25" customHeight="1" x14ac:dyDescent="0.45">
      <c r="A217" s="618"/>
      <c r="B217" s="106"/>
      <c r="C217" s="111"/>
      <c r="D217" s="111"/>
      <c r="E217" s="111"/>
      <c r="F217" s="111"/>
      <c r="G217" s="111"/>
      <c r="H217" s="111"/>
      <c r="I217" s="111"/>
      <c r="J217" s="111"/>
      <c r="K217" s="111"/>
      <c r="L217" s="184"/>
      <c r="M217" s="1"/>
    </row>
    <row r="218" spans="1:13" ht="14.25" customHeight="1" x14ac:dyDescent="0.45">
      <c r="A218" s="618"/>
      <c r="B218" s="106"/>
      <c r="C218" s="111"/>
      <c r="D218" s="111"/>
      <c r="E218" s="111"/>
      <c r="F218" s="111"/>
      <c r="G218" s="111"/>
      <c r="H218" s="111"/>
      <c r="I218" s="111"/>
      <c r="J218" s="111"/>
      <c r="K218" s="111"/>
      <c r="L218" s="184"/>
      <c r="M218" s="1"/>
    </row>
    <row r="219" spans="1:13" ht="14.25" customHeight="1" x14ac:dyDescent="0.45">
      <c r="A219" s="618"/>
      <c r="B219" s="106"/>
      <c r="C219" s="111"/>
      <c r="D219" s="111"/>
      <c r="E219" s="111"/>
      <c r="F219" s="111"/>
      <c r="G219" s="111"/>
      <c r="H219" s="111"/>
      <c r="I219" s="111"/>
      <c r="J219" s="111"/>
      <c r="K219" s="111"/>
      <c r="L219" s="184"/>
      <c r="M219" s="1"/>
    </row>
    <row r="220" spans="1:13" ht="14.25" customHeight="1" x14ac:dyDescent="0.45">
      <c r="A220" s="618"/>
      <c r="B220" s="106"/>
      <c r="C220" s="111"/>
      <c r="D220" s="111"/>
      <c r="E220" s="111"/>
      <c r="F220" s="111"/>
      <c r="G220" s="111"/>
      <c r="H220" s="111"/>
      <c r="I220" s="111"/>
      <c r="J220" s="111"/>
      <c r="K220" s="111"/>
      <c r="L220" s="184"/>
      <c r="M220" s="1"/>
    </row>
    <row r="221" spans="1:13" ht="14.25" customHeight="1" x14ac:dyDescent="0.45">
      <c r="A221" s="618"/>
      <c r="B221" s="106"/>
      <c r="C221" s="111"/>
      <c r="D221" s="111"/>
      <c r="E221" s="111"/>
      <c r="F221" s="111"/>
      <c r="G221" s="111"/>
      <c r="H221" s="111"/>
      <c r="I221" s="111"/>
      <c r="J221" s="111"/>
      <c r="K221" s="111"/>
      <c r="L221" s="184"/>
      <c r="M221" s="1"/>
    </row>
    <row r="222" spans="1:13" ht="14.25" customHeight="1" x14ac:dyDescent="0.45">
      <c r="A222" s="618"/>
      <c r="B222" s="106"/>
      <c r="C222" s="111"/>
      <c r="D222" s="196"/>
      <c r="E222" s="196"/>
      <c r="F222" s="196"/>
      <c r="G222" s="111"/>
      <c r="H222" s="111"/>
      <c r="I222" s="111"/>
      <c r="J222" s="111"/>
      <c r="K222" s="111"/>
      <c r="L222" s="184"/>
      <c r="M222" s="1"/>
    </row>
    <row r="223" spans="1:13" ht="14.25" customHeight="1" x14ac:dyDescent="0.45">
      <c r="A223" s="618"/>
      <c r="B223" s="106"/>
      <c r="C223" s="115"/>
      <c r="D223" s="197"/>
      <c r="E223" s="197"/>
      <c r="F223" s="197"/>
      <c r="G223" s="111"/>
      <c r="H223" s="111"/>
      <c r="I223" s="111"/>
      <c r="J223" s="111"/>
      <c r="K223" s="111"/>
      <c r="L223" s="184"/>
      <c r="M223" s="1"/>
    </row>
    <row r="224" spans="1:13" ht="14.25" customHeight="1" x14ac:dyDescent="0.45">
      <c r="A224" s="618"/>
      <c r="B224" s="118"/>
      <c r="C224" s="181"/>
      <c r="D224" s="191"/>
      <c r="E224" s="191"/>
      <c r="F224" s="191"/>
      <c r="G224" s="191"/>
      <c r="H224" s="191"/>
      <c r="I224" s="191"/>
      <c r="J224" s="191"/>
      <c r="K224" s="191"/>
      <c r="L224" s="192"/>
      <c r="M224" s="1"/>
    </row>
    <row r="225" spans="1:13" ht="14.25" customHeight="1" x14ac:dyDescent="0.45">
      <c r="A225" s="618"/>
      <c r="B225" s="618"/>
      <c r="C225" s="5"/>
      <c r="D225" s="6"/>
      <c r="E225" s="6"/>
      <c r="F225" s="6"/>
      <c r="G225" s="6"/>
      <c r="H225" s="618"/>
      <c r="I225" s="618"/>
      <c r="J225" s="618"/>
      <c r="K225" s="618"/>
      <c r="L225" s="618"/>
      <c r="M225" s="1"/>
    </row>
    <row r="226" spans="1:13" ht="14.25" customHeight="1" x14ac:dyDescent="0.45">
      <c r="A226" s="618"/>
      <c r="B226" s="7"/>
      <c r="C226" s="103"/>
      <c r="D226" s="158"/>
      <c r="E226" s="158"/>
      <c r="F226" s="158"/>
      <c r="G226" s="158"/>
      <c r="H226" s="158"/>
      <c r="I226" s="158"/>
      <c r="J226" s="158"/>
      <c r="K226" s="158"/>
      <c r="L226" s="159"/>
      <c r="M226" s="1"/>
    </row>
    <row r="227" spans="1:13" ht="14.25" customHeight="1" x14ac:dyDescent="0.45">
      <c r="A227" s="618"/>
      <c r="B227" s="106"/>
      <c r="C227" s="107" t="s">
        <v>819</v>
      </c>
      <c r="D227" s="463"/>
      <c r="E227" s="183"/>
      <c r="F227" s="183"/>
      <c r="G227" s="183"/>
      <c r="H227" s="183"/>
      <c r="I227" s="183"/>
      <c r="J227" s="183"/>
      <c r="K227" s="183"/>
      <c r="L227" s="184"/>
      <c r="M227" s="1"/>
    </row>
    <row r="228" spans="1:13" ht="14.25" customHeight="1" x14ac:dyDescent="0.45">
      <c r="A228" s="618"/>
      <c r="B228" s="106"/>
      <c r="C228" s="196"/>
      <c r="D228" s="196"/>
      <c r="E228" s="196"/>
      <c r="F228" s="196"/>
      <c r="G228" s="111"/>
      <c r="H228" s="111"/>
      <c r="I228" s="111"/>
      <c r="J228" s="111"/>
      <c r="K228" s="111"/>
      <c r="L228" s="184"/>
      <c r="M228" s="1"/>
    </row>
    <row r="229" spans="1:13" ht="14.25" customHeight="1" x14ac:dyDescent="0.45">
      <c r="A229" s="618"/>
      <c r="B229" s="106"/>
      <c r="C229" s="111"/>
      <c r="D229" s="196"/>
      <c r="E229" s="196"/>
      <c r="F229" s="196"/>
      <c r="G229" s="111"/>
      <c r="H229" s="111"/>
      <c r="I229" s="111"/>
      <c r="J229" s="111"/>
      <c r="K229" s="111"/>
      <c r="L229" s="184"/>
      <c r="M229" s="1"/>
    </row>
    <row r="230" spans="1:13" ht="14.25" customHeight="1" x14ac:dyDescent="0.45">
      <c r="A230" s="618"/>
      <c r="B230" s="106"/>
      <c r="C230" s="111"/>
      <c r="D230" s="196"/>
      <c r="E230" s="196"/>
      <c r="F230" s="196"/>
      <c r="G230" s="111"/>
      <c r="H230" s="111"/>
      <c r="I230" s="111"/>
      <c r="J230" s="111"/>
      <c r="K230" s="111"/>
      <c r="L230" s="184"/>
      <c r="M230" s="1"/>
    </row>
    <row r="231" spans="1:13" ht="14.25" customHeight="1" x14ac:dyDescent="0.45">
      <c r="A231" s="618"/>
      <c r="B231" s="106"/>
      <c r="C231" s="111"/>
      <c r="D231" s="196"/>
      <c r="E231" s="196"/>
      <c r="F231" s="196"/>
      <c r="G231" s="111"/>
      <c r="H231" s="111"/>
      <c r="I231" s="111"/>
      <c r="J231" s="111"/>
      <c r="K231" s="111"/>
      <c r="L231" s="184"/>
      <c r="M231" s="1"/>
    </row>
    <row r="232" spans="1:13" ht="14.25" customHeight="1" x14ac:dyDescent="0.45">
      <c r="A232" s="618"/>
      <c r="B232" s="106"/>
      <c r="C232" s="111"/>
      <c r="D232" s="196"/>
      <c r="E232" s="196"/>
      <c r="F232" s="196"/>
      <c r="G232" s="111"/>
      <c r="H232" s="111"/>
      <c r="I232" s="111"/>
      <c r="J232" s="111"/>
      <c r="K232" s="111"/>
      <c r="L232" s="184"/>
      <c r="M232" s="1"/>
    </row>
    <row r="233" spans="1:13" ht="14.25" customHeight="1" x14ac:dyDescent="0.45">
      <c r="A233" s="618"/>
      <c r="B233" s="106"/>
      <c r="C233" s="111"/>
      <c r="D233" s="196"/>
      <c r="E233" s="196"/>
      <c r="F233" s="196"/>
      <c r="G233" s="111"/>
      <c r="H233" s="111"/>
      <c r="I233" s="111"/>
      <c r="J233" s="111"/>
      <c r="K233" s="111"/>
      <c r="L233" s="184"/>
      <c r="M233" s="1"/>
    </row>
    <row r="234" spans="1:13" ht="14.25" customHeight="1" x14ac:dyDescent="0.45">
      <c r="A234" s="618"/>
      <c r="B234" s="106"/>
      <c r="C234" s="111"/>
      <c r="D234" s="196"/>
      <c r="E234" s="196"/>
      <c r="F234" s="196"/>
      <c r="G234" s="111"/>
      <c r="H234" s="111"/>
      <c r="I234" s="111"/>
      <c r="J234" s="111"/>
      <c r="K234" s="111"/>
      <c r="L234" s="184"/>
      <c r="M234" s="1"/>
    </row>
    <row r="235" spans="1:13" ht="14.25" customHeight="1" x14ac:dyDescent="0.45">
      <c r="A235" s="618"/>
      <c r="B235" s="106"/>
      <c r="C235" s="111"/>
      <c r="D235" s="196"/>
      <c r="E235" s="196"/>
      <c r="F235" s="196"/>
      <c r="G235" s="111"/>
      <c r="H235" s="111"/>
      <c r="I235" s="111"/>
      <c r="J235" s="111"/>
      <c r="K235" s="111"/>
      <c r="L235" s="184"/>
      <c r="M235" s="1"/>
    </row>
    <row r="236" spans="1:13" ht="14.25" customHeight="1" x14ac:dyDescent="0.45">
      <c r="A236" s="618"/>
      <c r="B236" s="106"/>
      <c r="C236" s="111"/>
      <c r="D236" s="196"/>
      <c r="E236" s="196"/>
      <c r="F236" s="196"/>
      <c r="G236" s="111"/>
      <c r="H236" s="111"/>
      <c r="I236" s="111"/>
      <c r="J236" s="111"/>
      <c r="K236" s="111"/>
      <c r="L236" s="184"/>
      <c r="M236" s="1"/>
    </row>
    <row r="237" spans="1:13" ht="14.25" customHeight="1" x14ac:dyDescent="0.45">
      <c r="A237" s="618"/>
      <c r="B237" s="106"/>
      <c r="C237" s="111"/>
      <c r="D237" s="196"/>
      <c r="E237" s="196"/>
      <c r="F237" s="196"/>
      <c r="G237" s="111"/>
      <c r="H237" s="111"/>
      <c r="I237" s="111"/>
      <c r="J237" s="111"/>
      <c r="K237" s="111"/>
      <c r="L237" s="184"/>
      <c r="M237" s="1"/>
    </row>
    <row r="238" spans="1:13" ht="14.25" customHeight="1" x14ac:dyDescent="0.45">
      <c r="A238" s="618"/>
      <c r="B238" s="106"/>
      <c r="C238" s="111"/>
      <c r="D238" s="196"/>
      <c r="E238" s="196"/>
      <c r="F238" s="196"/>
      <c r="G238" s="111"/>
      <c r="H238" s="111"/>
      <c r="I238" s="111"/>
      <c r="J238" s="111"/>
      <c r="K238" s="111"/>
      <c r="L238" s="184"/>
      <c r="M238" s="1"/>
    </row>
    <row r="239" spans="1:13" ht="14.25" customHeight="1" x14ac:dyDescent="0.45">
      <c r="A239" s="618"/>
      <c r="B239" s="106"/>
      <c r="C239" s="111"/>
      <c r="D239" s="196"/>
      <c r="E239" s="196"/>
      <c r="F239" s="196"/>
      <c r="G239" s="111"/>
      <c r="H239" s="111"/>
      <c r="I239" s="111"/>
      <c r="J239" s="111"/>
      <c r="K239" s="111"/>
      <c r="L239" s="184"/>
      <c r="M239" s="1"/>
    </row>
    <row r="240" spans="1:13" ht="14.25" customHeight="1" x14ac:dyDescent="0.45">
      <c r="A240" s="618"/>
      <c r="B240" s="106"/>
      <c r="C240" s="111"/>
      <c r="D240" s="111"/>
      <c r="E240" s="111"/>
      <c r="F240" s="111"/>
      <c r="G240" s="111"/>
      <c r="H240" s="111"/>
      <c r="I240" s="111"/>
      <c r="J240" s="111"/>
      <c r="K240" s="111"/>
      <c r="L240" s="184"/>
      <c r="M240" s="1"/>
    </row>
    <row r="241" spans="1:13" ht="14.25" customHeight="1" x14ac:dyDescent="0.45">
      <c r="A241" s="618"/>
      <c r="B241" s="106"/>
      <c r="C241" s="111"/>
      <c r="D241" s="111"/>
      <c r="E241" s="111"/>
      <c r="F241" s="111"/>
      <c r="G241" s="111"/>
      <c r="H241" s="111"/>
      <c r="I241" s="111"/>
      <c r="J241" s="111"/>
      <c r="K241" s="111"/>
      <c r="L241" s="184"/>
      <c r="M241" s="1"/>
    </row>
    <row r="242" spans="1:13" ht="14.25" customHeight="1" x14ac:dyDescent="0.45">
      <c r="A242" s="618"/>
      <c r="B242" s="106"/>
      <c r="C242" s="111"/>
      <c r="D242" s="196"/>
      <c r="E242" s="196"/>
      <c r="F242" s="196"/>
      <c r="G242" s="111"/>
      <c r="H242" s="111"/>
      <c r="I242" s="111"/>
      <c r="J242" s="111"/>
      <c r="K242" s="111"/>
      <c r="L242" s="184"/>
      <c r="M242" s="1"/>
    </row>
    <row r="243" spans="1:13" ht="14.25" customHeight="1" x14ac:dyDescent="0.45">
      <c r="A243" s="618"/>
      <c r="B243" s="106"/>
      <c r="C243" s="111"/>
      <c r="D243" s="196"/>
      <c r="E243" s="196"/>
      <c r="F243" s="196"/>
      <c r="G243" s="111"/>
      <c r="H243" s="111"/>
      <c r="I243" s="111"/>
      <c r="J243" s="111"/>
      <c r="K243" s="111"/>
      <c r="L243" s="184"/>
      <c r="M243" s="1"/>
    </row>
    <row r="244" spans="1:13" ht="14.25" customHeight="1" x14ac:dyDescent="0.45">
      <c r="A244" s="618"/>
      <c r="B244" s="106"/>
      <c r="C244" s="111"/>
      <c r="D244" s="196"/>
      <c r="E244" s="196"/>
      <c r="F244" s="196"/>
      <c r="G244" s="111"/>
      <c r="H244" s="111"/>
      <c r="I244" s="111"/>
      <c r="J244" s="111"/>
      <c r="K244" s="111"/>
      <c r="L244" s="184"/>
      <c r="M244" s="1"/>
    </row>
    <row r="245" spans="1:13" ht="14.25" customHeight="1" x14ac:dyDescent="0.45">
      <c r="A245" s="618"/>
      <c r="B245" s="106"/>
      <c r="C245" s="111"/>
      <c r="D245" s="196"/>
      <c r="E245" s="196"/>
      <c r="F245" s="196"/>
      <c r="G245" s="111"/>
      <c r="H245" s="111"/>
      <c r="I245" s="111"/>
      <c r="J245" s="111"/>
      <c r="K245" s="111"/>
      <c r="L245" s="184"/>
      <c r="M245" s="1"/>
    </row>
    <row r="246" spans="1:13" ht="14.25" customHeight="1" x14ac:dyDescent="0.45">
      <c r="A246" s="618"/>
      <c r="B246" s="106"/>
      <c r="C246" s="111"/>
      <c r="D246" s="196"/>
      <c r="E246" s="196"/>
      <c r="F246" s="196"/>
      <c r="G246" s="111"/>
      <c r="H246" s="111"/>
      <c r="I246" s="111"/>
      <c r="J246" s="111"/>
      <c r="K246" s="111"/>
      <c r="L246" s="184"/>
      <c r="M246" s="1"/>
    </row>
    <row r="247" spans="1:13" ht="14.25" customHeight="1" x14ac:dyDescent="0.45">
      <c r="A247" s="618"/>
      <c r="B247" s="106"/>
      <c r="C247" s="111"/>
      <c r="D247" s="196"/>
      <c r="E247" s="196"/>
      <c r="F247" s="196"/>
      <c r="G247" s="111"/>
      <c r="H247" s="111"/>
      <c r="I247" s="111"/>
      <c r="J247" s="111"/>
      <c r="K247" s="111"/>
      <c r="L247" s="184"/>
      <c r="M247" s="1"/>
    </row>
    <row r="248" spans="1:13" ht="14.25" customHeight="1" x14ac:dyDescent="0.45">
      <c r="A248" s="618"/>
      <c r="B248" s="106"/>
      <c r="C248" s="111"/>
      <c r="D248" s="196"/>
      <c r="E248" s="196"/>
      <c r="F248" s="196"/>
      <c r="G248" s="111"/>
      <c r="H248" s="111"/>
      <c r="I248" s="111"/>
      <c r="J248" s="111"/>
      <c r="K248" s="111"/>
      <c r="L248" s="184"/>
      <c r="M248" s="1"/>
    </row>
    <row r="249" spans="1:13" ht="14.25" customHeight="1" x14ac:dyDescent="0.45">
      <c r="A249" s="618"/>
      <c r="B249" s="106"/>
      <c r="C249" s="111"/>
      <c r="D249" s="196"/>
      <c r="E249" s="196"/>
      <c r="F249" s="196"/>
      <c r="G249" s="111"/>
      <c r="H249" s="111"/>
      <c r="I249" s="111"/>
      <c r="J249" s="111"/>
      <c r="K249" s="111"/>
      <c r="L249" s="184"/>
      <c r="M249" s="1"/>
    </row>
    <row r="250" spans="1:13" ht="14.25" customHeight="1" x14ac:dyDescent="0.45">
      <c r="A250" s="618"/>
      <c r="B250" s="106"/>
      <c r="C250" s="111"/>
      <c r="D250" s="196"/>
      <c r="E250" s="196"/>
      <c r="F250" s="196"/>
      <c r="G250" s="111"/>
      <c r="H250" s="111"/>
      <c r="I250" s="111"/>
      <c r="J250" s="111"/>
      <c r="K250" s="111"/>
      <c r="L250" s="184"/>
      <c r="M250" s="1"/>
    </row>
    <row r="251" spans="1:13" ht="14.25" customHeight="1" x14ac:dyDescent="0.45">
      <c r="A251" s="618"/>
      <c r="B251" s="106"/>
      <c r="C251" s="111"/>
      <c r="D251" s="196"/>
      <c r="E251" s="196"/>
      <c r="F251" s="196"/>
      <c r="G251" s="111"/>
      <c r="H251" s="111"/>
      <c r="I251" s="111"/>
      <c r="J251" s="111"/>
      <c r="K251" s="111"/>
      <c r="L251" s="184"/>
      <c r="M251" s="1"/>
    </row>
    <row r="252" spans="1:13" ht="14.25" customHeight="1" x14ac:dyDescent="0.45">
      <c r="A252" s="618"/>
      <c r="B252" s="106"/>
      <c r="C252" s="111"/>
      <c r="D252" s="196"/>
      <c r="E252" s="196"/>
      <c r="F252" s="196"/>
      <c r="G252" s="111"/>
      <c r="H252" s="111"/>
      <c r="I252" s="111"/>
      <c r="J252" s="111"/>
      <c r="K252" s="111"/>
      <c r="L252" s="184"/>
      <c r="M252" s="1"/>
    </row>
    <row r="253" spans="1:13" ht="14.25" customHeight="1" x14ac:dyDescent="0.45">
      <c r="A253" s="618"/>
      <c r="B253" s="106"/>
      <c r="C253" s="111"/>
      <c r="D253" s="111"/>
      <c r="E253" s="111"/>
      <c r="F253" s="111"/>
      <c r="G253" s="111"/>
      <c r="H253" s="111"/>
      <c r="I253" s="111"/>
      <c r="J253" s="111"/>
      <c r="K253" s="111"/>
      <c r="L253" s="184"/>
      <c r="M253" s="1"/>
    </row>
    <row r="254" spans="1:13" ht="14.25" customHeight="1" x14ac:dyDescent="0.45">
      <c r="A254" s="618"/>
      <c r="B254" s="106"/>
      <c r="C254" s="111"/>
      <c r="D254" s="111"/>
      <c r="E254" s="111"/>
      <c r="F254" s="111"/>
      <c r="G254" s="111"/>
      <c r="H254" s="111"/>
      <c r="I254" s="111"/>
      <c r="J254" s="111"/>
      <c r="K254" s="111"/>
      <c r="L254" s="184"/>
      <c r="M254" s="1"/>
    </row>
    <row r="255" spans="1:13" ht="14.25" customHeight="1" x14ac:dyDescent="0.45">
      <c r="A255" s="618"/>
      <c r="B255" s="106"/>
      <c r="C255" s="111"/>
      <c r="D255" s="111"/>
      <c r="E255" s="111"/>
      <c r="F255" s="111"/>
      <c r="G255" s="111"/>
      <c r="H255" s="111"/>
      <c r="I255" s="111"/>
      <c r="J255" s="111"/>
      <c r="K255" s="111"/>
      <c r="L255" s="184"/>
      <c r="M255" s="1"/>
    </row>
    <row r="256" spans="1:13" ht="14.25" customHeight="1" x14ac:dyDescent="0.45">
      <c r="A256" s="618"/>
      <c r="B256" s="106"/>
      <c r="C256" s="111"/>
      <c r="D256" s="111"/>
      <c r="E256" s="111"/>
      <c r="F256" s="111"/>
      <c r="G256" s="111"/>
      <c r="H256" s="111"/>
      <c r="I256" s="111"/>
      <c r="J256" s="111"/>
      <c r="K256" s="111"/>
      <c r="L256" s="184"/>
      <c r="M256" s="1"/>
    </row>
    <row r="257" spans="1:13" ht="14.25" customHeight="1" x14ac:dyDescent="0.45">
      <c r="A257" s="618"/>
      <c r="B257" s="106"/>
      <c r="C257" s="111"/>
      <c r="D257" s="111"/>
      <c r="E257" s="111"/>
      <c r="F257" s="111"/>
      <c r="G257" s="111"/>
      <c r="H257" s="111"/>
      <c r="I257" s="111"/>
      <c r="J257" s="111"/>
      <c r="K257" s="111"/>
      <c r="L257" s="184"/>
      <c r="M257" s="1"/>
    </row>
    <row r="258" spans="1:13" ht="14.25" customHeight="1" x14ac:dyDescent="0.45">
      <c r="A258" s="618"/>
      <c r="B258" s="106"/>
      <c r="C258" s="111"/>
      <c r="D258" s="111"/>
      <c r="E258" s="111"/>
      <c r="F258" s="111"/>
      <c r="G258" s="111"/>
      <c r="H258" s="111"/>
      <c r="I258" s="111"/>
      <c r="J258" s="111"/>
      <c r="K258" s="111"/>
      <c r="L258" s="184"/>
      <c r="M258" s="1"/>
    </row>
    <row r="259" spans="1:13" ht="14.25" customHeight="1" x14ac:dyDescent="0.45">
      <c r="A259" s="618"/>
      <c r="B259" s="106"/>
      <c r="C259" s="111"/>
      <c r="D259" s="111"/>
      <c r="E259" s="111"/>
      <c r="F259" s="111"/>
      <c r="G259" s="111"/>
      <c r="H259" s="111"/>
      <c r="I259" s="111"/>
      <c r="J259" s="111"/>
      <c r="K259" s="111"/>
      <c r="L259" s="184"/>
      <c r="M259" s="1"/>
    </row>
    <row r="260" spans="1:13" ht="14.25" customHeight="1" x14ac:dyDescent="0.45">
      <c r="A260" s="618"/>
      <c r="B260" s="106"/>
      <c r="C260" s="111"/>
      <c r="D260" s="196"/>
      <c r="E260" s="196"/>
      <c r="F260" s="196"/>
      <c r="G260" s="111"/>
      <c r="H260" s="111"/>
      <c r="I260" s="111"/>
      <c r="J260" s="111"/>
      <c r="K260" s="111"/>
      <c r="L260" s="184"/>
      <c r="M260" s="1"/>
    </row>
    <row r="261" spans="1:13" ht="14.25" customHeight="1" x14ac:dyDescent="0.45">
      <c r="A261" s="618"/>
      <c r="B261" s="106"/>
      <c r="C261" s="115"/>
      <c r="D261" s="197"/>
      <c r="E261" s="197"/>
      <c r="F261" s="197"/>
      <c r="G261" s="111"/>
      <c r="H261" s="111"/>
      <c r="I261" s="111"/>
      <c r="J261" s="111"/>
      <c r="K261" s="111"/>
      <c r="L261" s="184"/>
      <c r="M261" s="1"/>
    </row>
    <row r="262" spans="1:13" ht="14.25" customHeight="1" x14ac:dyDescent="0.45">
      <c r="A262" s="618"/>
      <c r="B262" s="118"/>
      <c r="C262" s="181"/>
      <c r="D262" s="191"/>
      <c r="E262" s="191"/>
      <c r="F262" s="191"/>
      <c r="G262" s="191"/>
      <c r="H262" s="191"/>
      <c r="I262" s="191"/>
      <c r="J262" s="191"/>
      <c r="K262" s="191"/>
      <c r="L262" s="192"/>
      <c r="M262" s="1"/>
    </row>
    <row r="263" spans="1:13" ht="14.25" customHeight="1" x14ac:dyDescent="0.45">
      <c r="A263" s="618"/>
      <c r="B263" s="618"/>
      <c r="C263" s="5"/>
      <c r="D263" s="6"/>
      <c r="E263" s="6"/>
      <c r="F263" s="6"/>
      <c r="G263" s="6"/>
      <c r="H263" s="618"/>
      <c r="I263" s="618"/>
      <c r="J263" s="618"/>
      <c r="K263" s="618"/>
      <c r="L263" s="618"/>
      <c r="M263" s="1"/>
    </row>
    <row r="264" spans="1:13" ht="14.25" customHeight="1" x14ac:dyDescent="0.45">
      <c r="A264" s="618"/>
      <c r="B264" s="618"/>
      <c r="C264" s="5"/>
      <c r="D264" s="6"/>
      <c r="E264" s="6"/>
      <c r="F264" s="6"/>
      <c r="G264" s="6"/>
      <c r="H264" s="618"/>
      <c r="I264" s="618"/>
      <c r="J264" s="618"/>
      <c r="K264" s="618"/>
      <c r="L264" s="618"/>
      <c r="M264" s="1"/>
    </row>
    <row r="265" spans="1:13" ht="14.25" customHeight="1" x14ac:dyDescent="0.45">
      <c r="A265" s="618"/>
      <c r="B265" s="618"/>
      <c r="C265" s="5"/>
      <c r="D265" s="6"/>
      <c r="E265" s="6"/>
      <c r="F265" s="6"/>
      <c r="G265" s="6"/>
      <c r="H265" s="618"/>
      <c r="I265" s="618"/>
      <c r="J265" s="618"/>
      <c r="K265" s="618"/>
      <c r="L265" s="618"/>
      <c r="M265" s="1"/>
    </row>
    <row r="266" spans="1:13" ht="14.25" customHeight="1" x14ac:dyDescent="0.45">
      <c r="A266" s="618"/>
      <c r="B266" s="618"/>
      <c r="C266" s="5"/>
      <c r="D266" s="6"/>
      <c r="E266" s="6"/>
      <c r="F266" s="6"/>
      <c r="G266" s="6"/>
      <c r="H266" s="618"/>
      <c r="I266" s="618"/>
      <c r="J266" s="618"/>
      <c r="K266" s="618"/>
      <c r="L266" s="618"/>
      <c r="M266" s="1"/>
    </row>
    <row r="267" spans="1:13" ht="14.25" customHeight="1" x14ac:dyDescent="0.45">
      <c r="A267" s="618"/>
      <c r="B267" s="618"/>
      <c r="C267" s="5"/>
      <c r="D267" s="6"/>
      <c r="E267" s="6"/>
      <c r="F267" s="6"/>
      <c r="G267" s="6"/>
      <c r="H267" s="618"/>
      <c r="I267" s="618"/>
      <c r="J267" s="618"/>
      <c r="K267" s="618"/>
      <c r="L267" s="618"/>
      <c r="M267" s="1"/>
    </row>
    <row r="268" spans="1:13" ht="14.25" customHeight="1" x14ac:dyDescent="0.45">
      <c r="A268" s="618"/>
      <c r="B268" s="618"/>
      <c r="C268" s="5"/>
      <c r="D268" s="6"/>
      <c r="E268" s="6"/>
      <c r="F268" s="6"/>
      <c r="G268" s="6"/>
      <c r="H268" s="618"/>
      <c r="I268" s="618"/>
      <c r="J268" s="618"/>
      <c r="K268" s="618"/>
      <c r="L268" s="618"/>
      <c r="M268" s="1"/>
    </row>
    <row r="269" spans="1:13" ht="14.25" customHeight="1" x14ac:dyDescent="0.45">
      <c r="A269" s="618"/>
      <c r="B269" s="618"/>
      <c r="C269" s="5"/>
      <c r="D269" s="6"/>
      <c r="E269" s="6"/>
      <c r="F269" s="6"/>
      <c r="G269" s="6"/>
      <c r="H269" s="618"/>
      <c r="I269" s="618"/>
      <c r="J269" s="618"/>
      <c r="K269" s="618"/>
      <c r="L269" s="618"/>
      <c r="M269" s="1"/>
    </row>
    <row r="270" spans="1:13" ht="14.25" customHeight="1" x14ac:dyDescent="0.45">
      <c r="A270" s="618"/>
      <c r="B270" s="618"/>
      <c r="C270" s="5"/>
      <c r="D270" s="6"/>
      <c r="E270" s="6"/>
      <c r="F270" s="6"/>
      <c r="G270" s="6"/>
      <c r="H270" s="618"/>
      <c r="I270" s="618"/>
      <c r="J270" s="618"/>
      <c r="K270" s="618"/>
      <c r="L270" s="618"/>
      <c r="M270" s="1"/>
    </row>
    <row r="271" spans="1:13" ht="14.25" customHeight="1" x14ac:dyDescent="0.45">
      <c r="A271" s="618"/>
      <c r="B271" s="618"/>
      <c r="C271" s="5"/>
      <c r="D271" s="6"/>
      <c r="E271" s="6"/>
      <c r="F271" s="6"/>
      <c r="G271" s="6"/>
      <c r="H271" s="618"/>
      <c r="I271" s="618"/>
      <c r="J271" s="618"/>
      <c r="K271" s="618"/>
      <c r="L271" s="618"/>
      <c r="M271" s="1"/>
    </row>
    <row r="272" spans="1:13" ht="14.25" customHeight="1" x14ac:dyDescent="0.45">
      <c r="A272" s="618"/>
      <c r="B272" s="618"/>
      <c r="C272" s="5"/>
      <c r="D272" s="6"/>
      <c r="E272" s="6"/>
      <c r="F272" s="6"/>
      <c r="G272" s="6"/>
      <c r="H272" s="618"/>
      <c r="I272" s="618"/>
      <c r="J272" s="618"/>
      <c r="K272" s="618"/>
      <c r="L272" s="618"/>
      <c r="M272" s="1"/>
    </row>
    <row r="273" spans="1:13" ht="14.25" customHeight="1" x14ac:dyDescent="0.45">
      <c r="A273" s="618"/>
      <c r="B273" s="618"/>
      <c r="C273" s="5"/>
      <c r="D273" s="6"/>
      <c r="E273" s="6"/>
      <c r="F273" s="6"/>
      <c r="G273" s="6"/>
      <c r="H273" s="618"/>
      <c r="I273" s="618"/>
      <c r="J273" s="618"/>
      <c r="K273" s="618"/>
      <c r="L273" s="618"/>
      <c r="M273" s="1"/>
    </row>
    <row r="274" spans="1:13" ht="14.25" customHeight="1" x14ac:dyDescent="0.45">
      <c r="A274" s="618"/>
      <c r="B274" s="618"/>
      <c r="C274" s="5"/>
      <c r="D274" s="6"/>
      <c r="E274" s="6"/>
      <c r="F274" s="6"/>
      <c r="G274" s="6"/>
      <c r="H274" s="618"/>
      <c r="I274" s="618"/>
      <c r="J274" s="618"/>
      <c r="K274" s="618"/>
      <c r="L274" s="618"/>
      <c r="M274" s="1"/>
    </row>
    <row r="275" spans="1:13" ht="14.25" customHeight="1" x14ac:dyDescent="0.45">
      <c r="A275" s="618"/>
      <c r="B275" s="618"/>
      <c r="C275" s="5"/>
      <c r="D275" s="6"/>
      <c r="E275" s="6"/>
      <c r="F275" s="6"/>
      <c r="G275" s="6"/>
      <c r="H275" s="618"/>
      <c r="I275" s="618"/>
      <c r="J275" s="618"/>
      <c r="K275" s="618"/>
      <c r="L275" s="618"/>
      <c r="M275" s="1"/>
    </row>
    <row r="276" spans="1:13" ht="14.25" customHeight="1" x14ac:dyDescent="0.45">
      <c r="A276" s="618"/>
      <c r="B276" s="618"/>
      <c r="C276" s="5"/>
      <c r="D276" s="6"/>
      <c r="E276" s="6"/>
      <c r="F276" s="6"/>
      <c r="G276" s="6"/>
      <c r="H276" s="618"/>
      <c r="I276" s="618"/>
      <c r="J276" s="618"/>
      <c r="K276" s="618"/>
      <c r="L276" s="618"/>
      <c r="M276" s="1"/>
    </row>
    <row r="277" spans="1:13" ht="14.25" customHeight="1" x14ac:dyDescent="0.45">
      <c r="A277" s="618"/>
      <c r="B277" s="618"/>
      <c r="C277" s="5"/>
      <c r="D277" s="6"/>
      <c r="E277" s="6"/>
      <c r="F277" s="6"/>
      <c r="G277" s="6"/>
      <c r="H277" s="618"/>
      <c r="I277" s="618"/>
      <c r="J277" s="618"/>
      <c r="K277" s="618"/>
      <c r="L277" s="618"/>
      <c r="M277" s="1"/>
    </row>
    <row r="278" spans="1:13" ht="14.25" customHeight="1" x14ac:dyDescent="0.45">
      <c r="A278" s="618"/>
      <c r="B278" s="618"/>
      <c r="C278" s="5"/>
      <c r="D278" s="6"/>
      <c r="E278" s="6"/>
      <c r="F278" s="6"/>
      <c r="G278" s="6"/>
      <c r="H278" s="618"/>
      <c r="I278" s="618"/>
      <c r="J278" s="618"/>
      <c r="K278" s="618"/>
      <c r="L278" s="618"/>
      <c r="M278" s="1"/>
    </row>
    <row r="279" spans="1:13" ht="14.25" customHeight="1" x14ac:dyDescent="0.45">
      <c r="A279" s="618"/>
      <c r="B279" s="618"/>
      <c r="C279" s="5"/>
      <c r="D279" s="6"/>
      <c r="E279" s="6"/>
      <c r="F279" s="6"/>
      <c r="G279" s="6"/>
      <c r="H279" s="618"/>
      <c r="I279" s="618"/>
      <c r="J279" s="618"/>
      <c r="K279" s="618"/>
      <c r="L279" s="618"/>
      <c r="M279" s="1"/>
    </row>
    <row r="280" spans="1:13" ht="14.25" customHeight="1" x14ac:dyDescent="0.45">
      <c r="A280" s="618"/>
      <c r="B280" s="618"/>
      <c r="C280" s="5"/>
      <c r="D280" s="6"/>
      <c r="E280" s="6"/>
      <c r="F280" s="6"/>
      <c r="G280" s="6"/>
      <c r="H280" s="618"/>
      <c r="I280" s="618"/>
      <c r="J280" s="618"/>
      <c r="K280" s="618"/>
      <c r="L280" s="618"/>
      <c r="M280" s="1"/>
    </row>
    <row r="281" spans="1:13" ht="14.25" customHeight="1" x14ac:dyDescent="0.45">
      <c r="A281" s="618"/>
      <c r="B281" s="618"/>
      <c r="C281" s="5"/>
      <c r="D281" s="6"/>
      <c r="E281" s="6"/>
      <c r="F281" s="6"/>
      <c r="G281" s="6"/>
      <c r="H281" s="618"/>
      <c r="I281" s="618"/>
      <c r="J281" s="618"/>
      <c r="K281" s="618"/>
      <c r="L281" s="618"/>
      <c r="M281" s="1"/>
    </row>
    <row r="282" spans="1:13" ht="14.25" customHeight="1" x14ac:dyDescent="0.45">
      <c r="A282" s="618"/>
      <c r="B282" s="618"/>
      <c r="C282" s="5"/>
      <c r="D282" s="6"/>
      <c r="E282" s="6"/>
      <c r="F282" s="6"/>
      <c r="G282" s="6"/>
      <c r="H282" s="618"/>
      <c r="I282" s="618"/>
      <c r="J282" s="618"/>
      <c r="K282" s="618"/>
      <c r="L282" s="618"/>
      <c r="M282" s="1"/>
    </row>
    <row r="283" spans="1:13" ht="14.25" customHeight="1" x14ac:dyDescent="0.45">
      <c r="A283" s="618"/>
      <c r="B283" s="618"/>
      <c r="C283" s="5"/>
      <c r="D283" s="6"/>
      <c r="E283" s="6"/>
      <c r="F283" s="6"/>
      <c r="G283" s="6"/>
      <c r="H283" s="618"/>
      <c r="I283" s="618"/>
      <c r="J283" s="618"/>
      <c r="K283" s="618"/>
      <c r="L283" s="618"/>
      <c r="M283" s="1"/>
    </row>
    <row r="284" spans="1:13" ht="14.25" customHeight="1" x14ac:dyDescent="0.45">
      <c r="A284" s="618"/>
      <c r="B284" s="618"/>
      <c r="C284" s="5"/>
      <c r="D284" s="6"/>
      <c r="E284" s="6"/>
      <c r="F284" s="6"/>
      <c r="G284" s="6"/>
      <c r="H284" s="618"/>
      <c r="I284" s="618"/>
      <c r="J284" s="618"/>
      <c r="K284" s="618"/>
      <c r="L284" s="618"/>
      <c r="M284" s="1"/>
    </row>
    <row r="285" spans="1:13" ht="14.25" customHeight="1" x14ac:dyDescent="0.45">
      <c r="A285" s="618"/>
      <c r="B285" s="618"/>
      <c r="C285" s="5"/>
      <c r="D285" s="6"/>
      <c r="E285" s="6"/>
      <c r="F285" s="6"/>
      <c r="G285" s="6"/>
      <c r="H285" s="618"/>
      <c r="I285" s="618"/>
      <c r="J285" s="618"/>
      <c r="K285" s="618"/>
      <c r="L285" s="618"/>
      <c r="M285" s="1"/>
    </row>
    <row r="286" spans="1:13" ht="14.25" customHeight="1" x14ac:dyDescent="0.45">
      <c r="A286" s="618"/>
      <c r="B286" s="618"/>
      <c r="C286" s="5"/>
      <c r="D286" s="6"/>
      <c r="E286" s="6"/>
      <c r="F286" s="6"/>
      <c r="G286" s="6"/>
      <c r="H286" s="618"/>
      <c r="I286" s="618"/>
      <c r="J286" s="618"/>
      <c r="K286" s="618"/>
      <c r="L286" s="618"/>
      <c r="M286" s="1"/>
    </row>
    <row r="287" spans="1:13" ht="14.25" customHeight="1" x14ac:dyDescent="0.45">
      <c r="A287" s="618"/>
      <c r="B287" s="618"/>
      <c r="C287" s="5"/>
      <c r="D287" s="6"/>
      <c r="E287" s="6"/>
      <c r="F287" s="6"/>
      <c r="G287" s="6"/>
      <c r="H287" s="618"/>
      <c r="I287" s="618"/>
      <c r="J287" s="618"/>
      <c r="K287" s="618"/>
      <c r="L287" s="618"/>
      <c r="M287" s="1"/>
    </row>
    <row r="288" spans="1:13" ht="14.25" customHeight="1" x14ac:dyDescent="0.45">
      <c r="A288" s="618"/>
      <c r="B288" s="618"/>
      <c r="C288" s="5"/>
      <c r="D288" s="6"/>
      <c r="E288" s="6"/>
      <c r="F288" s="6"/>
      <c r="G288" s="6"/>
      <c r="H288" s="618"/>
      <c r="I288" s="618"/>
      <c r="J288" s="618"/>
      <c r="K288" s="618"/>
      <c r="L288" s="618"/>
      <c r="M288" s="1"/>
    </row>
    <row r="289" spans="1:13" ht="14.25" customHeight="1" x14ac:dyDescent="0.45">
      <c r="A289" s="618"/>
      <c r="B289" s="618"/>
      <c r="C289" s="5"/>
      <c r="D289" s="6"/>
      <c r="E289" s="6"/>
      <c r="F289" s="6"/>
      <c r="G289" s="6"/>
      <c r="H289" s="618"/>
      <c r="I289" s="618"/>
      <c r="J289" s="618"/>
      <c r="K289" s="618"/>
      <c r="L289" s="618"/>
      <c r="M289" s="1"/>
    </row>
    <row r="290" spans="1:13" ht="14.25" customHeight="1" x14ac:dyDescent="0.45">
      <c r="A290" s="618"/>
      <c r="B290" s="618"/>
      <c r="C290" s="5"/>
      <c r="D290" s="6"/>
      <c r="E290" s="6"/>
      <c r="F290" s="6"/>
      <c r="G290" s="6"/>
      <c r="H290" s="618"/>
      <c r="I290" s="618"/>
      <c r="J290" s="618"/>
      <c r="K290" s="618"/>
      <c r="L290" s="618"/>
      <c r="M290" s="1"/>
    </row>
    <row r="291" spans="1:13" ht="14.25" customHeight="1" x14ac:dyDescent="0.45">
      <c r="A291" s="618"/>
      <c r="B291" s="618"/>
      <c r="C291" s="5"/>
      <c r="D291" s="6"/>
      <c r="E291" s="6"/>
      <c r="F291" s="6"/>
      <c r="G291" s="6"/>
      <c r="H291" s="618"/>
      <c r="I291" s="618"/>
      <c r="J291" s="618"/>
      <c r="K291" s="618"/>
      <c r="L291" s="618"/>
      <c r="M291" s="1"/>
    </row>
    <row r="292" spans="1:13" ht="14.25" customHeight="1" x14ac:dyDescent="0.45">
      <c r="A292" s="618"/>
      <c r="B292" s="618"/>
      <c r="C292" s="5"/>
      <c r="D292" s="6"/>
      <c r="E292" s="6"/>
      <c r="F292" s="6"/>
      <c r="G292" s="6"/>
      <c r="H292" s="618"/>
      <c r="I292" s="618"/>
      <c r="J292" s="618"/>
      <c r="K292" s="618"/>
      <c r="L292" s="618"/>
      <c r="M292" s="1"/>
    </row>
    <row r="293" spans="1:13" ht="14.25" customHeight="1" x14ac:dyDescent="0.45">
      <c r="A293" s="618"/>
      <c r="B293" s="618"/>
      <c r="C293" s="5"/>
      <c r="D293" s="6"/>
      <c r="E293" s="6"/>
      <c r="F293" s="6"/>
      <c r="G293" s="6"/>
      <c r="H293" s="618"/>
      <c r="I293" s="618"/>
      <c r="J293" s="618"/>
      <c r="K293" s="618"/>
      <c r="L293" s="618"/>
      <c r="M293" s="1"/>
    </row>
    <row r="294" spans="1:13" ht="14.25" customHeight="1" x14ac:dyDescent="0.45">
      <c r="A294" s="618"/>
      <c r="B294" s="618"/>
      <c r="C294" s="5"/>
      <c r="D294" s="6"/>
      <c r="E294" s="6"/>
      <c r="F294" s="6"/>
      <c r="G294" s="6"/>
      <c r="H294" s="618"/>
      <c r="I294" s="618"/>
      <c r="J294" s="618"/>
      <c r="K294" s="618"/>
      <c r="L294" s="618"/>
      <c r="M294" s="1"/>
    </row>
    <row r="295" spans="1:13" ht="14.25" customHeight="1" x14ac:dyDescent="0.45">
      <c r="A295" s="618"/>
      <c r="B295" s="618"/>
      <c r="C295" s="5"/>
      <c r="D295" s="6"/>
      <c r="E295" s="6"/>
      <c r="F295" s="6"/>
      <c r="G295" s="6"/>
      <c r="H295" s="618"/>
      <c r="I295" s="618"/>
      <c r="J295" s="618"/>
      <c r="K295" s="618"/>
      <c r="L295" s="618"/>
      <c r="M295" s="1"/>
    </row>
    <row r="296" spans="1:13" ht="14.25" customHeight="1" x14ac:dyDescent="0.45">
      <c r="A296" s="618"/>
      <c r="B296" s="618"/>
      <c r="C296" s="5"/>
      <c r="D296" s="6"/>
      <c r="E296" s="6"/>
      <c r="F296" s="6"/>
      <c r="G296" s="6"/>
      <c r="H296" s="618"/>
      <c r="I296" s="618"/>
      <c r="J296" s="618"/>
      <c r="K296" s="618"/>
      <c r="L296" s="618"/>
      <c r="M296" s="1"/>
    </row>
    <row r="297" spans="1:13" ht="14.25" customHeight="1" x14ac:dyDescent="0.45">
      <c r="A297" s="618"/>
      <c r="B297" s="618"/>
      <c r="C297" s="5"/>
      <c r="D297" s="6"/>
      <c r="E297" s="6"/>
      <c r="F297" s="6"/>
      <c r="G297" s="6"/>
      <c r="H297" s="618"/>
      <c r="I297" s="618"/>
      <c r="J297" s="618"/>
      <c r="K297" s="618"/>
      <c r="L297" s="618"/>
      <c r="M297" s="1"/>
    </row>
    <row r="298" spans="1:13" ht="14.25" customHeight="1" x14ac:dyDescent="0.45">
      <c r="A298" s="618"/>
      <c r="B298" s="618"/>
      <c r="C298" s="5"/>
      <c r="D298" s="6"/>
      <c r="E298" s="6"/>
      <c r="F298" s="6"/>
      <c r="G298" s="6"/>
      <c r="H298" s="618"/>
      <c r="I298" s="618"/>
      <c r="J298" s="618"/>
      <c r="K298" s="618"/>
      <c r="L298" s="618"/>
      <c r="M298" s="1"/>
    </row>
    <row r="299" spans="1:13" ht="14.25" customHeight="1" x14ac:dyDescent="0.45">
      <c r="A299" s="618"/>
      <c r="B299" s="618"/>
      <c r="C299" s="5"/>
      <c r="D299" s="6"/>
      <c r="E299" s="6"/>
      <c r="F299" s="6"/>
      <c r="G299" s="6"/>
      <c r="H299" s="618"/>
      <c r="I299" s="618"/>
      <c r="J299" s="618"/>
      <c r="K299" s="618"/>
      <c r="L299" s="618"/>
      <c r="M299" s="1"/>
    </row>
    <row r="300" spans="1:13" ht="14.25" customHeight="1" x14ac:dyDescent="0.45">
      <c r="A300" s="618"/>
      <c r="B300" s="618"/>
      <c r="C300" s="5"/>
      <c r="D300" s="6"/>
      <c r="E300" s="6"/>
      <c r="F300" s="6"/>
      <c r="G300" s="6"/>
      <c r="H300" s="618"/>
      <c r="I300" s="618"/>
      <c r="J300" s="618"/>
      <c r="K300" s="618"/>
      <c r="L300" s="618"/>
      <c r="M300" s="1"/>
    </row>
    <row r="301" spans="1:13" ht="14.25" customHeight="1" x14ac:dyDescent="0.45">
      <c r="A301" s="618"/>
      <c r="B301" s="618"/>
      <c r="C301" s="5"/>
      <c r="D301" s="6"/>
      <c r="E301" s="6"/>
      <c r="F301" s="6"/>
      <c r="G301" s="6"/>
      <c r="H301" s="618"/>
      <c r="I301" s="618"/>
      <c r="J301" s="618"/>
      <c r="K301" s="618"/>
      <c r="L301" s="618"/>
      <c r="M301" s="1"/>
    </row>
    <row r="302" spans="1:13" ht="14.25" customHeight="1" x14ac:dyDescent="0.45">
      <c r="A302" s="618"/>
      <c r="B302" s="618"/>
      <c r="C302" s="5"/>
      <c r="D302" s="6"/>
      <c r="E302" s="6"/>
      <c r="F302" s="6"/>
      <c r="G302" s="6"/>
      <c r="H302" s="618"/>
      <c r="I302" s="618"/>
      <c r="J302" s="618"/>
      <c r="K302" s="618"/>
      <c r="L302" s="618"/>
      <c r="M302" s="1"/>
    </row>
    <row r="303" spans="1:13" ht="14.25" customHeight="1" x14ac:dyDescent="0.45">
      <c r="A303" s="618"/>
      <c r="B303" s="618"/>
      <c r="C303" s="5"/>
      <c r="D303" s="6"/>
      <c r="E303" s="6"/>
      <c r="F303" s="6"/>
      <c r="G303" s="6"/>
      <c r="H303" s="618"/>
      <c r="I303" s="618"/>
      <c r="J303" s="618"/>
      <c r="K303" s="618"/>
      <c r="L303" s="618"/>
      <c r="M303" s="1"/>
    </row>
    <row r="304" spans="1:13" ht="14.25" customHeight="1" x14ac:dyDescent="0.45">
      <c r="A304" s="618"/>
      <c r="B304" s="618"/>
      <c r="C304" s="5"/>
      <c r="D304" s="6"/>
      <c r="E304" s="6"/>
      <c r="F304" s="6"/>
      <c r="G304" s="6"/>
      <c r="H304" s="618"/>
      <c r="I304" s="618"/>
      <c r="J304" s="618"/>
      <c r="K304" s="618"/>
      <c r="L304" s="618"/>
      <c r="M304" s="1"/>
    </row>
    <row r="305" spans="1:13" ht="14.25" customHeight="1" x14ac:dyDescent="0.45">
      <c r="A305" s="618"/>
      <c r="B305" s="618"/>
      <c r="C305" s="5"/>
      <c r="D305" s="6"/>
      <c r="E305" s="6"/>
      <c r="F305" s="6"/>
      <c r="G305" s="6"/>
      <c r="H305" s="618"/>
      <c r="I305" s="618"/>
      <c r="J305" s="618"/>
      <c r="K305" s="618"/>
      <c r="L305" s="618"/>
      <c r="M305" s="1"/>
    </row>
    <row r="306" spans="1:13" ht="14.25" customHeight="1" x14ac:dyDescent="0.45">
      <c r="A306" s="618"/>
      <c r="B306" s="618"/>
      <c r="C306" s="5"/>
      <c r="D306" s="6"/>
      <c r="E306" s="6"/>
      <c r="F306" s="6"/>
      <c r="G306" s="6"/>
      <c r="H306" s="618"/>
      <c r="I306" s="618"/>
      <c r="J306" s="618"/>
      <c r="K306" s="618"/>
      <c r="L306" s="618"/>
      <c r="M306" s="1"/>
    </row>
    <row r="307" spans="1:13" ht="14.25" customHeight="1" x14ac:dyDescent="0.45">
      <c r="A307" s="618"/>
      <c r="B307" s="618"/>
      <c r="C307" s="5"/>
      <c r="D307" s="6"/>
      <c r="E307" s="6"/>
      <c r="F307" s="6"/>
      <c r="G307" s="6"/>
      <c r="H307" s="618"/>
      <c r="I307" s="618"/>
      <c r="J307" s="618"/>
      <c r="K307" s="618"/>
      <c r="L307" s="618"/>
      <c r="M307" s="1"/>
    </row>
    <row r="308" spans="1:13" ht="14.25" customHeight="1" x14ac:dyDescent="0.45">
      <c r="A308" s="618"/>
      <c r="B308" s="618"/>
      <c r="C308" s="5"/>
      <c r="D308" s="6"/>
      <c r="E308" s="6"/>
      <c r="F308" s="6"/>
      <c r="G308" s="6"/>
      <c r="H308" s="618"/>
      <c r="I308" s="618"/>
      <c r="J308" s="618"/>
      <c r="K308" s="618"/>
      <c r="L308" s="618"/>
      <c r="M308" s="1"/>
    </row>
    <row r="309" spans="1:13" ht="14.25" customHeight="1" x14ac:dyDescent="0.45">
      <c r="A309" s="618"/>
      <c r="B309" s="618"/>
      <c r="C309" s="5"/>
      <c r="D309" s="6"/>
      <c r="E309" s="6"/>
      <c r="F309" s="6"/>
      <c r="G309" s="6"/>
      <c r="H309" s="618"/>
      <c r="I309" s="618"/>
      <c r="J309" s="618"/>
      <c r="K309" s="618"/>
      <c r="L309" s="618"/>
      <c r="M309" s="1"/>
    </row>
    <row r="310" spans="1:13" ht="14.25" customHeight="1" x14ac:dyDescent="0.45">
      <c r="A310" s="618"/>
      <c r="B310" s="618"/>
      <c r="C310" s="5"/>
      <c r="D310" s="6"/>
      <c r="E310" s="6"/>
      <c r="F310" s="6"/>
      <c r="G310" s="6"/>
      <c r="H310" s="618"/>
      <c r="I310" s="618"/>
      <c r="J310" s="618"/>
      <c r="K310" s="618"/>
      <c r="L310" s="618"/>
      <c r="M310" s="1"/>
    </row>
    <row r="311" spans="1:13" ht="14.25" customHeight="1" x14ac:dyDescent="0.45">
      <c r="A311" s="618"/>
      <c r="B311" s="618"/>
      <c r="C311" s="5"/>
      <c r="D311" s="6"/>
      <c r="E311" s="6"/>
      <c r="F311" s="6"/>
      <c r="G311" s="6"/>
      <c r="H311" s="618"/>
      <c r="I311" s="618"/>
      <c r="J311" s="618"/>
      <c r="K311" s="618"/>
      <c r="L311" s="618"/>
      <c r="M311" s="1"/>
    </row>
    <row r="312" spans="1:13" ht="14.25" customHeight="1" x14ac:dyDescent="0.45">
      <c r="A312" s="618"/>
      <c r="B312" s="618"/>
      <c r="C312" s="5"/>
      <c r="D312" s="6"/>
      <c r="E312" s="6"/>
      <c r="F312" s="6"/>
      <c r="G312" s="6"/>
      <c r="H312" s="618"/>
      <c r="I312" s="618"/>
      <c r="J312" s="618"/>
      <c r="K312" s="618"/>
      <c r="L312" s="618"/>
      <c r="M312" s="1"/>
    </row>
    <row r="313" spans="1:13" ht="14.25" customHeight="1" x14ac:dyDescent="0.45">
      <c r="A313" s="618"/>
      <c r="B313" s="618"/>
      <c r="C313" s="5"/>
      <c r="D313" s="6"/>
      <c r="E313" s="6"/>
      <c r="F313" s="6"/>
      <c r="G313" s="6"/>
      <c r="H313" s="618"/>
      <c r="I313" s="618"/>
      <c r="J313" s="618"/>
      <c r="K313" s="618"/>
      <c r="L313" s="618"/>
      <c r="M313" s="1"/>
    </row>
    <row r="314" spans="1:13" ht="14.25" customHeight="1" x14ac:dyDescent="0.45">
      <c r="A314" s="618"/>
      <c r="B314" s="618"/>
      <c r="C314" s="5"/>
      <c r="D314" s="6"/>
      <c r="E314" s="6"/>
      <c r="F314" s="6"/>
      <c r="G314" s="6"/>
      <c r="H314" s="618"/>
      <c r="I314" s="618"/>
      <c r="J314" s="618"/>
      <c r="K314" s="618"/>
      <c r="L314" s="618"/>
      <c r="M314" s="1"/>
    </row>
    <row r="315" spans="1:13" ht="14.25" customHeight="1" x14ac:dyDescent="0.45">
      <c r="A315" s="618"/>
      <c r="B315" s="618"/>
      <c r="C315" s="5"/>
      <c r="D315" s="6"/>
      <c r="E315" s="6"/>
      <c r="F315" s="6"/>
      <c r="G315" s="6"/>
      <c r="H315" s="618"/>
      <c r="I315" s="618"/>
      <c r="J315" s="618"/>
      <c r="K315" s="618"/>
      <c r="L315" s="618"/>
      <c r="M315" s="1"/>
    </row>
    <row r="316" spans="1:13" ht="14.25" customHeight="1" x14ac:dyDescent="0.45">
      <c r="A316" s="618"/>
      <c r="B316" s="618"/>
      <c r="C316" s="5"/>
      <c r="D316" s="6"/>
      <c r="E316" s="6"/>
      <c r="F316" s="6"/>
      <c r="G316" s="6"/>
      <c r="H316" s="618"/>
      <c r="I316" s="618"/>
      <c r="J316" s="618"/>
      <c r="K316" s="618"/>
      <c r="L316" s="618"/>
      <c r="M316" s="1"/>
    </row>
    <row r="317" spans="1:13" ht="14.25" customHeight="1" x14ac:dyDescent="0.45">
      <c r="A317" s="618"/>
      <c r="B317" s="618"/>
      <c r="C317" s="5"/>
      <c r="D317" s="6"/>
      <c r="E317" s="6"/>
      <c r="F317" s="6"/>
      <c r="G317" s="6"/>
      <c r="H317" s="618"/>
      <c r="I317" s="618"/>
      <c r="J317" s="618"/>
      <c r="K317" s="618"/>
      <c r="L317" s="618"/>
      <c r="M317" s="1"/>
    </row>
    <row r="318" spans="1:13" ht="14.25" customHeight="1" x14ac:dyDescent="0.45">
      <c r="A318" s="618"/>
      <c r="B318" s="618"/>
      <c r="C318" s="5"/>
      <c r="D318" s="6"/>
      <c r="E318" s="6"/>
      <c r="F318" s="6"/>
      <c r="G318" s="6"/>
      <c r="H318" s="618"/>
      <c r="I318" s="618"/>
      <c r="J318" s="618"/>
      <c r="K318" s="618"/>
      <c r="L318" s="618"/>
      <c r="M318" s="1"/>
    </row>
    <row r="319" spans="1:13" ht="14.25" customHeight="1" x14ac:dyDescent="0.45">
      <c r="A319" s="618"/>
      <c r="B319" s="618"/>
      <c r="C319" s="5"/>
      <c r="D319" s="6"/>
      <c r="E319" s="6"/>
      <c r="F319" s="6"/>
      <c r="G319" s="6"/>
      <c r="H319" s="618"/>
      <c r="I319" s="618"/>
      <c r="J319" s="618"/>
      <c r="K319" s="618"/>
      <c r="L319" s="618"/>
      <c r="M319" s="1"/>
    </row>
    <row r="320" spans="1:13" ht="14.25" customHeight="1" x14ac:dyDescent="0.45">
      <c r="A320" s="618"/>
      <c r="B320" s="618"/>
      <c r="C320" s="5"/>
      <c r="D320" s="6"/>
      <c r="E320" s="6"/>
      <c r="F320" s="6"/>
      <c r="G320" s="6"/>
      <c r="H320" s="618"/>
      <c r="I320" s="618"/>
      <c r="J320" s="618"/>
      <c r="K320" s="618"/>
      <c r="L320" s="618"/>
      <c r="M320" s="1"/>
    </row>
    <row r="321" spans="1:13" ht="14.25" customHeight="1" x14ac:dyDescent="0.45">
      <c r="A321" s="618"/>
      <c r="B321" s="618"/>
      <c r="C321" s="5"/>
      <c r="D321" s="6"/>
      <c r="E321" s="6"/>
      <c r="F321" s="6"/>
      <c r="G321" s="6"/>
      <c r="H321" s="618"/>
      <c r="I321" s="618"/>
      <c r="J321" s="618"/>
      <c r="K321" s="618"/>
      <c r="L321" s="618"/>
      <c r="M321" s="1"/>
    </row>
    <row r="322" spans="1:13" ht="14.25" customHeight="1" x14ac:dyDescent="0.45">
      <c r="A322" s="618"/>
      <c r="B322" s="618"/>
      <c r="C322" s="5"/>
      <c r="D322" s="6"/>
      <c r="E322" s="6"/>
      <c r="F322" s="6"/>
      <c r="G322" s="6"/>
      <c r="H322" s="618"/>
      <c r="I322" s="618"/>
      <c r="J322" s="618"/>
      <c r="K322" s="618"/>
      <c r="L322" s="618"/>
      <c r="M322" s="1"/>
    </row>
    <row r="323" spans="1:13" ht="14.25" customHeight="1" x14ac:dyDescent="0.45">
      <c r="A323" s="618"/>
      <c r="B323" s="618"/>
      <c r="C323" s="5"/>
      <c r="D323" s="6"/>
      <c r="E323" s="6"/>
      <c r="F323" s="6"/>
      <c r="G323" s="6"/>
      <c r="H323" s="618"/>
      <c r="I323" s="618"/>
      <c r="J323" s="618"/>
      <c r="K323" s="618"/>
      <c r="L323" s="618"/>
      <c r="M323" s="1"/>
    </row>
    <row r="324" spans="1:13" ht="14.25" customHeight="1" x14ac:dyDescent="0.45">
      <c r="A324" s="618"/>
      <c r="B324" s="618"/>
      <c r="C324" s="5"/>
      <c r="D324" s="6"/>
      <c r="E324" s="6"/>
      <c r="F324" s="6"/>
      <c r="G324" s="6"/>
      <c r="H324" s="618"/>
      <c r="I324" s="618"/>
      <c r="J324" s="618"/>
      <c r="K324" s="618"/>
      <c r="L324" s="618"/>
      <c r="M324" s="1"/>
    </row>
    <row r="325" spans="1:13" ht="14.25" customHeight="1" x14ac:dyDescent="0.45">
      <c r="A325" s="618"/>
      <c r="B325" s="618"/>
      <c r="C325" s="5"/>
      <c r="D325" s="6"/>
      <c r="E325" s="6"/>
      <c r="F325" s="6"/>
      <c r="G325" s="6"/>
      <c r="H325" s="618"/>
      <c r="I325" s="618"/>
      <c r="J325" s="618"/>
      <c r="K325" s="618"/>
      <c r="L325" s="618"/>
      <c r="M325" s="1"/>
    </row>
    <row r="326" spans="1:13" ht="14.25" customHeight="1" x14ac:dyDescent="0.45">
      <c r="A326" s="618"/>
      <c r="B326" s="618"/>
      <c r="C326" s="5"/>
      <c r="D326" s="6"/>
      <c r="E326" s="6"/>
      <c r="F326" s="6"/>
      <c r="G326" s="6"/>
      <c r="H326" s="618"/>
      <c r="I326" s="618"/>
      <c r="J326" s="618"/>
      <c r="K326" s="618"/>
      <c r="L326" s="618"/>
      <c r="M326" s="1"/>
    </row>
    <row r="327" spans="1:13" ht="14.25" customHeight="1" x14ac:dyDescent="0.45">
      <c r="A327" s="618"/>
      <c r="B327" s="618"/>
      <c r="C327" s="5"/>
      <c r="D327" s="6"/>
      <c r="E327" s="6"/>
      <c r="F327" s="6"/>
      <c r="G327" s="6"/>
      <c r="H327" s="618"/>
      <c r="I327" s="618"/>
      <c r="J327" s="618"/>
      <c r="K327" s="618"/>
      <c r="L327" s="618"/>
      <c r="M327" s="1"/>
    </row>
    <row r="328" spans="1:13" ht="14.25" customHeight="1" x14ac:dyDescent="0.45">
      <c r="A328" s="618"/>
      <c r="B328" s="618"/>
      <c r="C328" s="5"/>
      <c r="D328" s="6"/>
      <c r="E328" s="6"/>
      <c r="F328" s="6"/>
      <c r="G328" s="6"/>
      <c r="H328" s="618"/>
      <c r="I328" s="618"/>
      <c r="J328" s="618"/>
      <c r="K328" s="618"/>
      <c r="L328" s="618"/>
      <c r="M328" s="1"/>
    </row>
    <row r="329" spans="1:13" ht="14.25" customHeight="1" x14ac:dyDescent="0.45">
      <c r="A329" s="618"/>
      <c r="B329" s="618"/>
      <c r="C329" s="5"/>
      <c r="D329" s="6"/>
      <c r="E329" s="6"/>
      <c r="F329" s="6"/>
      <c r="G329" s="6"/>
      <c r="H329" s="618"/>
      <c r="I329" s="618"/>
      <c r="J329" s="618"/>
      <c r="K329" s="618"/>
      <c r="L329" s="618"/>
      <c r="M329" s="1"/>
    </row>
    <row r="330" spans="1:13" ht="14.25" customHeight="1" x14ac:dyDescent="0.45">
      <c r="A330" s="618"/>
      <c r="B330" s="618"/>
      <c r="C330" s="5"/>
      <c r="D330" s="6"/>
      <c r="E330" s="6"/>
      <c r="F330" s="6"/>
      <c r="G330" s="6"/>
      <c r="H330" s="618"/>
      <c r="I330" s="618"/>
      <c r="J330" s="618"/>
      <c r="K330" s="618"/>
      <c r="L330" s="618"/>
      <c r="M330" s="1"/>
    </row>
    <row r="331" spans="1:13" ht="14.25" customHeight="1" x14ac:dyDescent="0.45">
      <c r="A331" s="618"/>
      <c r="B331" s="618"/>
      <c r="C331" s="5"/>
      <c r="D331" s="6"/>
      <c r="E331" s="6"/>
      <c r="F331" s="6"/>
      <c r="G331" s="6"/>
      <c r="H331" s="618"/>
      <c r="I331" s="618"/>
      <c r="J331" s="618"/>
      <c r="K331" s="618"/>
      <c r="L331" s="618"/>
      <c r="M331" s="1"/>
    </row>
    <row r="332" spans="1:13" ht="14.25" customHeight="1" x14ac:dyDescent="0.45">
      <c r="A332" s="618"/>
      <c r="B332" s="618"/>
      <c r="C332" s="5"/>
      <c r="D332" s="6"/>
      <c r="E332" s="6"/>
      <c r="F332" s="6"/>
      <c r="G332" s="6"/>
      <c r="H332" s="618"/>
      <c r="I332" s="618"/>
      <c r="J332" s="618"/>
      <c r="K332" s="618"/>
      <c r="L332" s="618"/>
      <c r="M332" s="1"/>
    </row>
    <row r="333" spans="1:13" ht="14.25" customHeight="1" x14ac:dyDescent="0.45">
      <c r="A333" s="618"/>
      <c r="B333" s="618"/>
      <c r="C333" s="5"/>
      <c r="D333" s="6"/>
      <c r="E333" s="6"/>
      <c r="F333" s="6"/>
      <c r="G333" s="6"/>
      <c r="H333" s="618"/>
      <c r="I333" s="618"/>
      <c r="J333" s="618"/>
      <c r="K333" s="618"/>
      <c r="L333" s="618"/>
      <c r="M333" s="1"/>
    </row>
    <row r="334" spans="1:13" ht="14.25" customHeight="1" x14ac:dyDescent="0.45">
      <c r="A334" s="618"/>
      <c r="B334" s="618"/>
      <c r="C334" s="5"/>
      <c r="D334" s="6"/>
      <c r="E334" s="6"/>
      <c r="F334" s="6"/>
      <c r="G334" s="6"/>
      <c r="H334" s="618"/>
      <c r="I334" s="618"/>
      <c r="J334" s="618"/>
      <c r="K334" s="618"/>
      <c r="L334" s="618"/>
      <c r="M334" s="1"/>
    </row>
    <row r="335" spans="1:13" ht="14.25" customHeight="1" x14ac:dyDescent="0.45">
      <c r="A335" s="618"/>
      <c r="B335" s="618"/>
      <c r="C335" s="5"/>
      <c r="D335" s="6"/>
      <c r="E335" s="6"/>
      <c r="F335" s="6"/>
      <c r="G335" s="6"/>
      <c r="H335" s="618"/>
      <c r="I335" s="618"/>
      <c r="J335" s="618"/>
      <c r="K335" s="618"/>
      <c r="L335" s="618"/>
      <c r="M335" s="1"/>
    </row>
    <row r="336" spans="1:13" ht="14.25" customHeight="1" x14ac:dyDescent="0.45">
      <c r="A336" s="618"/>
      <c r="B336" s="618"/>
      <c r="C336" s="5"/>
      <c r="D336" s="6"/>
      <c r="E336" s="6"/>
      <c r="F336" s="6"/>
      <c r="G336" s="6"/>
      <c r="H336" s="618"/>
      <c r="I336" s="618"/>
      <c r="J336" s="618"/>
      <c r="K336" s="618"/>
      <c r="L336" s="618"/>
      <c r="M336" s="1"/>
    </row>
    <row r="337" spans="1:13" ht="14.25" customHeight="1" x14ac:dyDescent="0.45">
      <c r="A337" s="618"/>
      <c r="B337" s="618"/>
      <c r="C337" s="5"/>
      <c r="D337" s="6"/>
      <c r="E337" s="6"/>
      <c r="F337" s="6"/>
      <c r="G337" s="6"/>
      <c r="H337" s="618"/>
      <c r="I337" s="618"/>
      <c r="J337" s="618"/>
      <c r="K337" s="618"/>
      <c r="L337" s="618"/>
      <c r="M337" s="1"/>
    </row>
    <row r="338" spans="1:13" ht="14.25" customHeight="1" x14ac:dyDescent="0.45">
      <c r="A338" s="618"/>
      <c r="B338" s="618"/>
      <c r="C338" s="5"/>
      <c r="D338" s="6"/>
      <c r="E338" s="6"/>
      <c r="F338" s="6"/>
      <c r="G338" s="6"/>
      <c r="H338" s="618"/>
      <c r="I338" s="618"/>
      <c r="J338" s="618"/>
      <c r="K338" s="618"/>
      <c r="L338" s="618"/>
      <c r="M338" s="1"/>
    </row>
    <row r="339" spans="1:13" ht="14.25" customHeight="1" x14ac:dyDescent="0.45">
      <c r="A339" s="618"/>
      <c r="B339" s="618"/>
      <c r="C339" s="5"/>
      <c r="D339" s="6"/>
      <c r="E339" s="6"/>
      <c r="F339" s="6"/>
      <c r="G339" s="6"/>
      <c r="H339" s="618"/>
      <c r="I339" s="618"/>
      <c r="J339" s="618"/>
      <c r="K339" s="618"/>
      <c r="L339" s="618"/>
      <c r="M339" s="1"/>
    </row>
    <row r="340" spans="1:13" ht="14.25" customHeight="1" x14ac:dyDescent="0.45">
      <c r="A340" s="618"/>
      <c r="B340" s="618"/>
      <c r="C340" s="5"/>
      <c r="D340" s="6"/>
      <c r="E340" s="6"/>
      <c r="F340" s="6"/>
      <c r="G340" s="6"/>
      <c r="H340" s="618"/>
      <c r="I340" s="618"/>
      <c r="J340" s="618"/>
      <c r="K340" s="618"/>
      <c r="L340" s="618"/>
      <c r="M340" s="1"/>
    </row>
    <row r="341" spans="1:13" ht="14.25" customHeight="1" x14ac:dyDescent="0.45">
      <c r="A341" s="618"/>
      <c r="B341" s="618"/>
      <c r="C341" s="5"/>
      <c r="D341" s="6"/>
      <c r="E341" s="6"/>
      <c r="F341" s="6"/>
      <c r="G341" s="6"/>
      <c r="H341" s="618"/>
      <c r="I341" s="618"/>
      <c r="J341" s="618"/>
      <c r="K341" s="618"/>
      <c r="L341" s="618"/>
      <c r="M341" s="1"/>
    </row>
    <row r="342" spans="1:13" ht="14.25" customHeight="1" x14ac:dyDescent="0.45">
      <c r="A342" s="618"/>
      <c r="B342" s="618"/>
      <c r="C342" s="5"/>
      <c r="D342" s="6"/>
      <c r="E342" s="6"/>
      <c r="F342" s="6"/>
      <c r="G342" s="6"/>
      <c r="H342" s="618"/>
      <c r="I342" s="618"/>
      <c r="J342" s="618"/>
      <c r="K342" s="618"/>
      <c r="L342" s="618"/>
      <c r="M342" s="1"/>
    </row>
    <row r="343" spans="1:13" ht="14.25" customHeight="1" x14ac:dyDescent="0.45">
      <c r="A343" s="618"/>
      <c r="B343" s="618"/>
      <c r="C343" s="5"/>
      <c r="D343" s="6"/>
      <c r="E343" s="6"/>
      <c r="F343" s="6"/>
      <c r="G343" s="6"/>
      <c r="H343" s="618"/>
      <c r="I343" s="618"/>
      <c r="J343" s="618"/>
      <c r="K343" s="618"/>
      <c r="L343" s="618"/>
      <c r="M343" s="1"/>
    </row>
    <row r="344" spans="1:13" ht="14.25" customHeight="1" x14ac:dyDescent="0.45">
      <c r="A344" s="618"/>
      <c r="B344" s="618"/>
      <c r="C344" s="5"/>
      <c r="D344" s="6"/>
      <c r="E344" s="6"/>
      <c r="F344" s="6"/>
      <c r="G344" s="6"/>
      <c r="H344" s="618"/>
      <c r="I344" s="618"/>
      <c r="J344" s="618"/>
      <c r="K344" s="618"/>
      <c r="L344" s="618"/>
      <c r="M344" s="1"/>
    </row>
    <row r="345" spans="1:13" ht="14.25" customHeight="1" x14ac:dyDescent="0.45">
      <c r="A345" s="618"/>
      <c r="B345" s="618"/>
      <c r="C345" s="5"/>
      <c r="D345" s="6"/>
      <c r="E345" s="6"/>
      <c r="F345" s="6"/>
      <c r="G345" s="6"/>
      <c r="H345" s="618"/>
      <c r="I345" s="618"/>
      <c r="J345" s="618"/>
      <c r="K345" s="618"/>
      <c r="L345" s="618"/>
      <c r="M345" s="1"/>
    </row>
    <row r="346" spans="1:13" ht="14.25" customHeight="1" x14ac:dyDescent="0.45">
      <c r="A346" s="618"/>
      <c r="B346" s="618"/>
      <c r="C346" s="5"/>
      <c r="D346" s="6"/>
      <c r="E346" s="6"/>
      <c r="F346" s="6"/>
      <c r="G346" s="6"/>
      <c r="H346" s="618"/>
      <c r="I346" s="618"/>
      <c r="J346" s="618"/>
      <c r="K346" s="618"/>
      <c r="L346" s="618"/>
      <c r="M346" s="1"/>
    </row>
    <row r="347" spans="1:13" ht="14.25" customHeight="1" x14ac:dyDescent="0.45">
      <c r="A347" s="618"/>
      <c r="B347" s="618"/>
      <c r="C347" s="5"/>
      <c r="D347" s="6"/>
      <c r="E347" s="6"/>
      <c r="F347" s="6"/>
      <c r="G347" s="6"/>
      <c r="H347" s="618"/>
      <c r="I347" s="618"/>
      <c r="J347" s="618"/>
      <c r="K347" s="618"/>
      <c r="L347" s="618"/>
      <c r="M347" s="1"/>
    </row>
    <row r="348" spans="1:13" ht="14.25" customHeight="1" x14ac:dyDescent="0.45">
      <c r="A348" s="618"/>
      <c r="B348" s="618"/>
      <c r="C348" s="5"/>
      <c r="D348" s="6"/>
      <c r="E348" s="6"/>
      <c r="F348" s="6"/>
      <c r="G348" s="6"/>
      <c r="H348" s="618"/>
      <c r="I348" s="618"/>
      <c r="J348" s="618"/>
      <c r="K348" s="618"/>
      <c r="L348" s="618"/>
      <c r="M348" s="1"/>
    </row>
    <row r="349" spans="1:13" ht="14.25" customHeight="1" x14ac:dyDescent="0.45">
      <c r="A349" s="618"/>
      <c r="B349" s="618"/>
      <c r="C349" s="5"/>
      <c r="D349" s="6"/>
      <c r="E349" s="6"/>
      <c r="F349" s="6"/>
      <c r="G349" s="6"/>
      <c r="H349" s="618"/>
      <c r="I349" s="618"/>
      <c r="J349" s="618"/>
      <c r="K349" s="618"/>
      <c r="L349" s="618"/>
      <c r="M349" s="1"/>
    </row>
    <row r="350" spans="1:13" ht="14.25" customHeight="1" x14ac:dyDescent="0.45">
      <c r="A350" s="618"/>
      <c r="B350" s="618"/>
      <c r="C350" s="5"/>
      <c r="D350" s="6"/>
      <c r="E350" s="6"/>
      <c r="F350" s="6"/>
      <c r="G350" s="6"/>
      <c r="H350" s="618"/>
      <c r="I350" s="618"/>
      <c r="J350" s="618"/>
      <c r="K350" s="618"/>
      <c r="L350" s="618"/>
      <c r="M350" s="1"/>
    </row>
    <row r="351" spans="1:13" ht="14.25" customHeight="1" x14ac:dyDescent="0.45">
      <c r="A351" s="618"/>
      <c r="B351" s="618"/>
      <c r="C351" s="5"/>
      <c r="D351" s="6"/>
      <c r="E351" s="6"/>
      <c r="F351" s="6"/>
      <c r="G351" s="6"/>
      <c r="H351" s="618"/>
      <c r="I351" s="618"/>
      <c r="J351" s="618"/>
      <c r="K351" s="618"/>
      <c r="L351" s="618"/>
      <c r="M351" s="1"/>
    </row>
    <row r="352" spans="1:13" ht="14.25" customHeight="1" x14ac:dyDescent="0.45">
      <c r="A352" s="618"/>
      <c r="B352" s="618"/>
      <c r="C352" s="5"/>
      <c r="D352" s="6"/>
      <c r="E352" s="6"/>
      <c r="F352" s="6"/>
      <c r="G352" s="6"/>
      <c r="H352" s="618"/>
      <c r="I352" s="618"/>
      <c r="J352" s="618"/>
      <c r="K352" s="618"/>
      <c r="L352" s="618"/>
      <c r="M352" s="1"/>
    </row>
    <row r="353" spans="1:13" ht="14.25" customHeight="1" x14ac:dyDescent="0.45">
      <c r="A353" s="618"/>
      <c r="B353" s="618"/>
      <c r="C353" s="5"/>
      <c r="D353" s="6"/>
      <c r="E353" s="6"/>
      <c r="F353" s="6"/>
      <c r="G353" s="6"/>
      <c r="H353" s="618"/>
      <c r="I353" s="618"/>
      <c r="J353" s="618"/>
      <c r="K353" s="618"/>
      <c r="L353" s="618"/>
      <c r="M353" s="1"/>
    </row>
    <row r="354" spans="1:13" ht="14.25" customHeight="1" x14ac:dyDescent="0.45">
      <c r="A354" s="618"/>
      <c r="B354" s="618"/>
      <c r="C354" s="5"/>
      <c r="D354" s="6"/>
      <c r="E354" s="6"/>
      <c r="F354" s="6"/>
      <c r="G354" s="6"/>
      <c r="H354" s="618"/>
      <c r="I354" s="618"/>
      <c r="J354" s="618"/>
      <c r="K354" s="618"/>
      <c r="L354" s="618"/>
      <c r="M354" s="1"/>
    </row>
    <row r="355" spans="1:13" ht="14.25" customHeight="1" x14ac:dyDescent="0.45">
      <c r="A355" s="618"/>
      <c r="B355" s="618"/>
      <c r="C355" s="5"/>
      <c r="D355" s="6"/>
      <c r="E355" s="6"/>
      <c r="F355" s="6"/>
      <c r="G355" s="6"/>
      <c r="H355" s="618"/>
      <c r="I355" s="618"/>
      <c r="J355" s="618"/>
      <c r="K355" s="618"/>
      <c r="L355" s="618"/>
      <c r="M355" s="1"/>
    </row>
    <row r="356" spans="1:13" ht="14.25" customHeight="1" x14ac:dyDescent="0.45">
      <c r="A356" s="618"/>
      <c r="B356" s="618"/>
      <c r="C356" s="5"/>
      <c r="D356" s="6"/>
      <c r="E356" s="6"/>
      <c r="F356" s="6"/>
      <c r="G356" s="6"/>
      <c r="H356" s="618"/>
      <c r="I356" s="618"/>
      <c r="J356" s="618"/>
      <c r="K356" s="618"/>
      <c r="L356" s="618"/>
      <c r="M356" s="1"/>
    </row>
    <row r="357" spans="1:13" ht="14.25" customHeight="1" x14ac:dyDescent="0.45">
      <c r="A357" s="618"/>
      <c r="B357" s="618"/>
      <c r="C357" s="5"/>
      <c r="D357" s="6"/>
      <c r="E357" s="6"/>
      <c r="F357" s="6"/>
      <c r="G357" s="6"/>
      <c r="H357" s="618"/>
      <c r="I357" s="618"/>
      <c r="J357" s="618"/>
      <c r="K357" s="618"/>
      <c r="L357" s="618"/>
      <c r="M357" s="1"/>
    </row>
    <row r="358" spans="1:13" ht="14.25" customHeight="1" x14ac:dyDescent="0.45">
      <c r="A358" s="618"/>
      <c r="B358" s="618"/>
      <c r="C358" s="5"/>
      <c r="D358" s="6"/>
      <c r="E358" s="6"/>
      <c r="F358" s="6"/>
      <c r="G358" s="6"/>
      <c r="H358" s="618"/>
      <c r="I358" s="618"/>
      <c r="J358" s="618"/>
      <c r="K358" s="618"/>
      <c r="L358" s="618"/>
      <c r="M358" s="1"/>
    </row>
    <row r="359" spans="1:13" ht="14.25" customHeight="1" x14ac:dyDescent="0.45">
      <c r="A359" s="618"/>
      <c r="B359" s="618"/>
      <c r="C359" s="5"/>
      <c r="D359" s="6"/>
      <c r="E359" s="6"/>
      <c r="F359" s="6"/>
      <c r="G359" s="6"/>
      <c r="H359" s="618"/>
      <c r="I359" s="618"/>
      <c r="J359" s="618"/>
      <c r="K359" s="618"/>
      <c r="L359" s="618"/>
      <c r="M359" s="1"/>
    </row>
    <row r="360" spans="1:13" ht="14.25" customHeight="1" x14ac:dyDescent="0.45">
      <c r="A360" s="618"/>
      <c r="B360" s="618"/>
      <c r="C360" s="5"/>
      <c r="D360" s="6"/>
      <c r="E360" s="6"/>
      <c r="F360" s="6"/>
      <c r="G360" s="6"/>
      <c r="H360" s="618"/>
      <c r="I360" s="618"/>
      <c r="J360" s="618"/>
      <c r="K360" s="618"/>
      <c r="L360" s="618"/>
      <c r="M360" s="1"/>
    </row>
    <row r="361" spans="1:13" ht="14.25" customHeight="1" x14ac:dyDescent="0.45">
      <c r="A361" s="618"/>
      <c r="B361" s="618"/>
      <c r="C361" s="5"/>
      <c r="D361" s="6"/>
      <c r="E361" s="6"/>
      <c r="F361" s="6"/>
      <c r="G361" s="6"/>
      <c r="H361" s="618"/>
      <c r="I361" s="618"/>
      <c r="J361" s="618"/>
      <c r="K361" s="618"/>
      <c r="L361" s="618"/>
      <c r="M361" s="1"/>
    </row>
    <row r="362" spans="1:13" ht="14.25" customHeight="1" x14ac:dyDescent="0.45">
      <c r="A362" s="618"/>
      <c r="B362" s="618"/>
      <c r="C362" s="5"/>
      <c r="D362" s="6"/>
      <c r="E362" s="6"/>
      <c r="F362" s="6"/>
      <c r="G362" s="6"/>
      <c r="H362" s="618"/>
      <c r="I362" s="618"/>
      <c r="J362" s="618"/>
      <c r="K362" s="618"/>
      <c r="L362" s="618"/>
      <c r="M362" s="1"/>
    </row>
    <row r="363" spans="1:13" ht="14.25" customHeight="1" x14ac:dyDescent="0.45">
      <c r="A363" s="618"/>
      <c r="B363" s="618"/>
      <c r="C363" s="5"/>
      <c r="D363" s="6"/>
      <c r="E363" s="6"/>
      <c r="F363" s="6"/>
      <c r="G363" s="6"/>
      <c r="H363" s="618"/>
      <c r="I363" s="618"/>
      <c r="J363" s="618"/>
      <c r="K363" s="618"/>
      <c r="L363" s="618"/>
      <c r="M363" s="1"/>
    </row>
    <row r="364" spans="1:13" ht="14.25" customHeight="1" x14ac:dyDescent="0.45">
      <c r="A364" s="618"/>
      <c r="B364" s="618"/>
      <c r="C364" s="5"/>
      <c r="D364" s="6"/>
      <c r="E364" s="6"/>
      <c r="F364" s="6"/>
      <c r="G364" s="6"/>
      <c r="H364" s="618"/>
      <c r="I364" s="618"/>
      <c r="J364" s="618"/>
      <c r="K364" s="618"/>
      <c r="L364" s="618"/>
      <c r="M364" s="1"/>
    </row>
    <row r="365" spans="1:13" ht="14.25" customHeight="1" x14ac:dyDescent="0.45">
      <c r="A365" s="618"/>
      <c r="B365" s="618"/>
      <c r="C365" s="5"/>
      <c r="D365" s="6"/>
      <c r="E365" s="6"/>
      <c r="F365" s="6"/>
      <c r="G365" s="6"/>
      <c r="H365" s="618"/>
      <c r="I365" s="618"/>
      <c r="J365" s="618"/>
      <c r="K365" s="618"/>
      <c r="L365" s="618"/>
      <c r="M365" s="1"/>
    </row>
    <row r="366" spans="1:13" ht="14.25" customHeight="1" x14ac:dyDescent="0.45">
      <c r="A366" s="618"/>
      <c r="B366" s="618"/>
      <c r="C366" s="5"/>
      <c r="D366" s="6"/>
      <c r="E366" s="6"/>
      <c r="F366" s="6"/>
      <c r="G366" s="6"/>
      <c r="H366" s="618"/>
      <c r="I366" s="618"/>
      <c r="J366" s="618"/>
      <c r="K366" s="618"/>
      <c r="L366" s="618"/>
      <c r="M366" s="1"/>
    </row>
    <row r="367" spans="1:13" ht="14.25" customHeight="1" x14ac:dyDescent="0.45">
      <c r="A367" s="618"/>
      <c r="B367" s="618"/>
      <c r="C367" s="5"/>
      <c r="D367" s="6"/>
      <c r="E367" s="6"/>
      <c r="F367" s="6"/>
      <c r="G367" s="6"/>
      <c r="H367" s="618"/>
      <c r="I367" s="618"/>
      <c r="J367" s="618"/>
      <c r="K367" s="618"/>
      <c r="L367" s="618"/>
      <c r="M367" s="1"/>
    </row>
    <row r="368" spans="1:13" ht="14.25" customHeight="1" x14ac:dyDescent="0.45">
      <c r="A368" s="618"/>
      <c r="B368" s="618"/>
      <c r="C368" s="5"/>
      <c r="D368" s="6"/>
      <c r="E368" s="6"/>
      <c r="F368" s="6"/>
      <c r="G368" s="6"/>
      <c r="H368" s="618"/>
      <c r="I368" s="618"/>
      <c r="J368" s="618"/>
      <c r="K368" s="618"/>
      <c r="L368" s="618"/>
      <c r="M368" s="1"/>
    </row>
    <row r="369" spans="1:13" ht="14.25" customHeight="1" x14ac:dyDescent="0.45">
      <c r="A369" s="618"/>
      <c r="B369" s="618"/>
      <c r="C369" s="5"/>
      <c r="D369" s="6"/>
      <c r="E369" s="6"/>
      <c r="F369" s="6"/>
      <c r="G369" s="6"/>
      <c r="H369" s="618"/>
      <c r="I369" s="618"/>
      <c r="J369" s="618"/>
      <c r="K369" s="618"/>
      <c r="L369" s="618"/>
      <c r="M369" s="1"/>
    </row>
    <row r="370" spans="1:13" ht="14.25" customHeight="1" x14ac:dyDescent="0.45">
      <c r="A370" s="618"/>
      <c r="B370" s="618"/>
      <c r="C370" s="5"/>
      <c r="D370" s="6"/>
      <c r="E370" s="6"/>
      <c r="F370" s="6"/>
      <c r="G370" s="6"/>
      <c r="H370" s="618"/>
      <c r="I370" s="618"/>
      <c r="J370" s="618"/>
      <c r="K370" s="618"/>
      <c r="L370" s="618"/>
      <c r="M370" s="1"/>
    </row>
    <row r="371" spans="1:13" ht="14.25" customHeight="1" x14ac:dyDescent="0.45">
      <c r="A371" s="618"/>
      <c r="B371" s="618"/>
      <c r="C371" s="5"/>
      <c r="D371" s="6"/>
      <c r="E371" s="6"/>
      <c r="F371" s="6"/>
      <c r="G371" s="6"/>
      <c r="H371" s="618"/>
      <c r="I371" s="618"/>
      <c r="J371" s="618"/>
      <c r="K371" s="618"/>
      <c r="L371" s="618"/>
      <c r="M371" s="1"/>
    </row>
    <row r="372" spans="1:13" ht="14.25" customHeight="1" x14ac:dyDescent="0.45">
      <c r="A372" s="618"/>
      <c r="B372" s="618"/>
      <c r="C372" s="5"/>
      <c r="D372" s="6"/>
      <c r="E372" s="6"/>
      <c r="F372" s="6"/>
      <c r="G372" s="6"/>
      <c r="H372" s="618"/>
      <c r="I372" s="618"/>
      <c r="J372" s="618"/>
      <c r="K372" s="618"/>
      <c r="L372" s="618"/>
      <c r="M372" s="1"/>
    </row>
    <row r="373" spans="1:13" ht="14.25" customHeight="1" x14ac:dyDescent="0.45">
      <c r="A373" s="618"/>
      <c r="B373" s="618"/>
      <c r="C373" s="5"/>
      <c r="D373" s="6"/>
      <c r="E373" s="6"/>
      <c r="F373" s="6"/>
      <c r="G373" s="6"/>
      <c r="H373" s="618"/>
      <c r="I373" s="618"/>
      <c r="J373" s="618"/>
      <c r="K373" s="618"/>
      <c r="L373" s="618"/>
      <c r="M373" s="1"/>
    </row>
    <row r="374" spans="1:13" ht="14.25" customHeight="1" x14ac:dyDescent="0.45">
      <c r="A374" s="618"/>
      <c r="B374" s="618"/>
      <c r="C374" s="5"/>
      <c r="D374" s="6"/>
      <c r="E374" s="6"/>
      <c r="F374" s="6"/>
      <c r="G374" s="6"/>
      <c r="H374" s="618"/>
      <c r="I374" s="618"/>
      <c r="J374" s="618"/>
      <c r="K374" s="618"/>
      <c r="L374" s="618"/>
      <c r="M374" s="1"/>
    </row>
    <row r="375" spans="1:13" ht="14.25" customHeight="1" x14ac:dyDescent="0.45">
      <c r="A375" s="618"/>
      <c r="B375" s="618"/>
      <c r="C375" s="5"/>
      <c r="D375" s="6"/>
      <c r="E375" s="6"/>
      <c r="F375" s="6"/>
      <c r="G375" s="6"/>
      <c r="H375" s="618"/>
      <c r="I375" s="618"/>
      <c r="J375" s="618"/>
      <c r="K375" s="618"/>
      <c r="L375" s="618"/>
      <c r="M375" s="1"/>
    </row>
    <row r="376" spans="1:13" ht="14.25" customHeight="1" x14ac:dyDescent="0.45">
      <c r="A376" s="618"/>
      <c r="B376" s="618"/>
      <c r="C376" s="5"/>
      <c r="D376" s="6"/>
      <c r="E376" s="6"/>
      <c r="F376" s="6"/>
      <c r="G376" s="6"/>
      <c r="H376" s="618"/>
      <c r="I376" s="618"/>
      <c r="J376" s="618"/>
      <c r="K376" s="618"/>
      <c r="L376" s="618"/>
      <c r="M376" s="1"/>
    </row>
    <row r="377" spans="1:13" ht="14.25" customHeight="1" x14ac:dyDescent="0.45">
      <c r="A377" s="618"/>
      <c r="B377" s="618"/>
      <c r="C377" s="5"/>
      <c r="D377" s="6"/>
      <c r="E377" s="6"/>
      <c r="F377" s="6"/>
      <c r="G377" s="6"/>
      <c r="H377" s="618"/>
      <c r="I377" s="618"/>
      <c r="J377" s="618"/>
      <c r="K377" s="618"/>
      <c r="L377" s="618"/>
      <c r="M377" s="1"/>
    </row>
    <row r="378" spans="1:13" ht="14.25" customHeight="1" x14ac:dyDescent="0.45">
      <c r="A378" s="618"/>
      <c r="B378" s="618"/>
      <c r="C378" s="5"/>
      <c r="D378" s="6"/>
      <c r="E378" s="6"/>
      <c r="F378" s="6"/>
      <c r="G378" s="6"/>
      <c r="H378" s="618"/>
      <c r="I378" s="618"/>
      <c r="J378" s="618"/>
      <c r="K378" s="618"/>
      <c r="L378" s="618"/>
      <c r="M378" s="1"/>
    </row>
    <row r="379" spans="1:13" ht="14.25" customHeight="1" x14ac:dyDescent="0.45">
      <c r="A379" s="618"/>
      <c r="B379" s="618"/>
      <c r="C379" s="5"/>
      <c r="D379" s="6"/>
      <c r="E379" s="6"/>
      <c r="F379" s="6"/>
      <c r="G379" s="6"/>
      <c r="H379" s="618"/>
      <c r="I379" s="618"/>
      <c r="J379" s="618"/>
      <c r="K379" s="618"/>
      <c r="L379" s="618"/>
      <c r="M379" s="1"/>
    </row>
    <row r="380" spans="1:13" ht="14.25" customHeight="1" x14ac:dyDescent="0.45">
      <c r="A380" s="618"/>
      <c r="B380" s="618"/>
      <c r="C380" s="5"/>
      <c r="D380" s="6"/>
      <c r="E380" s="6"/>
      <c r="F380" s="6"/>
      <c r="G380" s="6"/>
      <c r="H380" s="618"/>
      <c r="I380" s="618"/>
      <c r="J380" s="618"/>
      <c r="K380" s="618"/>
      <c r="L380" s="618"/>
      <c r="M380" s="1"/>
    </row>
    <row r="381" spans="1:13" ht="14.25" customHeight="1" x14ac:dyDescent="0.45">
      <c r="A381" s="618"/>
      <c r="B381" s="618"/>
      <c r="C381" s="5"/>
      <c r="D381" s="6"/>
      <c r="E381" s="6"/>
      <c r="F381" s="6"/>
      <c r="G381" s="6"/>
      <c r="H381" s="618"/>
      <c r="I381" s="618"/>
      <c r="J381" s="618"/>
      <c r="K381" s="618"/>
      <c r="L381" s="618"/>
      <c r="M381" s="1"/>
    </row>
    <row r="382" spans="1:13" ht="14.25" customHeight="1" x14ac:dyDescent="0.45">
      <c r="A382" s="618"/>
      <c r="B382" s="618"/>
      <c r="C382" s="5"/>
      <c r="D382" s="6"/>
      <c r="E382" s="6"/>
      <c r="F382" s="6"/>
      <c r="G382" s="6"/>
      <c r="H382" s="618"/>
      <c r="I382" s="618"/>
      <c r="J382" s="618"/>
      <c r="K382" s="618"/>
      <c r="L382" s="618"/>
      <c r="M382" s="1"/>
    </row>
    <row r="383" spans="1:13" ht="14.25" customHeight="1" x14ac:dyDescent="0.45">
      <c r="A383" s="618"/>
      <c r="B383" s="618"/>
      <c r="C383" s="5"/>
      <c r="D383" s="6"/>
      <c r="E383" s="6"/>
      <c r="F383" s="6"/>
      <c r="G383" s="6"/>
      <c r="H383" s="618"/>
      <c r="I383" s="618"/>
      <c r="J383" s="618"/>
      <c r="K383" s="618"/>
      <c r="L383" s="618"/>
      <c r="M383" s="1"/>
    </row>
    <row r="384" spans="1:13" ht="14.25" customHeight="1" x14ac:dyDescent="0.45">
      <c r="A384" s="618"/>
      <c r="B384" s="618"/>
      <c r="C384" s="5"/>
      <c r="D384" s="6"/>
      <c r="E384" s="6"/>
      <c r="F384" s="6"/>
      <c r="G384" s="6"/>
      <c r="H384" s="618"/>
      <c r="I384" s="618"/>
      <c r="J384" s="618"/>
      <c r="K384" s="618"/>
      <c r="L384" s="618"/>
      <c r="M384" s="1"/>
    </row>
    <row r="385" spans="1:13" ht="14.25" customHeight="1" x14ac:dyDescent="0.45">
      <c r="A385" s="618"/>
      <c r="B385" s="618"/>
      <c r="C385" s="5"/>
      <c r="D385" s="6"/>
      <c r="E385" s="6"/>
      <c r="F385" s="6"/>
      <c r="G385" s="6"/>
      <c r="H385" s="618"/>
      <c r="I385" s="618"/>
      <c r="J385" s="618"/>
      <c r="K385" s="618"/>
      <c r="L385" s="618"/>
      <c r="M385" s="1"/>
    </row>
    <row r="386" spans="1:13" ht="14.25" customHeight="1" x14ac:dyDescent="0.45">
      <c r="A386" s="618"/>
      <c r="B386" s="618"/>
      <c r="C386" s="5"/>
      <c r="D386" s="6"/>
      <c r="E386" s="6"/>
      <c r="F386" s="6"/>
      <c r="G386" s="6"/>
      <c r="H386" s="618"/>
      <c r="I386" s="618"/>
      <c r="J386" s="618"/>
      <c r="K386" s="618"/>
      <c r="L386" s="618"/>
      <c r="M386" s="1"/>
    </row>
    <row r="387" spans="1:13" ht="14.25" customHeight="1" x14ac:dyDescent="0.45">
      <c r="A387" s="618"/>
      <c r="B387" s="618"/>
      <c r="C387" s="5"/>
      <c r="D387" s="6"/>
      <c r="E387" s="6"/>
      <c r="F387" s="6"/>
      <c r="G387" s="6"/>
      <c r="H387" s="618"/>
      <c r="I387" s="618"/>
      <c r="J387" s="618"/>
      <c r="K387" s="618"/>
      <c r="L387" s="618"/>
      <c r="M387" s="1"/>
    </row>
    <row r="388" spans="1:13" ht="14.25" customHeight="1" x14ac:dyDescent="0.45">
      <c r="A388" s="618"/>
      <c r="B388" s="618"/>
      <c r="C388" s="5"/>
      <c r="D388" s="6"/>
      <c r="E388" s="6"/>
      <c r="F388" s="6"/>
      <c r="G388" s="6"/>
      <c r="H388" s="618"/>
      <c r="I388" s="618"/>
      <c r="J388" s="618"/>
      <c r="K388" s="618"/>
      <c r="L388" s="618"/>
      <c r="M388" s="1"/>
    </row>
    <row r="389" spans="1:13" ht="14.25" customHeight="1" x14ac:dyDescent="0.45">
      <c r="A389" s="618"/>
      <c r="B389" s="618"/>
      <c r="C389" s="5"/>
      <c r="D389" s="6"/>
      <c r="E389" s="6"/>
      <c r="F389" s="6"/>
      <c r="G389" s="6"/>
      <c r="H389" s="618"/>
      <c r="I389" s="618"/>
      <c r="J389" s="618"/>
      <c r="K389" s="618"/>
      <c r="L389" s="618"/>
      <c r="M389" s="1"/>
    </row>
    <row r="390" spans="1:13" ht="14.25" customHeight="1" x14ac:dyDescent="0.45">
      <c r="A390" s="618"/>
      <c r="B390" s="618"/>
      <c r="C390" s="5"/>
      <c r="D390" s="6"/>
      <c r="E390" s="6"/>
      <c r="F390" s="6"/>
      <c r="G390" s="6"/>
      <c r="H390" s="618"/>
      <c r="I390" s="618"/>
      <c r="J390" s="618"/>
      <c r="K390" s="618"/>
      <c r="L390" s="618"/>
      <c r="M390" s="1"/>
    </row>
    <row r="391" spans="1:13" ht="14.25" customHeight="1" x14ac:dyDescent="0.45">
      <c r="A391" s="618"/>
      <c r="B391" s="618"/>
      <c r="C391" s="5"/>
      <c r="D391" s="6"/>
      <c r="E391" s="6"/>
      <c r="F391" s="6"/>
      <c r="G391" s="6"/>
      <c r="H391" s="618"/>
      <c r="I391" s="618"/>
      <c r="J391" s="618"/>
      <c r="K391" s="618"/>
      <c r="L391" s="618"/>
      <c r="M391" s="1"/>
    </row>
    <row r="392" spans="1:13" ht="14.25" customHeight="1" x14ac:dyDescent="0.45">
      <c r="A392" s="618"/>
      <c r="B392" s="618"/>
      <c r="C392" s="5"/>
      <c r="D392" s="6"/>
      <c r="E392" s="6"/>
      <c r="F392" s="6"/>
      <c r="G392" s="6"/>
      <c r="H392" s="618"/>
      <c r="I392" s="618"/>
      <c r="J392" s="618"/>
      <c r="K392" s="618"/>
      <c r="L392" s="618"/>
      <c r="M392" s="1"/>
    </row>
    <row r="393" spans="1:13" ht="14.25" customHeight="1" x14ac:dyDescent="0.45">
      <c r="A393" s="618"/>
      <c r="B393" s="618"/>
      <c r="C393" s="5"/>
      <c r="D393" s="6"/>
      <c r="E393" s="6"/>
      <c r="F393" s="6"/>
      <c r="G393" s="6"/>
      <c r="H393" s="618"/>
      <c r="I393" s="618"/>
      <c r="J393" s="618"/>
      <c r="K393" s="618"/>
      <c r="L393" s="618"/>
      <c r="M393" s="1"/>
    </row>
    <row r="394" spans="1:13" ht="14.25" customHeight="1" x14ac:dyDescent="0.45">
      <c r="A394" s="618"/>
      <c r="B394" s="618"/>
      <c r="C394" s="5"/>
      <c r="D394" s="6"/>
      <c r="E394" s="6"/>
      <c r="F394" s="6"/>
      <c r="G394" s="6"/>
      <c r="H394" s="618"/>
      <c r="I394" s="618"/>
      <c r="J394" s="618"/>
      <c r="K394" s="618"/>
      <c r="L394" s="618"/>
      <c r="M394" s="1"/>
    </row>
    <row r="395" spans="1:13" ht="14.25" customHeight="1" x14ac:dyDescent="0.45">
      <c r="A395" s="618"/>
      <c r="B395" s="618"/>
      <c r="C395" s="5"/>
      <c r="D395" s="6"/>
      <c r="E395" s="6"/>
      <c r="F395" s="6"/>
      <c r="G395" s="6"/>
      <c r="H395" s="618"/>
      <c r="I395" s="618"/>
      <c r="J395" s="618"/>
      <c r="K395" s="618"/>
      <c r="L395" s="618"/>
      <c r="M395" s="1"/>
    </row>
    <row r="396" spans="1:13" ht="14.25" customHeight="1" x14ac:dyDescent="0.45">
      <c r="A396" s="618"/>
      <c r="B396" s="618"/>
      <c r="C396" s="5"/>
      <c r="D396" s="6"/>
      <c r="E396" s="6"/>
      <c r="F396" s="6"/>
      <c r="G396" s="6"/>
      <c r="H396" s="618"/>
      <c r="I396" s="618"/>
      <c r="J396" s="618"/>
      <c r="K396" s="618"/>
      <c r="L396" s="618"/>
      <c r="M396" s="1"/>
    </row>
    <row r="397" spans="1:13" ht="14.25" customHeight="1" x14ac:dyDescent="0.45">
      <c r="A397" s="618"/>
      <c r="B397" s="618"/>
      <c r="C397" s="5"/>
      <c r="D397" s="6"/>
      <c r="E397" s="6"/>
      <c r="F397" s="6"/>
      <c r="G397" s="6"/>
      <c r="H397" s="618"/>
      <c r="I397" s="618"/>
      <c r="J397" s="618"/>
      <c r="K397" s="618"/>
      <c r="L397" s="618"/>
      <c r="M397" s="1"/>
    </row>
    <row r="398" spans="1:13" ht="14.25" customHeight="1" x14ac:dyDescent="0.45">
      <c r="A398" s="618"/>
      <c r="B398" s="618"/>
      <c r="C398" s="5"/>
      <c r="D398" s="6"/>
      <c r="E398" s="6"/>
      <c r="F398" s="6"/>
      <c r="G398" s="6"/>
      <c r="H398" s="618"/>
      <c r="I398" s="618"/>
      <c r="J398" s="618"/>
      <c r="K398" s="618"/>
      <c r="L398" s="618"/>
      <c r="M398" s="1"/>
    </row>
    <row r="399" spans="1:13" ht="14.25" customHeight="1" x14ac:dyDescent="0.45">
      <c r="A399" s="618"/>
      <c r="B399" s="618"/>
      <c r="C399" s="5"/>
      <c r="D399" s="6"/>
      <c r="E399" s="6"/>
      <c r="F399" s="6"/>
      <c r="G399" s="6"/>
      <c r="H399" s="618"/>
      <c r="I399" s="618"/>
      <c r="J399" s="618"/>
      <c r="K399" s="618"/>
      <c r="L399" s="618"/>
      <c r="M399" s="1"/>
    </row>
    <row r="400" spans="1:13" ht="14.25" customHeight="1" x14ac:dyDescent="0.45">
      <c r="A400" s="618"/>
      <c r="B400" s="618"/>
      <c r="C400" s="5"/>
      <c r="D400" s="6"/>
      <c r="E400" s="6"/>
      <c r="F400" s="6"/>
      <c r="G400" s="6"/>
      <c r="H400" s="618"/>
      <c r="I400" s="618"/>
      <c r="J400" s="618"/>
      <c r="K400" s="618"/>
      <c r="L400" s="618"/>
      <c r="M400" s="1"/>
    </row>
    <row r="401" spans="1:13" ht="14.25" customHeight="1" x14ac:dyDescent="0.45">
      <c r="A401" s="618"/>
      <c r="B401" s="618"/>
      <c r="C401" s="5"/>
      <c r="D401" s="6"/>
      <c r="E401" s="6"/>
      <c r="F401" s="6"/>
      <c r="G401" s="6"/>
      <c r="H401" s="618"/>
      <c r="I401" s="618"/>
      <c r="J401" s="618"/>
      <c r="K401" s="618"/>
      <c r="L401" s="618"/>
      <c r="M401" s="1"/>
    </row>
    <row r="402" spans="1:13" ht="14.25" customHeight="1" x14ac:dyDescent="0.45">
      <c r="A402" s="618"/>
      <c r="B402" s="618"/>
      <c r="C402" s="5"/>
      <c r="D402" s="6"/>
      <c r="E402" s="6"/>
      <c r="F402" s="6"/>
      <c r="G402" s="6"/>
      <c r="H402" s="618"/>
      <c r="I402" s="618"/>
      <c r="J402" s="618"/>
      <c r="K402" s="618"/>
      <c r="L402" s="618"/>
      <c r="M402" s="1"/>
    </row>
    <row r="403" spans="1:13" ht="15.75" customHeight="1" x14ac:dyDescent="0.45">
      <c r="A403" s="1"/>
      <c r="B403" s="1"/>
      <c r="C403" s="1"/>
      <c r="D403" s="23"/>
      <c r="E403" s="23"/>
      <c r="F403" s="23"/>
      <c r="G403" s="23"/>
      <c r="H403" s="1"/>
      <c r="I403" s="1"/>
      <c r="J403" s="1"/>
      <c r="K403" s="1"/>
      <c r="L403" s="1"/>
      <c r="M403" s="1"/>
    </row>
    <row r="404" spans="1:13" ht="15.75" customHeight="1" x14ac:dyDescent="0.45">
      <c r="A404" s="1"/>
      <c r="B404" s="1"/>
      <c r="C404" s="1"/>
      <c r="D404" s="23"/>
      <c r="E404" s="23"/>
      <c r="F404" s="23"/>
      <c r="G404" s="23"/>
      <c r="H404" s="1"/>
      <c r="I404" s="1"/>
      <c r="J404" s="1"/>
      <c r="K404" s="1"/>
      <c r="L404" s="1"/>
      <c r="M404" s="1"/>
    </row>
    <row r="405" spans="1:13" ht="15.75" customHeight="1" x14ac:dyDescent="0.45">
      <c r="A405" s="1"/>
      <c r="B405" s="1"/>
      <c r="C405" s="1"/>
      <c r="D405" s="23"/>
      <c r="E405" s="23"/>
      <c r="F405" s="23"/>
      <c r="G405" s="23"/>
      <c r="H405" s="1"/>
      <c r="I405" s="1"/>
      <c r="J405" s="1"/>
      <c r="K405" s="1"/>
      <c r="L405" s="1"/>
      <c r="M405" s="1"/>
    </row>
    <row r="406" spans="1:13" ht="15.75" customHeight="1" x14ac:dyDescent="0.45">
      <c r="A406" s="1"/>
      <c r="B406" s="1"/>
      <c r="C406" s="1"/>
      <c r="D406" s="23"/>
      <c r="E406" s="23"/>
      <c r="F406" s="23"/>
      <c r="G406" s="23"/>
      <c r="H406" s="1"/>
      <c r="I406" s="1"/>
      <c r="J406" s="1"/>
      <c r="K406" s="1"/>
      <c r="L406" s="1"/>
      <c r="M406" s="1"/>
    </row>
    <row r="407" spans="1:13" ht="15.75" customHeight="1" x14ac:dyDescent="0.45">
      <c r="A407" s="1"/>
      <c r="B407" s="1"/>
      <c r="C407" s="1"/>
      <c r="D407" s="23"/>
      <c r="E407" s="23"/>
      <c r="F407" s="23"/>
      <c r="G407" s="23"/>
      <c r="H407" s="1"/>
      <c r="I407" s="1"/>
      <c r="J407" s="1"/>
      <c r="K407" s="1"/>
      <c r="L407" s="1"/>
      <c r="M407" s="1"/>
    </row>
    <row r="408" spans="1:13" ht="15.75" customHeight="1" x14ac:dyDescent="0.45">
      <c r="A408" s="1"/>
      <c r="B408" s="1"/>
      <c r="C408" s="1"/>
      <c r="D408" s="23"/>
      <c r="E408" s="23"/>
      <c r="F408" s="23"/>
      <c r="G408" s="23"/>
      <c r="H408" s="1"/>
      <c r="I408" s="1"/>
      <c r="J408" s="1"/>
      <c r="K408" s="1"/>
      <c r="L408" s="1"/>
      <c r="M408" s="1"/>
    </row>
    <row r="409" spans="1:13" ht="15.75" customHeight="1" x14ac:dyDescent="0.45">
      <c r="A409" s="1"/>
      <c r="B409" s="1"/>
      <c r="C409" s="1"/>
      <c r="D409" s="23"/>
      <c r="E409" s="23"/>
      <c r="F409" s="23"/>
      <c r="G409" s="23"/>
      <c r="H409" s="1"/>
      <c r="I409" s="1"/>
      <c r="J409" s="1"/>
      <c r="K409" s="1"/>
      <c r="L409" s="1"/>
      <c r="M409" s="1"/>
    </row>
    <row r="410" spans="1:13" ht="15.75" customHeight="1" x14ac:dyDescent="0.45">
      <c r="A410" s="1"/>
      <c r="B410" s="1"/>
      <c r="C410" s="1"/>
      <c r="D410" s="23"/>
      <c r="E410" s="23"/>
      <c r="F410" s="23"/>
      <c r="G410" s="23"/>
      <c r="H410" s="1"/>
      <c r="I410" s="1"/>
      <c r="J410" s="1"/>
      <c r="K410" s="1"/>
      <c r="L410" s="1"/>
      <c r="M410" s="1"/>
    </row>
    <row r="411" spans="1:13" ht="15.75" customHeight="1" x14ac:dyDescent="0.45">
      <c r="A411" s="1"/>
      <c r="B411" s="1"/>
      <c r="C411" s="1"/>
      <c r="D411" s="23"/>
      <c r="E411" s="23"/>
      <c r="F411" s="23"/>
      <c r="G411" s="23"/>
      <c r="H411" s="1"/>
      <c r="I411" s="1"/>
      <c r="J411" s="1"/>
      <c r="K411" s="1"/>
      <c r="L411" s="1"/>
      <c r="M411" s="1"/>
    </row>
    <row r="412" spans="1:13" ht="15.75" customHeight="1" x14ac:dyDescent="0.45">
      <c r="A412" s="1"/>
      <c r="B412" s="1"/>
      <c r="C412" s="1"/>
      <c r="D412" s="23"/>
      <c r="E412" s="23"/>
      <c r="F412" s="23"/>
      <c r="G412" s="23"/>
      <c r="H412" s="1"/>
      <c r="I412" s="1"/>
      <c r="J412" s="1"/>
      <c r="K412" s="1"/>
      <c r="L412" s="1"/>
      <c r="M412" s="1"/>
    </row>
    <row r="413" spans="1:13" ht="15.75" customHeight="1" x14ac:dyDescent="0.45">
      <c r="A413" s="1"/>
      <c r="B413" s="1"/>
      <c r="C413" s="1"/>
      <c r="D413" s="23"/>
      <c r="E413" s="23"/>
      <c r="F413" s="23"/>
      <c r="G413" s="23"/>
      <c r="H413" s="1"/>
      <c r="I413" s="1"/>
      <c r="J413" s="1"/>
      <c r="K413" s="1"/>
      <c r="L413" s="1"/>
      <c r="M413" s="1"/>
    </row>
    <row r="414" spans="1:13" ht="15.75" customHeight="1" x14ac:dyDescent="0.45">
      <c r="A414" s="1"/>
      <c r="B414" s="1"/>
      <c r="C414" s="1"/>
      <c r="D414" s="23"/>
      <c r="E414" s="23"/>
      <c r="F414" s="23"/>
      <c r="G414" s="23"/>
      <c r="H414" s="1"/>
      <c r="I414" s="1"/>
      <c r="J414" s="1"/>
      <c r="K414" s="1"/>
      <c r="L414" s="1"/>
      <c r="M414" s="1"/>
    </row>
    <row r="415" spans="1:13" ht="15.75" customHeight="1" x14ac:dyDescent="0.45">
      <c r="A415" s="1"/>
      <c r="B415" s="1"/>
      <c r="C415" s="1"/>
      <c r="D415" s="23"/>
      <c r="E415" s="23"/>
      <c r="F415" s="23"/>
      <c r="G415" s="23"/>
      <c r="H415" s="1"/>
      <c r="I415" s="1"/>
      <c r="J415" s="1"/>
      <c r="K415" s="1"/>
      <c r="L415" s="1"/>
      <c r="M415" s="1"/>
    </row>
    <row r="416" spans="1:13" ht="15.75" customHeight="1" x14ac:dyDescent="0.45">
      <c r="A416" s="1"/>
      <c r="B416" s="1"/>
      <c r="C416" s="1"/>
      <c r="D416" s="23"/>
      <c r="E416" s="23"/>
      <c r="F416" s="23"/>
      <c r="G416" s="23"/>
      <c r="H416" s="1"/>
      <c r="I416" s="1"/>
      <c r="J416" s="1"/>
      <c r="K416" s="1"/>
      <c r="L416" s="1"/>
      <c r="M416" s="1"/>
    </row>
    <row r="417" spans="1:13" ht="15.75" customHeight="1" x14ac:dyDescent="0.45">
      <c r="A417" s="1"/>
      <c r="B417" s="1"/>
      <c r="C417" s="1"/>
      <c r="D417" s="23"/>
      <c r="E417" s="23"/>
      <c r="F417" s="23"/>
      <c r="G417" s="23"/>
      <c r="H417" s="1"/>
      <c r="I417" s="1"/>
      <c r="J417" s="1"/>
      <c r="K417" s="1"/>
      <c r="L417" s="1"/>
      <c r="M417" s="1"/>
    </row>
    <row r="418" spans="1:13" ht="15.75" customHeight="1" x14ac:dyDescent="0.45">
      <c r="A418" s="1"/>
      <c r="B418" s="1"/>
      <c r="C418" s="1"/>
      <c r="D418" s="23"/>
      <c r="E418" s="23"/>
      <c r="F418" s="23"/>
      <c r="G418" s="23"/>
      <c r="H418" s="1"/>
      <c r="I418" s="1"/>
      <c r="J418" s="1"/>
      <c r="K418" s="1"/>
      <c r="L418" s="1"/>
      <c r="M418" s="1"/>
    </row>
    <row r="419" spans="1:13" ht="15.75" customHeight="1" x14ac:dyDescent="0.45">
      <c r="A419" s="1"/>
      <c r="B419" s="1"/>
      <c r="C419" s="1"/>
      <c r="D419" s="23"/>
      <c r="E419" s="23"/>
      <c r="F419" s="23"/>
      <c r="G419" s="23"/>
      <c r="H419" s="1"/>
      <c r="I419" s="1"/>
      <c r="J419" s="1"/>
      <c r="K419" s="1"/>
      <c r="L419" s="1"/>
      <c r="M419" s="1"/>
    </row>
    <row r="420" spans="1:13" ht="15.75" customHeight="1" x14ac:dyDescent="0.45">
      <c r="A420" s="1"/>
      <c r="B420" s="1"/>
      <c r="C420" s="1"/>
      <c r="D420" s="23"/>
      <c r="E420" s="23"/>
      <c r="F420" s="23"/>
      <c r="G420" s="23"/>
      <c r="H420" s="1"/>
      <c r="I420" s="1"/>
      <c r="J420" s="1"/>
      <c r="K420" s="1"/>
      <c r="L420" s="1"/>
      <c r="M420" s="1"/>
    </row>
    <row r="421" spans="1:13" ht="15.75" customHeight="1" x14ac:dyDescent="0.45">
      <c r="A421" s="1"/>
      <c r="B421" s="1"/>
      <c r="C421" s="1"/>
      <c r="D421" s="23"/>
      <c r="E421" s="23"/>
      <c r="F421" s="23"/>
      <c r="G421" s="23"/>
      <c r="H421" s="1"/>
      <c r="I421" s="1"/>
      <c r="J421" s="1"/>
      <c r="K421" s="1"/>
      <c r="L421" s="1"/>
      <c r="M421" s="1"/>
    </row>
    <row r="422" spans="1:13" ht="15.75" customHeight="1" x14ac:dyDescent="0.45">
      <c r="A422" s="1"/>
      <c r="B422" s="1"/>
      <c r="C422" s="1"/>
      <c r="D422" s="23"/>
      <c r="E422" s="23"/>
      <c r="F422" s="23"/>
      <c r="G422" s="23"/>
      <c r="H422" s="1"/>
      <c r="I422" s="1"/>
      <c r="J422" s="1"/>
      <c r="K422" s="1"/>
      <c r="L422" s="1"/>
      <c r="M422" s="1"/>
    </row>
    <row r="423" spans="1:13" ht="15.75" customHeight="1" x14ac:dyDescent="0.45">
      <c r="A423" s="1"/>
      <c r="B423" s="1"/>
      <c r="C423" s="1"/>
      <c r="D423" s="23"/>
      <c r="E423" s="23"/>
      <c r="F423" s="23"/>
      <c r="G423" s="23"/>
      <c r="H423" s="1"/>
      <c r="I423" s="1"/>
      <c r="J423" s="1"/>
      <c r="K423" s="1"/>
      <c r="L423" s="1"/>
      <c r="M423" s="1"/>
    </row>
    <row r="424" spans="1:13" ht="15.75" customHeight="1" x14ac:dyDescent="0.45">
      <c r="A424" s="1"/>
      <c r="B424" s="1"/>
      <c r="C424" s="1"/>
      <c r="D424" s="23"/>
      <c r="E424" s="23"/>
      <c r="F424" s="23"/>
      <c r="G424" s="23"/>
      <c r="H424" s="1"/>
      <c r="I424" s="1"/>
      <c r="J424" s="1"/>
      <c r="K424" s="1"/>
      <c r="L424" s="1"/>
      <c r="M424" s="1"/>
    </row>
    <row r="425" spans="1:13" ht="15.75" customHeight="1" x14ac:dyDescent="0.45">
      <c r="A425" s="1"/>
      <c r="B425" s="1"/>
      <c r="C425" s="1"/>
      <c r="D425" s="23"/>
      <c r="E425" s="23"/>
      <c r="F425" s="23"/>
      <c r="G425" s="23"/>
      <c r="H425" s="1"/>
      <c r="I425" s="1"/>
      <c r="J425" s="1"/>
      <c r="K425" s="1"/>
      <c r="L425" s="1"/>
      <c r="M425" s="1"/>
    </row>
    <row r="426" spans="1:13" ht="15.75" customHeight="1" x14ac:dyDescent="0.45">
      <c r="A426" s="1"/>
      <c r="B426" s="1"/>
      <c r="C426" s="1"/>
      <c r="D426" s="23"/>
      <c r="E426" s="23"/>
      <c r="F426" s="23"/>
      <c r="G426" s="23"/>
      <c r="H426" s="1"/>
      <c r="I426" s="1"/>
      <c r="J426" s="1"/>
      <c r="K426" s="1"/>
      <c r="L426" s="1"/>
      <c r="M426" s="1"/>
    </row>
    <row r="427" spans="1:13" ht="15.75" customHeight="1" x14ac:dyDescent="0.45">
      <c r="A427" s="1"/>
      <c r="B427" s="1"/>
      <c r="C427" s="1"/>
      <c r="D427" s="23"/>
      <c r="E427" s="23"/>
      <c r="F427" s="23"/>
      <c r="G427" s="23"/>
      <c r="H427" s="1"/>
      <c r="I427" s="1"/>
      <c r="J427" s="1"/>
      <c r="K427" s="1"/>
      <c r="L427" s="1"/>
      <c r="M427" s="1"/>
    </row>
    <row r="428" spans="1:13" ht="15.75" customHeight="1" x14ac:dyDescent="0.45">
      <c r="A428" s="3"/>
      <c r="B428" s="3"/>
      <c r="C428" s="3"/>
      <c r="D428" s="3"/>
      <c r="E428" s="3"/>
      <c r="F428" s="3"/>
      <c r="G428" s="3"/>
      <c r="H428" s="3"/>
      <c r="I428" s="3"/>
      <c r="J428" s="3"/>
      <c r="K428" s="3"/>
      <c r="L428" s="3"/>
      <c r="M428" s="3"/>
    </row>
    <row r="429" spans="1:13" ht="15.75" customHeight="1" x14ac:dyDescent="0.45">
      <c r="A429" s="3"/>
      <c r="B429" s="3"/>
      <c r="C429" s="3"/>
      <c r="D429" s="3"/>
      <c r="E429" s="3"/>
      <c r="F429" s="3"/>
      <c r="G429" s="3"/>
      <c r="H429" s="3"/>
      <c r="I429" s="3"/>
      <c r="J429" s="3"/>
      <c r="K429" s="3"/>
      <c r="L429" s="3"/>
      <c r="M429" s="3"/>
    </row>
    <row r="430" spans="1:13" ht="15.75" customHeight="1" x14ac:dyDescent="0.45">
      <c r="A430" s="3"/>
      <c r="B430" s="3"/>
      <c r="C430" s="3"/>
      <c r="D430" s="3"/>
      <c r="E430" s="3"/>
      <c r="F430" s="3"/>
      <c r="G430" s="3"/>
      <c r="H430" s="3"/>
      <c r="I430" s="3"/>
      <c r="J430" s="3"/>
      <c r="K430" s="3"/>
      <c r="L430" s="3"/>
      <c r="M430" s="3"/>
    </row>
    <row r="431" spans="1:13" ht="15.75" customHeight="1" x14ac:dyDescent="0.45">
      <c r="A431" s="3"/>
      <c r="B431" s="3"/>
      <c r="C431" s="3"/>
      <c r="D431" s="3"/>
      <c r="E431" s="3"/>
      <c r="F431" s="3"/>
      <c r="G431" s="3"/>
      <c r="H431" s="3"/>
      <c r="I431" s="3"/>
      <c r="J431" s="3"/>
      <c r="K431" s="3"/>
      <c r="L431" s="3"/>
      <c r="M431" s="3"/>
    </row>
    <row r="432" spans="1:13" ht="15.75" customHeight="1" x14ac:dyDescent="0.45">
      <c r="A432" s="3"/>
      <c r="B432" s="3"/>
      <c r="C432" s="3"/>
      <c r="D432" s="3"/>
      <c r="E432" s="3"/>
      <c r="F432" s="3"/>
      <c r="G432" s="3"/>
      <c r="H432" s="3"/>
      <c r="I432" s="3"/>
      <c r="J432" s="3"/>
      <c r="K432" s="3"/>
      <c r="L432" s="3"/>
      <c r="M432" s="3"/>
    </row>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E699"/>
  </sheetPr>
  <dimension ref="A1:L1000"/>
  <sheetViews>
    <sheetView workbookViewId="0"/>
  </sheetViews>
  <sheetFormatPr defaultColWidth="12.69140625" defaultRowHeight="15" customHeight="1" x14ac:dyDescent="0.45"/>
  <cols>
    <col min="1" max="1" width="3" customWidth="1"/>
    <col min="2" max="2" width="2.3828125" customWidth="1"/>
    <col min="3" max="3" width="45.23046875" customWidth="1"/>
    <col min="4" max="4" width="19.23046875" customWidth="1"/>
    <col min="5" max="8" width="17.3828125" customWidth="1"/>
    <col min="9" max="10" width="13.765625" customWidth="1"/>
    <col min="11" max="11" width="4.765625" customWidth="1"/>
    <col min="12" max="12" width="3.3828125" customWidth="1"/>
  </cols>
  <sheetData>
    <row r="1" spans="1:12" ht="14.25" customHeight="1" x14ac:dyDescent="0.45">
      <c r="A1" s="618"/>
      <c r="B1" s="54"/>
      <c r="C1" s="644" t="s">
        <v>19</v>
      </c>
      <c r="D1" s="627"/>
      <c r="E1" s="627"/>
      <c r="F1" s="627"/>
      <c r="G1" s="627"/>
      <c r="H1" s="627"/>
      <c r="I1" s="627"/>
      <c r="J1" s="627"/>
      <c r="K1" s="627"/>
      <c r="L1" s="628"/>
    </row>
    <row r="2" spans="1:12" ht="14.25" customHeight="1" x14ac:dyDescent="0.45">
      <c r="A2" s="618"/>
      <c r="B2" s="618"/>
      <c r="C2" s="5"/>
      <c r="D2" s="24"/>
      <c r="E2" s="24"/>
      <c r="F2" s="24"/>
      <c r="G2" s="24"/>
      <c r="H2" s="24"/>
      <c r="I2" s="24"/>
      <c r="J2" s="25"/>
      <c r="K2" s="618"/>
      <c r="L2" s="618"/>
    </row>
    <row r="3" spans="1:12" ht="14.25" customHeight="1" x14ac:dyDescent="0.45">
      <c r="A3" s="618"/>
      <c r="B3" s="26"/>
      <c r="C3" s="212"/>
      <c r="D3" s="213"/>
      <c r="E3" s="213"/>
      <c r="F3" s="213"/>
      <c r="G3" s="213"/>
      <c r="H3" s="213"/>
      <c r="I3" s="213"/>
      <c r="J3" s="464"/>
      <c r="K3" s="211"/>
      <c r="L3" s="351"/>
    </row>
    <row r="4" spans="1:12" ht="24.75" customHeight="1" x14ac:dyDescent="0.45">
      <c r="A4" s="27"/>
      <c r="B4" s="215"/>
      <c r="C4" s="465" t="s">
        <v>820</v>
      </c>
      <c r="D4" s="218"/>
      <c r="E4" s="218"/>
      <c r="F4" s="218"/>
      <c r="G4" s="218"/>
      <c r="H4" s="218"/>
      <c r="I4" s="218"/>
      <c r="J4" s="266"/>
      <c r="K4" s="285"/>
      <c r="L4" s="352"/>
    </row>
    <row r="5" spans="1:12" ht="14.25" customHeight="1" x14ac:dyDescent="0.45">
      <c r="A5" s="27"/>
      <c r="B5" s="215"/>
      <c r="C5" s="217"/>
      <c r="D5" s="218"/>
      <c r="E5" s="218"/>
      <c r="F5" s="218"/>
      <c r="G5" s="218"/>
      <c r="H5" s="218"/>
      <c r="I5" s="218"/>
      <c r="J5" s="266"/>
      <c r="K5" s="285"/>
      <c r="L5" s="352"/>
    </row>
    <row r="6" spans="1:12" ht="14.25" customHeight="1" x14ac:dyDescent="0.45">
      <c r="A6" s="27"/>
      <c r="B6" s="215"/>
      <c r="C6" s="217"/>
      <c r="D6" s="218"/>
      <c r="E6" s="218"/>
      <c r="F6" s="218"/>
      <c r="G6" s="218"/>
      <c r="H6" s="218"/>
      <c r="I6" s="218"/>
      <c r="J6" s="266"/>
      <c r="K6" s="285"/>
      <c r="L6" s="352"/>
    </row>
    <row r="7" spans="1:12" ht="14.25" customHeight="1" x14ac:dyDescent="0.45">
      <c r="A7" s="27"/>
      <c r="B7" s="215"/>
      <c r="C7" s="217"/>
      <c r="D7" s="218"/>
      <c r="E7" s="218"/>
      <c r="F7" s="218"/>
      <c r="G7" s="218"/>
      <c r="H7" s="218"/>
      <c r="I7" s="218"/>
      <c r="J7" s="266"/>
      <c r="K7" s="285"/>
      <c r="L7" s="352"/>
    </row>
    <row r="8" spans="1:12" ht="14.25" customHeight="1" x14ac:dyDescent="0.45">
      <c r="A8" s="27"/>
      <c r="B8" s="215"/>
      <c r="C8" s="217"/>
      <c r="D8" s="218"/>
      <c r="E8" s="218"/>
      <c r="F8" s="218"/>
      <c r="G8" s="218"/>
      <c r="H8" s="218"/>
      <c r="I8" s="218"/>
      <c r="J8" s="266"/>
      <c r="K8" s="285"/>
      <c r="L8" s="352"/>
    </row>
    <row r="9" spans="1:12" ht="14.25" customHeight="1" x14ac:dyDescent="0.45">
      <c r="A9" s="27"/>
      <c r="B9" s="215"/>
      <c r="C9" s="217"/>
      <c r="D9" s="218"/>
      <c r="E9" s="218"/>
      <c r="F9" s="218"/>
      <c r="G9" s="218"/>
      <c r="H9" s="218"/>
      <c r="I9" s="218"/>
      <c r="J9" s="266"/>
      <c r="K9" s="285"/>
      <c r="L9" s="352"/>
    </row>
    <row r="10" spans="1:12" ht="14.25" customHeight="1" x14ac:dyDescent="0.45">
      <c r="A10" s="27"/>
      <c r="B10" s="215"/>
      <c r="C10" s="217"/>
      <c r="D10" s="218"/>
      <c r="E10" s="218"/>
      <c r="F10" s="218"/>
      <c r="G10" s="218"/>
      <c r="H10" s="218"/>
      <c r="I10" s="218"/>
      <c r="J10" s="266"/>
      <c r="K10" s="285"/>
      <c r="L10" s="352"/>
    </row>
    <row r="11" spans="1:12" ht="14.25" customHeight="1" x14ac:dyDescent="0.45">
      <c r="A11" s="27"/>
      <c r="B11" s="215"/>
      <c r="C11" s="217"/>
      <c r="D11" s="218"/>
      <c r="E11" s="218"/>
      <c r="F11" s="218"/>
      <c r="G11" s="218"/>
      <c r="H11" s="218"/>
      <c r="I11" s="218"/>
      <c r="J11" s="266"/>
      <c r="K11" s="285"/>
      <c r="L11" s="352"/>
    </row>
    <row r="12" spans="1:12" ht="14.25" customHeight="1" x14ac:dyDescent="0.45">
      <c r="A12" s="27"/>
      <c r="B12" s="215"/>
      <c r="C12" s="217"/>
      <c r="D12" s="218"/>
      <c r="E12" s="218"/>
      <c r="F12" s="218"/>
      <c r="G12" s="218"/>
      <c r="H12" s="218"/>
      <c r="I12" s="218"/>
      <c r="J12" s="266"/>
      <c r="K12" s="285"/>
      <c r="L12" s="352"/>
    </row>
    <row r="13" spans="1:12" ht="14.25" customHeight="1" x14ac:dyDescent="0.45">
      <c r="A13" s="27"/>
      <c r="B13" s="215"/>
      <c r="C13" s="217"/>
      <c r="D13" s="218"/>
      <c r="E13" s="218"/>
      <c r="F13" s="218"/>
      <c r="G13" s="218"/>
      <c r="H13" s="218"/>
      <c r="I13" s="218"/>
      <c r="J13" s="266"/>
      <c r="K13" s="285"/>
      <c r="L13" s="352"/>
    </row>
    <row r="14" spans="1:12" ht="14.25" customHeight="1" x14ac:dyDescent="0.45">
      <c r="A14" s="27"/>
      <c r="B14" s="215"/>
      <c r="C14" s="217"/>
      <c r="D14" s="218"/>
      <c r="E14" s="218"/>
      <c r="F14" s="218"/>
      <c r="G14" s="218"/>
      <c r="H14" s="218"/>
      <c r="I14" s="218"/>
      <c r="J14" s="266"/>
      <c r="K14" s="285"/>
      <c r="L14" s="352"/>
    </row>
    <row r="15" spans="1:12" ht="14.25" customHeight="1" x14ac:dyDescent="0.45">
      <c r="A15" s="27"/>
      <c r="B15" s="215"/>
      <c r="C15" s="217"/>
      <c r="D15" s="218"/>
      <c r="E15" s="218"/>
      <c r="F15" s="218"/>
      <c r="G15" s="218"/>
      <c r="H15" s="218"/>
      <c r="I15" s="218"/>
      <c r="J15" s="266"/>
      <c r="K15" s="285"/>
      <c r="L15" s="352"/>
    </row>
    <row r="16" spans="1:12" ht="14.25" customHeight="1" x14ac:dyDescent="0.45">
      <c r="A16" s="27"/>
      <c r="B16" s="215"/>
      <c r="C16" s="217"/>
      <c r="D16" s="218"/>
      <c r="E16" s="218"/>
      <c r="F16" s="218"/>
      <c r="G16" s="218"/>
      <c r="H16" s="218"/>
      <c r="I16" s="218"/>
      <c r="J16" s="266"/>
      <c r="K16" s="285"/>
      <c r="L16" s="352"/>
    </row>
    <row r="17" spans="1:12" ht="14.25" customHeight="1" x14ac:dyDescent="0.45">
      <c r="A17" s="27"/>
      <c r="B17" s="215"/>
      <c r="C17" s="217"/>
      <c r="D17" s="218"/>
      <c r="E17" s="218"/>
      <c r="F17" s="218"/>
      <c r="G17" s="218"/>
      <c r="H17" s="218"/>
      <c r="I17" s="218"/>
      <c r="J17" s="266"/>
      <c r="K17" s="285"/>
      <c r="L17" s="352"/>
    </row>
    <row r="18" spans="1:12" ht="14.25" customHeight="1" x14ac:dyDescent="0.45">
      <c r="A18" s="27"/>
      <c r="B18" s="215"/>
      <c r="C18" s="217"/>
      <c r="D18" s="218"/>
      <c r="E18" s="218"/>
      <c r="F18" s="218"/>
      <c r="G18" s="218"/>
      <c r="H18" s="218"/>
      <c r="I18" s="218"/>
      <c r="J18" s="266"/>
      <c r="K18" s="285"/>
      <c r="L18" s="352"/>
    </row>
    <row r="19" spans="1:12" ht="14.25" customHeight="1" x14ac:dyDescent="0.45">
      <c r="A19" s="27"/>
      <c r="B19" s="215"/>
      <c r="C19" s="217"/>
      <c r="D19" s="218"/>
      <c r="E19" s="218"/>
      <c r="F19" s="218"/>
      <c r="G19" s="218"/>
      <c r="H19" s="218"/>
      <c r="I19" s="218"/>
      <c r="J19" s="266"/>
      <c r="K19" s="285"/>
      <c r="L19" s="352"/>
    </row>
    <row r="20" spans="1:12" ht="14.25" customHeight="1" x14ac:dyDescent="0.45">
      <c r="A20" s="27"/>
      <c r="B20" s="215"/>
      <c r="C20" s="217"/>
      <c r="D20" s="218"/>
      <c r="E20" s="218"/>
      <c r="F20" s="218"/>
      <c r="G20" s="218"/>
      <c r="H20" s="218"/>
      <c r="I20" s="218"/>
      <c r="J20" s="266"/>
      <c r="K20" s="285"/>
      <c r="L20" s="352"/>
    </row>
    <row r="21" spans="1:12" ht="14.25" customHeight="1" x14ac:dyDescent="0.45">
      <c r="A21" s="27"/>
      <c r="B21" s="215"/>
      <c r="C21" s="217"/>
      <c r="D21" s="218"/>
      <c r="E21" s="218"/>
      <c r="F21" s="218"/>
      <c r="G21" s="218"/>
      <c r="H21" s="218"/>
      <c r="I21" s="218"/>
      <c r="J21" s="266"/>
      <c r="K21" s="285"/>
      <c r="L21" s="352"/>
    </row>
    <row r="22" spans="1:12" ht="14.25" customHeight="1" x14ac:dyDescent="0.45">
      <c r="A22" s="27"/>
      <c r="B22" s="215"/>
      <c r="C22" s="217"/>
      <c r="D22" s="218"/>
      <c r="E22" s="218"/>
      <c r="F22" s="218"/>
      <c r="G22" s="218"/>
      <c r="H22" s="218"/>
      <c r="I22" s="218"/>
      <c r="J22" s="266"/>
      <c r="K22" s="285"/>
      <c r="L22" s="352"/>
    </row>
    <row r="23" spans="1:12" ht="14.25" customHeight="1" x14ac:dyDescent="0.45">
      <c r="A23" s="27"/>
      <c r="B23" s="215"/>
      <c r="C23" s="217"/>
      <c r="D23" s="218"/>
      <c r="E23" s="218"/>
      <c r="F23" s="218"/>
      <c r="G23" s="218"/>
      <c r="H23" s="218"/>
      <c r="I23" s="218"/>
      <c r="J23" s="266"/>
      <c r="K23" s="285"/>
      <c r="L23" s="352"/>
    </row>
    <row r="24" spans="1:12" ht="14.25" customHeight="1" x14ac:dyDescent="0.45">
      <c r="A24" s="27"/>
      <c r="B24" s="215"/>
      <c r="C24" s="217"/>
      <c r="D24" s="218"/>
      <c r="E24" s="218"/>
      <c r="F24" s="218"/>
      <c r="G24" s="218"/>
      <c r="H24" s="218"/>
      <c r="I24" s="218"/>
      <c r="J24" s="266"/>
      <c r="K24" s="285"/>
      <c r="L24" s="352"/>
    </row>
    <row r="25" spans="1:12" ht="14.25" customHeight="1" x14ac:dyDescent="0.45">
      <c r="A25" s="27"/>
      <c r="B25" s="215"/>
      <c r="C25" s="217"/>
      <c r="D25" s="218"/>
      <c r="E25" s="218"/>
      <c r="F25" s="218"/>
      <c r="G25" s="218"/>
      <c r="H25" s="218"/>
      <c r="I25" s="218"/>
      <c r="J25" s="266"/>
      <c r="K25" s="285"/>
      <c r="L25" s="352"/>
    </row>
    <row r="26" spans="1:12" ht="14.25" customHeight="1" x14ac:dyDescent="0.45">
      <c r="A26" s="27"/>
      <c r="B26" s="215"/>
      <c r="C26" s="217"/>
      <c r="D26" s="218"/>
      <c r="E26" s="218"/>
      <c r="F26" s="218"/>
      <c r="G26" s="218"/>
      <c r="H26" s="218"/>
      <c r="I26" s="218"/>
      <c r="J26" s="266"/>
      <c r="K26" s="285"/>
      <c r="L26" s="352"/>
    </row>
    <row r="27" spans="1:12" ht="14.25" customHeight="1" x14ac:dyDescent="0.45">
      <c r="A27" s="27"/>
      <c r="B27" s="215"/>
      <c r="C27" s="217"/>
      <c r="D27" s="218"/>
      <c r="E27" s="218"/>
      <c r="F27" s="218"/>
      <c r="G27" s="218"/>
      <c r="H27" s="218"/>
      <c r="I27" s="218"/>
      <c r="J27" s="266"/>
      <c r="K27" s="285"/>
      <c r="L27" s="352"/>
    </row>
    <row r="28" spans="1:12" ht="14.25" customHeight="1" x14ac:dyDescent="0.45">
      <c r="A28" s="27"/>
      <c r="B28" s="215"/>
      <c r="C28" s="217"/>
      <c r="D28" s="218"/>
      <c r="E28" s="218"/>
      <c r="F28" s="218"/>
      <c r="G28" s="218"/>
      <c r="H28" s="218"/>
      <c r="I28" s="218"/>
      <c r="J28" s="266"/>
      <c r="K28" s="285"/>
      <c r="L28" s="352"/>
    </row>
    <row r="29" spans="1:12" ht="14.25" customHeight="1" x14ac:dyDescent="0.45">
      <c r="A29" s="27"/>
      <c r="B29" s="215"/>
      <c r="C29" s="217"/>
      <c r="D29" s="218"/>
      <c r="E29" s="218"/>
      <c r="F29" s="218"/>
      <c r="G29" s="218"/>
      <c r="H29" s="218"/>
      <c r="I29" s="218"/>
      <c r="J29" s="266"/>
      <c r="K29" s="285"/>
      <c r="L29" s="352"/>
    </row>
    <row r="30" spans="1:12" ht="14.25" customHeight="1" x14ac:dyDescent="0.45">
      <c r="A30" s="27"/>
      <c r="B30" s="215"/>
      <c r="C30" s="217"/>
      <c r="D30" s="218"/>
      <c r="E30" s="218"/>
      <c r="F30" s="218"/>
      <c r="G30" s="218"/>
      <c r="H30" s="218"/>
      <c r="I30" s="218"/>
      <c r="J30" s="266"/>
      <c r="K30" s="285"/>
      <c r="L30" s="352"/>
    </row>
    <row r="31" spans="1:12" ht="14.25" customHeight="1" x14ac:dyDescent="0.45">
      <c r="A31" s="27"/>
      <c r="B31" s="215"/>
      <c r="C31" s="217"/>
      <c r="D31" s="218"/>
      <c r="E31" s="218"/>
      <c r="F31" s="218"/>
      <c r="G31" s="218"/>
      <c r="H31" s="218"/>
      <c r="I31" s="218"/>
      <c r="J31" s="266"/>
      <c r="K31" s="285"/>
      <c r="L31" s="352"/>
    </row>
    <row r="32" spans="1:12" ht="14.25" customHeight="1" x14ac:dyDescent="0.45">
      <c r="A32" s="27"/>
      <c r="B32" s="215"/>
      <c r="C32" s="217"/>
      <c r="D32" s="218"/>
      <c r="E32" s="218"/>
      <c r="F32" s="218"/>
      <c r="G32" s="218"/>
      <c r="H32" s="218"/>
      <c r="I32" s="218"/>
      <c r="J32" s="266"/>
      <c r="K32" s="285"/>
      <c r="L32" s="352"/>
    </row>
    <row r="33" spans="1:12" ht="14.25" customHeight="1" x14ac:dyDescent="0.45">
      <c r="A33" s="27"/>
      <c r="B33" s="215"/>
      <c r="C33" s="217"/>
      <c r="D33" s="218"/>
      <c r="E33" s="218"/>
      <c r="F33" s="218"/>
      <c r="G33" s="218"/>
      <c r="H33" s="218"/>
      <c r="I33" s="218"/>
      <c r="J33" s="266"/>
      <c r="K33" s="285"/>
      <c r="L33" s="352"/>
    </row>
    <row r="34" spans="1:12" ht="14.25" customHeight="1" x14ac:dyDescent="0.45">
      <c r="A34" s="27"/>
      <c r="B34" s="215"/>
      <c r="C34" s="217"/>
      <c r="D34" s="218"/>
      <c r="E34" s="218"/>
      <c r="F34" s="218"/>
      <c r="G34" s="218"/>
      <c r="H34" s="218"/>
      <c r="I34" s="218"/>
      <c r="J34" s="266"/>
      <c r="K34" s="285"/>
      <c r="L34" s="352"/>
    </row>
    <row r="35" spans="1:12" ht="14.25" customHeight="1" x14ac:dyDescent="0.45">
      <c r="A35" s="27"/>
      <c r="B35" s="215"/>
      <c r="C35" s="217"/>
      <c r="D35" s="218"/>
      <c r="E35" s="218"/>
      <c r="F35" s="218"/>
      <c r="G35" s="218"/>
      <c r="H35" s="218"/>
      <c r="I35" s="218"/>
      <c r="J35" s="266"/>
      <c r="K35" s="285"/>
      <c r="L35" s="352"/>
    </row>
    <row r="36" spans="1:12" ht="14.25" customHeight="1" x14ac:dyDescent="0.45">
      <c r="A36" s="27"/>
      <c r="B36" s="215"/>
      <c r="C36" s="217"/>
      <c r="D36" s="218"/>
      <c r="E36" s="218"/>
      <c r="F36" s="218"/>
      <c r="G36" s="218"/>
      <c r="H36" s="218"/>
      <c r="I36" s="218"/>
      <c r="J36" s="266"/>
      <c r="K36" s="285"/>
      <c r="L36" s="352"/>
    </row>
    <row r="37" spans="1:12" ht="14.25" customHeight="1" x14ac:dyDescent="0.45">
      <c r="A37" s="27"/>
      <c r="B37" s="215"/>
      <c r="C37" s="217"/>
      <c r="D37" s="218"/>
      <c r="E37" s="218"/>
      <c r="F37" s="218"/>
      <c r="G37" s="218"/>
      <c r="H37" s="218"/>
      <c r="I37" s="218"/>
      <c r="J37" s="266"/>
      <c r="K37" s="285"/>
      <c r="L37" s="352"/>
    </row>
    <row r="38" spans="1:12" ht="14.25" customHeight="1" x14ac:dyDescent="0.45">
      <c r="A38" s="27"/>
      <c r="B38" s="215"/>
      <c r="C38" s="217"/>
      <c r="D38" s="218"/>
      <c r="E38" s="218"/>
      <c r="F38" s="218"/>
      <c r="G38" s="218"/>
      <c r="H38" s="218"/>
      <c r="I38" s="218"/>
      <c r="J38" s="266"/>
      <c r="K38" s="285"/>
      <c r="L38" s="352"/>
    </row>
    <row r="39" spans="1:12" ht="14.25" customHeight="1" x14ac:dyDescent="0.45">
      <c r="A39" s="27"/>
      <c r="B39" s="215"/>
      <c r="C39" s="217"/>
      <c r="D39" s="218"/>
      <c r="E39" s="218"/>
      <c r="F39" s="218"/>
      <c r="G39" s="218"/>
      <c r="H39" s="218"/>
      <c r="I39" s="218"/>
      <c r="J39" s="266"/>
      <c r="K39" s="285"/>
      <c r="L39" s="352"/>
    </row>
    <row r="40" spans="1:12" ht="14.25" customHeight="1" x14ac:dyDescent="0.45">
      <c r="A40" s="27"/>
      <c r="B40" s="215"/>
      <c r="C40" s="217"/>
      <c r="D40" s="218"/>
      <c r="E40" s="218"/>
      <c r="F40" s="218"/>
      <c r="G40" s="218"/>
      <c r="H40" s="218"/>
      <c r="I40" s="218"/>
      <c r="J40" s="266"/>
      <c r="K40" s="285"/>
      <c r="L40" s="352"/>
    </row>
    <row r="41" spans="1:12" ht="14.25" customHeight="1" x14ac:dyDescent="0.45">
      <c r="A41" s="27"/>
      <c r="B41" s="215"/>
      <c r="C41" s="217"/>
      <c r="D41" s="218"/>
      <c r="E41" s="218"/>
      <c r="F41" s="218"/>
      <c r="G41" s="218"/>
      <c r="H41" s="218"/>
      <c r="I41" s="218"/>
      <c r="J41" s="266"/>
      <c r="K41" s="285"/>
      <c r="L41" s="352"/>
    </row>
    <row r="42" spans="1:12" ht="14.25" customHeight="1" x14ac:dyDescent="0.45">
      <c r="A42" s="27"/>
      <c r="B42" s="215"/>
      <c r="C42" s="217"/>
      <c r="D42" s="218"/>
      <c r="E42" s="218"/>
      <c r="F42" s="218"/>
      <c r="G42" s="218"/>
      <c r="H42" s="218"/>
      <c r="I42" s="218"/>
      <c r="J42" s="266"/>
      <c r="K42" s="285"/>
      <c r="L42" s="352"/>
    </row>
    <row r="43" spans="1:12" ht="14.25" customHeight="1" x14ac:dyDescent="0.45">
      <c r="A43" s="27"/>
      <c r="B43" s="215"/>
      <c r="C43" s="217"/>
      <c r="D43" s="218"/>
      <c r="E43" s="218"/>
      <c r="F43" s="218"/>
      <c r="G43" s="218"/>
      <c r="H43" s="218"/>
      <c r="I43" s="218"/>
      <c r="J43" s="266"/>
      <c r="K43" s="285"/>
      <c r="L43" s="352"/>
    </row>
    <row r="44" spans="1:12" ht="14.25" customHeight="1" x14ac:dyDescent="0.45">
      <c r="A44" s="27"/>
      <c r="B44" s="215"/>
      <c r="C44" s="217"/>
      <c r="D44" s="218"/>
      <c r="E44" s="218"/>
      <c r="F44" s="218"/>
      <c r="G44" s="218"/>
      <c r="H44" s="218"/>
      <c r="I44" s="218"/>
      <c r="J44" s="266"/>
      <c r="K44" s="285"/>
      <c r="L44" s="352"/>
    </row>
    <row r="45" spans="1:12" ht="14.25" customHeight="1" x14ac:dyDescent="0.45">
      <c r="A45" s="27"/>
      <c r="B45" s="215"/>
      <c r="C45" s="217"/>
      <c r="D45" s="218"/>
      <c r="E45" s="218"/>
      <c r="F45" s="218"/>
      <c r="G45" s="218"/>
      <c r="H45" s="218"/>
      <c r="I45" s="218"/>
      <c r="J45" s="266"/>
      <c r="K45" s="285"/>
      <c r="L45" s="352"/>
    </row>
    <row r="46" spans="1:12" ht="14.25" customHeight="1" x14ac:dyDescent="0.45">
      <c r="A46" s="27"/>
      <c r="B46" s="215"/>
      <c r="C46" s="217"/>
      <c r="D46" s="218"/>
      <c r="E46" s="218"/>
      <c r="F46" s="218"/>
      <c r="G46" s="218"/>
      <c r="H46" s="218"/>
      <c r="I46" s="218"/>
      <c r="J46" s="266"/>
      <c r="K46" s="285"/>
      <c r="L46" s="352"/>
    </row>
    <row r="47" spans="1:12" ht="14.25" customHeight="1" x14ac:dyDescent="0.45">
      <c r="A47" s="27"/>
      <c r="B47" s="215"/>
      <c r="C47" s="217"/>
      <c r="D47" s="218"/>
      <c r="E47" s="218"/>
      <c r="F47" s="218"/>
      <c r="G47" s="218"/>
      <c r="H47" s="218"/>
      <c r="I47" s="218"/>
      <c r="J47" s="266"/>
      <c r="K47" s="285"/>
      <c r="L47" s="352"/>
    </row>
    <row r="48" spans="1:12" ht="14.25" customHeight="1" x14ac:dyDescent="0.45">
      <c r="A48" s="27"/>
      <c r="B48" s="215"/>
      <c r="C48" s="217"/>
      <c r="D48" s="218"/>
      <c r="E48" s="218"/>
      <c r="F48" s="218"/>
      <c r="G48" s="218"/>
      <c r="H48" s="218"/>
      <c r="I48" s="218"/>
      <c r="J48" s="266"/>
      <c r="K48" s="285"/>
      <c r="L48" s="352"/>
    </row>
    <row r="49" spans="1:12" ht="14.25" customHeight="1" x14ac:dyDescent="0.45">
      <c r="A49" s="27"/>
      <c r="B49" s="215"/>
      <c r="C49" s="217"/>
      <c r="D49" s="218"/>
      <c r="E49" s="218"/>
      <c r="F49" s="218"/>
      <c r="G49" s="218"/>
      <c r="H49" s="218"/>
      <c r="I49" s="218"/>
      <c r="J49" s="266"/>
      <c r="K49" s="285"/>
      <c r="L49" s="352"/>
    </row>
    <row r="50" spans="1:12" ht="14.25" customHeight="1" x14ac:dyDescent="0.45">
      <c r="A50" s="27"/>
      <c r="B50" s="215"/>
      <c r="C50" s="217"/>
      <c r="D50" s="218"/>
      <c r="E50" s="218"/>
      <c r="F50" s="218"/>
      <c r="G50" s="218"/>
      <c r="H50" s="218"/>
      <c r="I50" s="218"/>
      <c r="J50" s="266"/>
      <c r="K50" s="285"/>
      <c r="L50" s="352"/>
    </row>
    <row r="51" spans="1:12" ht="14.25" customHeight="1" x14ac:dyDescent="0.45">
      <c r="A51" s="27"/>
      <c r="B51" s="215"/>
      <c r="C51" s="217"/>
      <c r="D51" s="218"/>
      <c r="E51" s="218"/>
      <c r="F51" s="218"/>
      <c r="G51" s="218"/>
      <c r="H51" s="218"/>
      <c r="I51" s="218"/>
      <c r="J51" s="266"/>
      <c r="K51" s="285"/>
      <c r="L51" s="352"/>
    </row>
    <row r="52" spans="1:12" ht="14.25" customHeight="1" x14ac:dyDescent="0.45">
      <c r="A52" s="27"/>
      <c r="B52" s="215"/>
      <c r="C52" s="217"/>
      <c r="D52" s="218"/>
      <c r="E52" s="218"/>
      <c r="F52" s="218"/>
      <c r="G52" s="218"/>
      <c r="H52" s="218"/>
      <c r="I52" s="218"/>
      <c r="J52" s="266"/>
      <c r="K52" s="285"/>
      <c r="L52" s="352"/>
    </row>
    <row r="53" spans="1:12" ht="14.25" customHeight="1" x14ac:dyDescent="0.45">
      <c r="A53" s="27"/>
      <c r="B53" s="215"/>
      <c r="C53" s="217"/>
      <c r="D53" s="218"/>
      <c r="E53" s="218"/>
      <c r="F53" s="218"/>
      <c r="G53" s="218"/>
      <c r="H53" s="218"/>
      <c r="I53" s="218"/>
      <c r="J53" s="266"/>
      <c r="K53" s="285"/>
      <c r="L53" s="352"/>
    </row>
    <row r="54" spans="1:12" ht="14.25" customHeight="1" x14ac:dyDescent="0.45">
      <c r="A54" s="27"/>
      <c r="B54" s="215"/>
      <c r="C54" s="217"/>
      <c r="D54" s="218"/>
      <c r="E54" s="218"/>
      <c r="F54" s="218"/>
      <c r="G54" s="218"/>
      <c r="H54" s="218"/>
      <c r="I54" s="218"/>
      <c r="J54" s="266"/>
      <c r="K54" s="285"/>
      <c r="L54" s="352"/>
    </row>
    <row r="55" spans="1:12" ht="14.25" customHeight="1" x14ac:dyDescent="0.45">
      <c r="A55" s="27"/>
      <c r="B55" s="215"/>
      <c r="C55" s="217"/>
      <c r="D55" s="218"/>
      <c r="E55" s="218"/>
      <c r="F55" s="218"/>
      <c r="G55" s="218"/>
      <c r="H55" s="218"/>
      <c r="I55" s="218"/>
      <c r="J55" s="266"/>
      <c r="K55" s="285"/>
      <c r="L55" s="352"/>
    </row>
    <row r="56" spans="1:12" ht="14.25" customHeight="1" x14ac:dyDescent="0.45">
      <c r="A56" s="27"/>
      <c r="B56" s="215"/>
      <c r="C56" s="217"/>
      <c r="D56" s="218"/>
      <c r="E56" s="218"/>
      <c r="F56" s="218"/>
      <c r="G56" s="218"/>
      <c r="H56" s="218"/>
      <c r="I56" s="218"/>
      <c r="J56" s="266"/>
      <c r="K56" s="285"/>
      <c r="L56" s="352"/>
    </row>
    <row r="57" spans="1:12" ht="14.25" customHeight="1" x14ac:dyDescent="0.45">
      <c r="A57" s="27"/>
      <c r="B57" s="215"/>
      <c r="C57" s="217"/>
      <c r="D57" s="218"/>
      <c r="E57" s="218"/>
      <c r="F57" s="218"/>
      <c r="G57" s="218"/>
      <c r="H57" s="218"/>
      <c r="I57" s="218"/>
      <c r="J57" s="266"/>
      <c r="K57" s="285"/>
      <c r="L57" s="352"/>
    </row>
    <row r="58" spans="1:12" ht="14.25" customHeight="1" x14ac:dyDescent="0.45">
      <c r="A58" s="27"/>
      <c r="B58" s="215"/>
      <c r="C58" s="217"/>
      <c r="D58" s="218"/>
      <c r="E58" s="218"/>
      <c r="F58" s="218"/>
      <c r="G58" s="218"/>
      <c r="H58" s="218"/>
      <c r="I58" s="218"/>
      <c r="J58" s="266"/>
      <c r="K58" s="285"/>
      <c r="L58" s="352"/>
    </row>
    <row r="59" spans="1:12" ht="14.25" customHeight="1" x14ac:dyDescent="0.45">
      <c r="A59" s="27"/>
      <c r="B59" s="215"/>
      <c r="C59" s="217"/>
      <c r="D59" s="218"/>
      <c r="E59" s="218"/>
      <c r="F59" s="218"/>
      <c r="G59" s="218"/>
      <c r="H59" s="218"/>
      <c r="I59" s="218"/>
      <c r="J59" s="266"/>
      <c r="K59" s="285"/>
      <c r="L59" s="352"/>
    </row>
    <row r="60" spans="1:12" ht="14.25" customHeight="1" x14ac:dyDescent="0.45">
      <c r="A60" s="27"/>
      <c r="B60" s="215"/>
      <c r="C60" s="217"/>
      <c r="D60" s="218"/>
      <c r="E60" s="218"/>
      <c r="F60" s="218"/>
      <c r="G60" s="218"/>
      <c r="H60" s="218"/>
      <c r="I60" s="218"/>
      <c r="J60" s="266"/>
      <c r="K60" s="285"/>
      <c r="L60" s="352"/>
    </row>
    <row r="61" spans="1:12" ht="14.25" customHeight="1" x14ac:dyDescent="0.45">
      <c r="A61" s="27"/>
      <c r="B61" s="215"/>
      <c r="C61" s="217"/>
      <c r="D61" s="218"/>
      <c r="E61" s="218"/>
      <c r="F61" s="218"/>
      <c r="G61" s="218"/>
      <c r="H61" s="218"/>
      <c r="I61" s="218"/>
      <c r="J61" s="266"/>
      <c r="K61" s="285"/>
      <c r="L61" s="352"/>
    </row>
    <row r="62" spans="1:12" ht="14.25" customHeight="1" x14ac:dyDescent="0.45">
      <c r="A62" s="27"/>
      <c r="B62" s="215"/>
      <c r="C62" s="217"/>
      <c r="D62" s="218"/>
      <c r="E62" s="218"/>
      <c r="F62" s="218"/>
      <c r="G62" s="218"/>
      <c r="H62" s="218"/>
      <c r="I62" s="218"/>
      <c r="J62" s="266"/>
      <c r="K62" s="285"/>
      <c r="L62" s="352"/>
    </row>
    <row r="63" spans="1:12" ht="14.25" customHeight="1" x14ac:dyDescent="0.45">
      <c r="A63" s="27"/>
      <c r="B63" s="215"/>
      <c r="C63" s="217"/>
      <c r="D63" s="218"/>
      <c r="E63" s="218"/>
      <c r="F63" s="218"/>
      <c r="G63" s="218"/>
      <c r="H63" s="218"/>
      <c r="I63" s="218"/>
      <c r="J63" s="266"/>
      <c r="K63" s="285"/>
      <c r="L63" s="352"/>
    </row>
    <row r="64" spans="1:12" ht="14.25" customHeight="1" x14ac:dyDescent="0.45">
      <c r="A64" s="27"/>
      <c r="B64" s="215"/>
      <c r="C64" s="217"/>
      <c r="D64" s="218"/>
      <c r="E64" s="218"/>
      <c r="F64" s="218"/>
      <c r="G64" s="218"/>
      <c r="H64" s="218"/>
      <c r="I64" s="218"/>
      <c r="J64" s="266"/>
      <c r="K64" s="285"/>
      <c r="L64" s="352"/>
    </row>
    <row r="65" spans="1:12" ht="14.25" customHeight="1" x14ac:dyDescent="0.45">
      <c r="A65" s="27"/>
      <c r="B65" s="215"/>
      <c r="C65" s="217"/>
      <c r="D65" s="218"/>
      <c r="E65" s="218"/>
      <c r="F65" s="218"/>
      <c r="G65" s="218"/>
      <c r="H65" s="218"/>
      <c r="I65" s="218"/>
      <c r="J65" s="266"/>
      <c r="K65" s="285"/>
      <c r="L65" s="352"/>
    </row>
    <row r="66" spans="1:12" ht="14.25" customHeight="1" x14ac:dyDescent="0.45">
      <c r="A66" s="27"/>
      <c r="B66" s="215"/>
      <c r="C66" s="217"/>
      <c r="D66" s="218"/>
      <c r="E66" s="218"/>
      <c r="F66" s="218"/>
      <c r="G66" s="218"/>
      <c r="H66" s="218"/>
      <c r="I66" s="218"/>
      <c r="J66" s="266"/>
      <c r="K66" s="285"/>
      <c r="L66" s="352"/>
    </row>
    <row r="67" spans="1:12" ht="14.25" customHeight="1" x14ac:dyDescent="0.45">
      <c r="A67" s="27"/>
      <c r="B67" s="215"/>
      <c r="C67" s="217"/>
      <c r="D67" s="218"/>
      <c r="E67" s="218"/>
      <c r="F67" s="218"/>
      <c r="G67" s="218"/>
      <c r="H67" s="218"/>
      <c r="I67" s="218"/>
      <c r="J67" s="266"/>
      <c r="K67" s="285"/>
      <c r="L67" s="352"/>
    </row>
    <row r="68" spans="1:12" ht="14.25" customHeight="1" x14ac:dyDescent="0.45">
      <c r="A68" s="27"/>
      <c r="B68" s="215"/>
      <c r="C68" s="217"/>
      <c r="D68" s="218"/>
      <c r="E68" s="218"/>
      <c r="F68" s="218"/>
      <c r="G68" s="218"/>
      <c r="H68" s="218"/>
      <c r="I68" s="218"/>
      <c r="J68" s="266"/>
      <c r="K68" s="285"/>
      <c r="L68" s="352"/>
    </row>
    <row r="69" spans="1:12" ht="14.25" customHeight="1" x14ac:dyDescent="0.45">
      <c r="A69" s="27"/>
      <c r="B69" s="215"/>
      <c r="C69" s="217"/>
      <c r="D69" s="218"/>
      <c r="E69" s="218"/>
      <c r="F69" s="218"/>
      <c r="G69" s="218"/>
      <c r="H69" s="218"/>
      <c r="I69" s="218"/>
      <c r="J69" s="266"/>
      <c r="K69" s="285"/>
      <c r="L69" s="352"/>
    </row>
    <row r="70" spans="1:12" ht="14.25" customHeight="1" x14ac:dyDescent="0.45">
      <c r="A70" s="27"/>
      <c r="B70" s="215"/>
      <c r="C70" s="217"/>
      <c r="D70" s="218"/>
      <c r="E70" s="218"/>
      <c r="F70" s="218"/>
      <c r="G70" s="218"/>
      <c r="H70" s="218"/>
      <c r="I70" s="218"/>
      <c r="J70" s="266"/>
      <c r="K70" s="285"/>
      <c r="L70" s="352"/>
    </row>
    <row r="71" spans="1:12" ht="14.25" customHeight="1" x14ac:dyDescent="0.45">
      <c r="A71" s="27"/>
      <c r="B71" s="215"/>
      <c r="C71" s="217"/>
      <c r="D71" s="218"/>
      <c r="E71" s="218"/>
      <c r="F71" s="218"/>
      <c r="G71" s="218"/>
      <c r="H71" s="218"/>
      <c r="I71" s="218"/>
      <c r="J71" s="266"/>
      <c r="K71" s="285"/>
      <c r="L71" s="352"/>
    </row>
    <row r="72" spans="1:12" ht="14.25" customHeight="1" x14ac:dyDescent="0.45">
      <c r="A72" s="27"/>
      <c r="B72" s="215"/>
      <c r="C72" s="217"/>
      <c r="D72" s="218"/>
      <c r="E72" s="218"/>
      <c r="F72" s="218"/>
      <c r="G72" s="218"/>
      <c r="H72" s="218"/>
      <c r="I72" s="218"/>
      <c r="J72" s="266"/>
      <c r="K72" s="285"/>
      <c r="L72" s="352"/>
    </row>
    <row r="73" spans="1:12" ht="14.25" customHeight="1" x14ac:dyDescent="0.45">
      <c r="A73" s="27"/>
      <c r="B73" s="215"/>
      <c r="C73" s="217"/>
      <c r="D73" s="218"/>
      <c r="E73" s="218"/>
      <c r="F73" s="218"/>
      <c r="G73" s="218"/>
      <c r="H73" s="218"/>
      <c r="I73" s="218"/>
      <c r="J73" s="266"/>
      <c r="K73" s="285"/>
      <c r="L73" s="352"/>
    </row>
    <row r="74" spans="1:12" ht="14.25" customHeight="1" x14ac:dyDescent="0.45">
      <c r="A74" s="27"/>
      <c r="B74" s="215"/>
      <c r="C74" s="217"/>
      <c r="D74" s="218"/>
      <c r="E74" s="218"/>
      <c r="F74" s="218"/>
      <c r="G74" s="218"/>
      <c r="H74" s="218"/>
      <c r="I74" s="218"/>
      <c r="J74" s="266"/>
      <c r="K74" s="285"/>
      <c r="L74" s="352"/>
    </row>
    <row r="75" spans="1:12" ht="14.25" customHeight="1" x14ac:dyDescent="0.45">
      <c r="A75" s="27"/>
      <c r="B75" s="215"/>
      <c r="C75" s="217"/>
      <c r="D75" s="218"/>
      <c r="E75" s="218"/>
      <c r="F75" s="218"/>
      <c r="G75" s="218"/>
      <c r="H75" s="218"/>
      <c r="I75" s="218"/>
      <c r="J75" s="266"/>
      <c r="K75" s="285"/>
      <c r="L75" s="352"/>
    </row>
    <row r="76" spans="1:12" ht="14.25" customHeight="1" x14ac:dyDescent="0.45">
      <c r="A76" s="27"/>
      <c r="B76" s="215"/>
      <c r="C76" s="217"/>
      <c r="D76" s="218"/>
      <c r="E76" s="218"/>
      <c r="F76" s="218"/>
      <c r="G76" s="218"/>
      <c r="H76" s="218"/>
      <c r="I76" s="218"/>
      <c r="J76" s="266"/>
      <c r="K76" s="285"/>
      <c r="L76" s="352"/>
    </row>
    <row r="77" spans="1:12" ht="14.25" customHeight="1" x14ac:dyDescent="0.45">
      <c r="A77" s="27"/>
      <c r="B77" s="215"/>
      <c r="C77" s="217"/>
      <c r="D77" s="218"/>
      <c r="E77" s="218"/>
      <c r="F77" s="218"/>
      <c r="G77" s="218"/>
      <c r="H77" s="218"/>
      <c r="I77" s="218"/>
      <c r="J77" s="266"/>
      <c r="K77" s="285"/>
      <c r="L77" s="352"/>
    </row>
    <row r="78" spans="1:12" ht="14.25" customHeight="1" x14ac:dyDescent="0.45">
      <c r="A78" s="27"/>
      <c r="B78" s="215"/>
      <c r="C78" s="217"/>
      <c r="D78" s="218"/>
      <c r="E78" s="218"/>
      <c r="F78" s="218"/>
      <c r="G78" s="218"/>
      <c r="H78" s="218"/>
      <c r="I78" s="218"/>
      <c r="J78" s="266"/>
      <c r="K78" s="285"/>
      <c r="L78" s="352"/>
    </row>
    <row r="79" spans="1:12" ht="14.25" customHeight="1" x14ac:dyDescent="0.45">
      <c r="A79" s="27"/>
      <c r="B79" s="215"/>
      <c r="C79" s="217"/>
      <c r="D79" s="218"/>
      <c r="E79" s="218"/>
      <c r="F79" s="218"/>
      <c r="G79" s="218"/>
      <c r="H79" s="218"/>
      <c r="I79" s="218"/>
      <c r="J79" s="266"/>
      <c r="K79" s="285"/>
      <c r="L79" s="352"/>
    </row>
    <row r="80" spans="1:12" ht="14.25" customHeight="1" x14ac:dyDescent="0.45">
      <c r="A80" s="27"/>
      <c r="B80" s="215"/>
      <c r="C80" s="217"/>
      <c r="D80" s="218"/>
      <c r="E80" s="218"/>
      <c r="F80" s="218"/>
      <c r="G80" s="218"/>
      <c r="H80" s="218"/>
      <c r="I80" s="218"/>
      <c r="J80" s="266"/>
      <c r="K80" s="285"/>
      <c r="L80" s="352"/>
    </row>
    <row r="81" spans="1:12" ht="14.25" customHeight="1" x14ac:dyDescent="0.45">
      <c r="A81" s="27"/>
      <c r="B81" s="215"/>
      <c r="C81" s="217"/>
      <c r="D81" s="218"/>
      <c r="E81" s="218"/>
      <c r="F81" s="218"/>
      <c r="G81" s="218"/>
      <c r="H81" s="218"/>
      <c r="I81" s="218"/>
      <c r="J81" s="266"/>
      <c r="K81" s="285"/>
      <c r="L81" s="352"/>
    </row>
    <row r="82" spans="1:12" ht="14.25" customHeight="1" x14ac:dyDescent="0.45">
      <c r="A82" s="27"/>
      <c r="B82" s="215"/>
      <c r="C82" s="217"/>
      <c r="D82" s="218"/>
      <c r="E82" s="218"/>
      <c r="F82" s="218"/>
      <c r="G82" s="218"/>
      <c r="H82" s="218"/>
      <c r="I82" s="218"/>
      <c r="J82" s="266"/>
      <c r="K82" s="285"/>
      <c r="L82" s="352"/>
    </row>
    <row r="83" spans="1:12" ht="14.25" customHeight="1" x14ac:dyDescent="0.45">
      <c r="A83" s="27"/>
      <c r="B83" s="215"/>
      <c r="C83" s="217"/>
      <c r="D83" s="218"/>
      <c r="E83" s="218"/>
      <c r="F83" s="218"/>
      <c r="G83" s="218"/>
      <c r="H83" s="218"/>
      <c r="I83" s="218"/>
      <c r="J83" s="266"/>
      <c r="K83" s="285"/>
      <c r="L83" s="352"/>
    </row>
    <row r="84" spans="1:12" ht="14.25" customHeight="1" x14ac:dyDescent="0.45">
      <c r="A84" s="27"/>
      <c r="B84" s="215"/>
      <c r="C84" s="217"/>
      <c r="D84" s="218"/>
      <c r="E84" s="218"/>
      <c r="F84" s="218"/>
      <c r="G84" s="218"/>
      <c r="H84" s="218"/>
      <c r="I84" s="218"/>
      <c r="J84" s="266"/>
      <c r="K84" s="285"/>
      <c r="L84" s="352"/>
    </row>
    <row r="85" spans="1:12" ht="14.25" customHeight="1" x14ac:dyDescent="0.45">
      <c r="A85" s="27"/>
      <c r="B85" s="215"/>
      <c r="C85" s="217"/>
      <c r="D85" s="218"/>
      <c r="E85" s="218"/>
      <c r="F85" s="218"/>
      <c r="G85" s="218"/>
      <c r="H85" s="218"/>
      <c r="I85" s="218"/>
      <c r="J85" s="266"/>
      <c r="K85" s="285"/>
      <c r="L85" s="352"/>
    </row>
    <row r="86" spans="1:12" ht="14.25" customHeight="1" x14ac:dyDescent="0.45">
      <c r="A86" s="27"/>
      <c r="B86" s="215"/>
      <c r="C86" s="217"/>
      <c r="D86" s="218"/>
      <c r="E86" s="218"/>
      <c r="F86" s="218"/>
      <c r="G86" s="218"/>
      <c r="H86" s="218"/>
      <c r="I86" s="218"/>
      <c r="J86" s="266"/>
      <c r="K86" s="285"/>
      <c r="L86" s="352"/>
    </row>
    <row r="87" spans="1:12" ht="14.25" customHeight="1" x14ac:dyDescent="0.45">
      <c r="A87" s="27"/>
      <c r="B87" s="215"/>
      <c r="C87" s="217"/>
      <c r="D87" s="218"/>
      <c r="E87" s="218"/>
      <c r="F87" s="218"/>
      <c r="G87" s="218"/>
      <c r="H87" s="218"/>
      <c r="I87" s="218"/>
      <c r="J87" s="266"/>
      <c r="K87" s="285"/>
      <c r="L87" s="352"/>
    </row>
    <row r="88" spans="1:12" ht="14.25" customHeight="1" x14ac:dyDescent="0.45">
      <c r="A88" s="27"/>
      <c r="B88" s="215"/>
      <c r="C88" s="217"/>
      <c r="D88" s="218"/>
      <c r="E88" s="218"/>
      <c r="F88" s="218"/>
      <c r="G88" s="218"/>
      <c r="H88" s="218"/>
      <c r="I88" s="218"/>
      <c r="J88" s="266"/>
      <c r="K88" s="285"/>
      <c r="L88" s="352"/>
    </row>
    <row r="89" spans="1:12" ht="14.25" customHeight="1" x14ac:dyDescent="0.45">
      <c r="A89" s="27"/>
      <c r="B89" s="215"/>
      <c r="C89" s="217"/>
      <c r="D89" s="218"/>
      <c r="E89" s="218"/>
      <c r="F89" s="218"/>
      <c r="G89" s="218"/>
      <c r="H89" s="218"/>
      <c r="I89" s="218"/>
      <c r="J89" s="266"/>
      <c r="K89" s="285"/>
      <c r="L89" s="352"/>
    </row>
    <row r="90" spans="1:12" ht="14.25" customHeight="1" x14ac:dyDescent="0.45">
      <c r="A90" s="27"/>
      <c r="B90" s="215"/>
      <c r="C90" s="217"/>
      <c r="D90" s="218"/>
      <c r="E90" s="218"/>
      <c r="F90" s="218"/>
      <c r="G90" s="218"/>
      <c r="H90" s="218"/>
      <c r="I90" s="218"/>
      <c r="J90" s="266"/>
      <c r="K90" s="285"/>
      <c r="L90" s="352"/>
    </row>
    <row r="91" spans="1:12" ht="14.25" customHeight="1" x14ac:dyDescent="0.45">
      <c r="A91" s="27"/>
      <c r="B91" s="215"/>
      <c r="C91" s="217"/>
      <c r="D91" s="218"/>
      <c r="E91" s="218"/>
      <c r="F91" s="218"/>
      <c r="G91" s="218"/>
      <c r="H91" s="218"/>
      <c r="I91" s="218"/>
      <c r="J91" s="266"/>
      <c r="K91" s="285"/>
      <c r="L91" s="352"/>
    </row>
    <row r="92" spans="1:12" ht="14.25" customHeight="1" x14ac:dyDescent="0.45">
      <c r="A92" s="27"/>
      <c r="B92" s="215"/>
      <c r="C92" s="217"/>
      <c r="D92" s="218"/>
      <c r="E92" s="218"/>
      <c r="F92" s="218"/>
      <c r="G92" s="218"/>
      <c r="H92" s="218"/>
      <c r="I92" s="218"/>
      <c r="J92" s="266"/>
      <c r="K92" s="285"/>
      <c r="L92" s="352"/>
    </row>
    <row r="93" spans="1:12" ht="14.25" customHeight="1" x14ac:dyDescent="0.45">
      <c r="A93" s="27"/>
      <c r="B93" s="215"/>
      <c r="C93" s="217"/>
      <c r="D93" s="218"/>
      <c r="E93" s="218"/>
      <c r="F93" s="218"/>
      <c r="G93" s="218"/>
      <c r="H93" s="218"/>
      <c r="I93" s="218"/>
      <c r="J93" s="266"/>
      <c r="K93" s="285"/>
      <c r="L93" s="352"/>
    </row>
    <row r="94" spans="1:12" ht="14.25" customHeight="1" x14ac:dyDescent="0.45">
      <c r="A94" s="27"/>
      <c r="B94" s="215"/>
      <c r="C94" s="217"/>
      <c r="D94" s="218"/>
      <c r="E94" s="218"/>
      <c r="F94" s="218"/>
      <c r="G94" s="218"/>
      <c r="H94" s="218"/>
      <c r="I94" s="218"/>
      <c r="J94" s="266"/>
      <c r="K94" s="285"/>
      <c r="L94" s="352"/>
    </row>
    <row r="95" spans="1:12" ht="14.25" customHeight="1" x14ac:dyDescent="0.45">
      <c r="A95" s="27"/>
      <c r="B95" s="215"/>
      <c r="C95" s="217"/>
      <c r="D95" s="218"/>
      <c r="E95" s="218"/>
      <c r="F95" s="218"/>
      <c r="G95" s="218"/>
      <c r="H95" s="218"/>
      <c r="I95" s="218"/>
      <c r="J95" s="266"/>
      <c r="K95" s="285"/>
      <c r="L95" s="352"/>
    </row>
    <row r="96" spans="1:12" ht="14.25" customHeight="1" x14ac:dyDescent="0.45">
      <c r="A96" s="27"/>
      <c r="B96" s="215"/>
      <c r="C96" s="217"/>
      <c r="D96" s="218"/>
      <c r="E96" s="218"/>
      <c r="F96" s="218"/>
      <c r="G96" s="218"/>
      <c r="H96" s="218"/>
      <c r="I96" s="218"/>
      <c r="J96" s="266"/>
      <c r="K96" s="285"/>
      <c r="L96" s="352"/>
    </row>
    <row r="97" spans="1:12" ht="14.25" customHeight="1" x14ac:dyDescent="0.45">
      <c r="A97" s="27"/>
      <c r="B97" s="215"/>
      <c r="C97" s="217"/>
      <c r="D97" s="218"/>
      <c r="E97" s="218"/>
      <c r="F97" s="218"/>
      <c r="G97" s="218"/>
      <c r="H97" s="218"/>
      <c r="I97" s="218"/>
      <c r="J97" s="266"/>
      <c r="K97" s="285"/>
      <c r="L97" s="352"/>
    </row>
    <row r="98" spans="1:12" ht="14.25" customHeight="1" x14ac:dyDescent="0.45">
      <c r="A98" s="27"/>
      <c r="B98" s="215"/>
      <c r="C98" s="217"/>
      <c r="D98" s="218"/>
      <c r="E98" s="218"/>
      <c r="F98" s="218"/>
      <c r="G98" s="218"/>
      <c r="H98" s="218"/>
      <c r="I98" s="218"/>
      <c r="J98" s="266"/>
      <c r="K98" s="285"/>
      <c r="L98" s="352"/>
    </row>
    <row r="99" spans="1:12" ht="14.25" customHeight="1" x14ac:dyDescent="0.45">
      <c r="A99" s="27"/>
      <c r="B99" s="215"/>
      <c r="C99" s="217"/>
      <c r="D99" s="218"/>
      <c r="E99" s="218"/>
      <c r="F99" s="218"/>
      <c r="G99" s="218"/>
      <c r="H99" s="218"/>
      <c r="I99" s="218"/>
      <c r="J99" s="266"/>
      <c r="K99" s="285"/>
      <c r="L99" s="352"/>
    </row>
    <row r="100" spans="1:12" ht="14.25" customHeight="1" x14ac:dyDescent="0.45">
      <c r="A100" s="27"/>
      <c r="B100" s="215"/>
      <c r="C100" s="217"/>
      <c r="D100" s="218"/>
      <c r="E100" s="218"/>
      <c r="F100" s="218"/>
      <c r="G100" s="218"/>
      <c r="H100" s="218"/>
      <c r="I100" s="218"/>
      <c r="J100" s="266"/>
      <c r="K100" s="285"/>
      <c r="L100" s="352"/>
    </row>
    <row r="101" spans="1:12" ht="14.25" customHeight="1" x14ac:dyDescent="0.45">
      <c r="A101" s="27"/>
      <c r="B101" s="215"/>
      <c r="C101" s="217"/>
      <c r="D101" s="218"/>
      <c r="E101" s="218"/>
      <c r="F101" s="218"/>
      <c r="G101" s="218"/>
      <c r="H101" s="218"/>
      <c r="I101" s="218"/>
      <c r="J101" s="266"/>
      <c r="K101" s="285"/>
      <c r="L101" s="352"/>
    </row>
    <row r="102" spans="1:12" ht="14.25" customHeight="1" x14ac:dyDescent="0.45">
      <c r="A102" s="27"/>
      <c r="B102" s="215"/>
      <c r="C102" s="217"/>
      <c r="D102" s="218"/>
      <c r="E102" s="218"/>
      <c r="F102" s="218"/>
      <c r="G102" s="218"/>
      <c r="H102" s="218"/>
      <c r="I102" s="218"/>
      <c r="J102" s="266"/>
      <c r="K102" s="285"/>
      <c r="L102" s="352"/>
    </row>
    <row r="103" spans="1:12" ht="14.25" customHeight="1" x14ac:dyDescent="0.45">
      <c r="A103" s="27"/>
      <c r="B103" s="215"/>
      <c r="C103" s="217"/>
      <c r="D103" s="218"/>
      <c r="E103" s="218"/>
      <c r="F103" s="218"/>
      <c r="G103" s="218"/>
      <c r="H103" s="218"/>
      <c r="I103" s="218"/>
      <c r="J103" s="266"/>
      <c r="K103" s="285"/>
      <c r="L103" s="352"/>
    </row>
    <row r="104" spans="1:12" ht="14.25" customHeight="1" x14ac:dyDescent="0.45">
      <c r="A104" s="27"/>
      <c r="B104" s="215"/>
      <c r="C104" s="217"/>
      <c r="D104" s="218"/>
      <c r="E104" s="218"/>
      <c r="F104" s="218"/>
      <c r="G104" s="218"/>
      <c r="H104" s="218"/>
      <c r="I104" s="218"/>
      <c r="J104" s="266"/>
      <c r="K104" s="285"/>
      <c r="L104" s="352"/>
    </row>
    <row r="105" spans="1:12" ht="14.25" customHeight="1" x14ac:dyDescent="0.45">
      <c r="A105" s="27"/>
      <c r="B105" s="215"/>
      <c r="C105" s="217"/>
      <c r="D105" s="218"/>
      <c r="E105" s="218"/>
      <c r="F105" s="218"/>
      <c r="G105" s="218"/>
      <c r="H105" s="218"/>
      <c r="I105" s="218"/>
      <c r="J105" s="266"/>
      <c r="K105" s="285"/>
      <c r="L105" s="352"/>
    </row>
    <row r="106" spans="1:12" ht="14.25" customHeight="1" x14ac:dyDescent="0.45">
      <c r="A106" s="27"/>
      <c r="B106" s="215"/>
      <c r="C106" s="217"/>
      <c r="D106" s="218"/>
      <c r="E106" s="218"/>
      <c r="F106" s="218"/>
      <c r="G106" s="218"/>
      <c r="H106" s="218"/>
      <c r="I106" s="218"/>
      <c r="J106" s="266"/>
      <c r="K106" s="285"/>
      <c r="L106" s="352"/>
    </row>
    <row r="107" spans="1:12" ht="14.25" customHeight="1" x14ac:dyDescent="0.45">
      <c r="A107" s="27"/>
      <c r="B107" s="215"/>
      <c r="C107" s="217"/>
      <c r="D107" s="218"/>
      <c r="E107" s="218"/>
      <c r="F107" s="218"/>
      <c r="G107" s="218"/>
      <c r="H107" s="218"/>
      <c r="I107" s="218"/>
      <c r="J107" s="266"/>
      <c r="K107" s="285"/>
      <c r="L107" s="352"/>
    </row>
    <row r="108" spans="1:12" ht="14.25" customHeight="1" x14ac:dyDescent="0.45">
      <c r="A108" s="27"/>
      <c r="B108" s="215"/>
      <c r="C108" s="217"/>
      <c r="D108" s="218"/>
      <c r="E108" s="218"/>
      <c r="F108" s="218"/>
      <c r="G108" s="218"/>
      <c r="H108" s="218"/>
      <c r="I108" s="218"/>
      <c r="J108" s="266"/>
      <c r="K108" s="285"/>
      <c r="L108" s="352"/>
    </row>
    <row r="109" spans="1:12" ht="14.25" customHeight="1" x14ac:dyDescent="0.45">
      <c r="A109" s="27"/>
      <c r="B109" s="215"/>
      <c r="C109" s="217"/>
      <c r="D109" s="218"/>
      <c r="E109" s="218"/>
      <c r="F109" s="218"/>
      <c r="G109" s="218"/>
      <c r="H109" s="218"/>
      <c r="I109" s="218"/>
      <c r="J109" s="266"/>
      <c r="K109" s="285"/>
      <c r="L109" s="352"/>
    </row>
    <row r="110" spans="1:12" ht="14.25" customHeight="1" x14ac:dyDescent="0.45">
      <c r="A110" s="27"/>
      <c r="B110" s="215"/>
      <c r="C110" s="217"/>
      <c r="D110" s="218"/>
      <c r="E110" s="218"/>
      <c r="F110" s="218"/>
      <c r="G110" s="218"/>
      <c r="H110" s="218"/>
      <c r="I110" s="218"/>
      <c r="J110" s="266"/>
      <c r="K110" s="285"/>
      <c r="L110" s="352"/>
    </row>
    <row r="111" spans="1:12" ht="14.25" customHeight="1" x14ac:dyDescent="0.45">
      <c r="A111" s="27"/>
      <c r="B111" s="215"/>
      <c r="C111" s="217"/>
      <c r="D111" s="218"/>
      <c r="E111" s="218"/>
      <c r="F111" s="218"/>
      <c r="G111" s="218"/>
      <c r="H111" s="218"/>
      <c r="I111" s="218"/>
      <c r="J111" s="266"/>
      <c r="K111" s="285"/>
      <c r="L111" s="352"/>
    </row>
    <row r="112" spans="1:12" ht="14.25" customHeight="1" x14ac:dyDescent="0.45">
      <c r="A112" s="27"/>
      <c r="B112" s="215"/>
      <c r="C112" s="217"/>
      <c r="D112" s="218"/>
      <c r="E112" s="218"/>
      <c r="F112" s="218"/>
      <c r="G112" s="218"/>
      <c r="H112" s="218"/>
      <c r="I112" s="218"/>
      <c r="J112" s="266"/>
      <c r="K112" s="285"/>
      <c r="L112" s="352"/>
    </row>
    <row r="113" spans="1:12" ht="14.25" customHeight="1" x14ac:dyDescent="0.45">
      <c r="A113" s="27"/>
      <c r="B113" s="215"/>
      <c r="C113" s="217"/>
      <c r="D113" s="218"/>
      <c r="E113" s="218"/>
      <c r="F113" s="218"/>
      <c r="G113" s="218"/>
      <c r="H113" s="218"/>
      <c r="I113" s="218"/>
      <c r="J113" s="266"/>
      <c r="K113" s="285"/>
      <c r="L113" s="352"/>
    </row>
    <row r="114" spans="1:12" ht="14.25" customHeight="1" x14ac:dyDescent="0.45">
      <c r="A114" s="27"/>
      <c r="B114" s="215"/>
      <c r="C114" s="217"/>
      <c r="D114" s="218"/>
      <c r="E114" s="218"/>
      <c r="F114" s="218"/>
      <c r="G114" s="218"/>
      <c r="H114" s="218"/>
      <c r="I114" s="218"/>
      <c r="J114" s="266"/>
      <c r="K114" s="285"/>
      <c r="L114" s="352"/>
    </row>
    <row r="115" spans="1:12" ht="14.25" customHeight="1" x14ac:dyDescent="0.45">
      <c r="A115" s="27"/>
      <c r="B115" s="215"/>
      <c r="C115" s="217"/>
      <c r="D115" s="218"/>
      <c r="E115" s="218"/>
      <c r="F115" s="218"/>
      <c r="G115" s="218"/>
      <c r="H115" s="218"/>
      <c r="I115" s="218"/>
      <c r="J115" s="266"/>
      <c r="K115" s="285"/>
      <c r="L115" s="352"/>
    </row>
    <row r="116" spans="1:12" ht="14.25" customHeight="1" x14ac:dyDescent="0.45">
      <c r="A116" s="27"/>
      <c r="B116" s="215"/>
      <c r="C116" s="217"/>
      <c r="D116" s="218"/>
      <c r="E116" s="218"/>
      <c r="F116" s="218"/>
      <c r="G116" s="218"/>
      <c r="H116" s="218"/>
      <c r="I116" s="218"/>
      <c r="J116" s="266"/>
      <c r="K116" s="285"/>
      <c r="L116" s="352"/>
    </row>
    <row r="117" spans="1:12" ht="14.25" customHeight="1" x14ac:dyDescent="0.45">
      <c r="A117" s="27"/>
      <c r="B117" s="215"/>
      <c r="C117" s="217"/>
      <c r="D117" s="218"/>
      <c r="E117" s="218"/>
      <c r="F117" s="218"/>
      <c r="G117" s="218"/>
      <c r="H117" s="218"/>
      <c r="I117" s="218"/>
      <c r="J117" s="266"/>
      <c r="K117" s="285"/>
      <c r="L117" s="352"/>
    </row>
    <row r="118" spans="1:12" ht="14.25" customHeight="1" x14ac:dyDescent="0.45">
      <c r="A118" s="27"/>
      <c r="B118" s="215"/>
      <c r="C118" s="217"/>
      <c r="D118" s="218"/>
      <c r="E118" s="218"/>
      <c r="F118" s="218"/>
      <c r="G118" s="218"/>
      <c r="H118" s="218"/>
      <c r="I118" s="218"/>
      <c r="J118" s="266"/>
      <c r="K118" s="285"/>
      <c r="L118" s="352"/>
    </row>
    <row r="119" spans="1:12" ht="14.25" customHeight="1" x14ac:dyDescent="0.45">
      <c r="A119" s="27"/>
      <c r="B119" s="215"/>
      <c r="C119" s="217"/>
      <c r="D119" s="218"/>
      <c r="E119" s="218"/>
      <c r="F119" s="218"/>
      <c r="G119" s="218"/>
      <c r="H119" s="218"/>
      <c r="I119" s="218"/>
      <c r="J119" s="266"/>
      <c r="K119" s="285"/>
      <c r="L119" s="352"/>
    </row>
    <row r="120" spans="1:12" ht="14.25" customHeight="1" x14ac:dyDescent="0.45">
      <c r="A120" s="27"/>
      <c r="B120" s="215"/>
      <c r="C120" s="217"/>
      <c r="D120" s="218"/>
      <c r="E120" s="218"/>
      <c r="F120" s="218"/>
      <c r="G120" s="218"/>
      <c r="H120" s="218"/>
      <c r="I120" s="218"/>
      <c r="J120" s="266"/>
      <c r="K120" s="285"/>
      <c r="L120" s="352"/>
    </row>
    <row r="121" spans="1:12" ht="14.25" customHeight="1" x14ac:dyDescent="0.45">
      <c r="A121" s="27"/>
      <c r="B121" s="215"/>
      <c r="C121" s="217"/>
      <c r="D121" s="218"/>
      <c r="E121" s="218"/>
      <c r="F121" s="218"/>
      <c r="G121" s="218"/>
      <c r="H121" s="218"/>
      <c r="I121" s="218"/>
      <c r="J121" s="266"/>
      <c r="K121" s="285"/>
      <c r="L121" s="352"/>
    </row>
    <row r="122" spans="1:12" ht="14.25" customHeight="1" x14ac:dyDescent="0.45">
      <c r="A122" s="27"/>
      <c r="B122" s="215"/>
      <c r="C122" s="217"/>
      <c r="D122" s="218"/>
      <c r="E122" s="218"/>
      <c r="F122" s="218"/>
      <c r="G122" s="218"/>
      <c r="H122" s="218"/>
      <c r="I122" s="218"/>
      <c r="J122" s="266"/>
      <c r="K122" s="285"/>
      <c r="L122" s="352"/>
    </row>
    <row r="123" spans="1:12" ht="14.25" customHeight="1" x14ac:dyDescent="0.45">
      <c r="A123" s="27"/>
      <c r="B123" s="215"/>
      <c r="C123" s="217"/>
      <c r="D123" s="218"/>
      <c r="E123" s="218"/>
      <c r="F123" s="218"/>
      <c r="G123" s="218"/>
      <c r="H123" s="218"/>
      <c r="I123" s="218"/>
      <c r="J123" s="266"/>
      <c r="K123" s="285"/>
      <c r="L123" s="352"/>
    </row>
    <row r="124" spans="1:12" ht="14.25" customHeight="1" x14ac:dyDescent="0.45">
      <c r="A124" s="27"/>
      <c r="B124" s="215"/>
      <c r="C124" s="217"/>
      <c r="D124" s="218"/>
      <c r="E124" s="218"/>
      <c r="F124" s="218"/>
      <c r="G124" s="218"/>
      <c r="H124" s="218"/>
      <c r="I124" s="218"/>
      <c r="J124" s="266"/>
      <c r="K124" s="285"/>
      <c r="L124" s="352"/>
    </row>
    <row r="125" spans="1:12" ht="14.25" customHeight="1" x14ac:dyDescent="0.45">
      <c r="A125" s="27"/>
      <c r="B125" s="215"/>
      <c r="C125" s="217"/>
      <c r="D125" s="218"/>
      <c r="E125" s="218"/>
      <c r="F125" s="218"/>
      <c r="G125" s="218"/>
      <c r="H125" s="218"/>
      <c r="I125" s="218"/>
      <c r="J125" s="266"/>
      <c r="K125" s="285"/>
      <c r="L125" s="352"/>
    </row>
    <row r="126" spans="1:12" ht="14.25" customHeight="1" x14ac:dyDescent="0.45">
      <c r="A126" s="27"/>
      <c r="B126" s="215"/>
      <c r="C126" s="217"/>
      <c r="D126" s="218"/>
      <c r="E126" s="218"/>
      <c r="F126" s="218"/>
      <c r="G126" s="218"/>
      <c r="H126" s="218"/>
      <c r="I126" s="218"/>
      <c r="J126" s="266"/>
      <c r="K126" s="285"/>
      <c r="L126" s="352"/>
    </row>
    <row r="127" spans="1:12" ht="14.25" customHeight="1" x14ac:dyDescent="0.45">
      <c r="A127" s="27"/>
      <c r="B127" s="215"/>
      <c r="C127" s="217"/>
      <c r="D127" s="218"/>
      <c r="E127" s="218"/>
      <c r="F127" s="218"/>
      <c r="G127" s="218"/>
      <c r="H127" s="218"/>
      <c r="I127" s="218"/>
      <c r="J127" s="266"/>
      <c r="K127" s="285"/>
      <c r="L127" s="352"/>
    </row>
    <row r="128" spans="1:12" ht="14.25" customHeight="1" x14ac:dyDescent="0.45">
      <c r="A128" s="27"/>
      <c r="B128" s="215"/>
      <c r="C128" s="217"/>
      <c r="D128" s="218"/>
      <c r="E128" s="218"/>
      <c r="F128" s="218"/>
      <c r="G128" s="218"/>
      <c r="H128" s="218"/>
      <c r="I128" s="218"/>
      <c r="J128" s="266"/>
      <c r="K128" s="285"/>
      <c r="L128" s="352"/>
    </row>
    <row r="129" spans="1:12" ht="14.25" customHeight="1" x14ac:dyDescent="0.45">
      <c r="A129" s="27"/>
      <c r="B129" s="215"/>
      <c r="C129" s="217"/>
      <c r="D129" s="218"/>
      <c r="E129" s="218"/>
      <c r="F129" s="218"/>
      <c r="G129" s="218"/>
      <c r="H129" s="218"/>
      <c r="I129" s="218"/>
      <c r="J129" s="266"/>
      <c r="K129" s="285"/>
      <c r="L129" s="352"/>
    </row>
    <row r="130" spans="1:12" ht="14.25" customHeight="1" x14ac:dyDescent="0.45">
      <c r="A130" s="27"/>
      <c r="B130" s="215"/>
      <c r="C130" s="217"/>
      <c r="D130" s="218"/>
      <c r="E130" s="218"/>
      <c r="F130" s="218"/>
      <c r="G130" s="218"/>
      <c r="H130" s="218"/>
      <c r="I130" s="218"/>
      <c r="J130" s="266"/>
      <c r="K130" s="285"/>
      <c r="L130" s="352"/>
    </row>
    <row r="131" spans="1:12" ht="14.25" customHeight="1" x14ac:dyDescent="0.45">
      <c r="A131" s="27"/>
      <c r="B131" s="215"/>
      <c r="C131" s="217"/>
      <c r="D131" s="218"/>
      <c r="E131" s="218"/>
      <c r="F131" s="218"/>
      <c r="G131" s="218"/>
      <c r="H131" s="218"/>
      <c r="I131" s="218"/>
      <c r="J131" s="266"/>
      <c r="K131" s="285"/>
      <c r="L131" s="352"/>
    </row>
    <row r="132" spans="1:12" ht="14.25" customHeight="1" x14ac:dyDescent="0.45">
      <c r="A132" s="27"/>
      <c r="B132" s="215"/>
      <c r="C132" s="217"/>
      <c r="D132" s="218"/>
      <c r="E132" s="218"/>
      <c r="F132" s="218"/>
      <c r="G132" s="218"/>
      <c r="H132" s="218"/>
      <c r="I132" s="218"/>
      <c r="J132" s="266"/>
      <c r="K132" s="285"/>
      <c r="L132" s="352"/>
    </row>
    <row r="133" spans="1:12" ht="14.25" customHeight="1" x14ac:dyDescent="0.45">
      <c r="A133" s="27"/>
      <c r="B133" s="215"/>
      <c r="C133" s="217"/>
      <c r="D133" s="218"/>
      <c r="E133" s="218"/>
      <c r="F133" s="218"/>
      <c r="G133" s="218"/>
      <c r="H133" s="218"/>
      <c r="I133" s="218"/>
      <c r="J133" s="266"/>
      <c r="K133" s="285"/>
      <c r="L133" s="352"/>
    </row>
    <row r="134" spans="1:12" ht="14.25" customHeight="1" x14ac:dyDescent="0.45">
      <c r="A134" s="27"/>
      <c r="B134" s="215"/>
      <c r="C134" s="217"/>
      <c r="D134" s="218"/>
      <c r="E134" s="218"/>
      <c r="F134" s="218"/>
      <c r="G134" s="218"/>
      <c r="H134" s="218"/>
      <c r="I134" s="218"/>
      <c r="J134" s="266"/>
      <c r="K134" s="285"/>
      <c r="L134" s="352"/>
    </row>
    <row r="135" spans="1:12" ht="14.25" customHeight="1" x14ac:dyDescent="0.45">
      <c r="A135" s="27"/>
      <c r="B135" s="215"/>
      <c r="C135" s="217"/>
      <c r="D135" s="218"/>
      <c r="E135" s="218"/>
      <c r="F135" s="218"/>
      <c r="G135" s="218"/>
      <c r="H135" s="218"/>
      <c r="I135" s="218"/>
      <c r="J135" s="266"/>
      <c r="K135" s="285"/>
      <c r="L135" s="352"/>
    </row>
    <row r="136" spans="1:12" ht="14.25" customHeight="1" x14ac:dyDescent="0.45">
      <c r="A136" s="27"/>
      <c r="B136" s="215"/>
      <c r="C136" s="217"/>
      <c r="D136" s="218"/>
      <c r="E136" s="218"/>
      <c r="F136" s="218"/>
      <c r="G136" s="218"/>
      <c r="H136" s="218"/>
      <c r="I136" s="218"/>
      <c r="J136" s="266"/>
      <c r="K136" s="285"/>
      <c r="L136" s="352"/>
    </row>
    <row r="137" spans="1:12" ht="14.25" customHeight="1" x14ac:dyDescent="0.45">
      <c r="A137" s="27"/>
      <c r="B137" s="215"/>
      <c r="C137" s="217"/>
      <c r="D137" s="218"/>
      <c r="E137" s="218"/>
      <c r="F137" s="218"/>
      <c r="G137" s="218"/>
      <c r="H137" s="218"/>
      <c r="I137" s="218"/>
      <c r="J137" s="266"/>
      <c r="K137" s="285"/>
      <c r="L137" s="352"/>
    </row>
    <row r="138" spans="1:12" ht="14.25" customHeight="1" x14ac:dyDescent="0.45">
      <c r="A138" s="27"/>
      <c r="B138" s="215"/>
      <c r="C138" s="217"/>
      <c r="D138" s="218"/>
      <c r="E138" s="218"/>
      <c r="F138" s="218"/>
      <c r="G138" s="218"/>
      <c r="H138" s="218"/>
      <c r="I138" s="218"/>
      <c r="J138" s="266"/>
      <c r="K138" s="285"/>
      <c r="L138" s="352"/>
    </row>
    <row r="139" spans="1:12" ht="14.25" customHeight="1" x14ac:dyDescent="0.45">
      <c r="A139" s="27"/>
      <c r="B139" s="215"/>
      <c r="C139" s="217"/>
      <c r="D139" s="218"/>
      <c r="E139" s="218"/>
      <c r="F139" s="218"/>
      <c r="G139" s="218"/>
      <c r="H139" s="218"/>
      <c r="I139" s="218"/>
      <c r="J139" s="266"/>
      <c r="K139" s="285"/>
      <c r="L139" s="352"/>
    </row>
    <row r="140" spans="1:12" ht="14.25" customHeight="1" x14ac:dyDescent="0.45">
      <c r="A140" s="27"/>
      <c r="B140" s="215"/>
      <c r="C140" s="217"/>
      <c r="D140" s="218"/>
      <c r="E140" s="218"/>
      <c r="F140" s="218"/>
      <c r="G140" s="218"/>
      <c r="H140" s="218"/>
      <c r="I140" s="218"/>
      <c r="J140" s="266"/>
      <c r="K140" s="285"/>
      <c r="L140" s="352"/>
    </row>
    <row r="141" spans="1:12" ht="14.25" customHeight="1" x14ac:dyDescent="0.45">
      <c r="A141" s="27"/>
      <c r="B141" s="215"/>
      <c r="C141" s="217"/>
      <c r="D141" s="218"/>
      <c r="E141" s="218"/>
      <c r="F141" s="218"/>
      <c r="G141" s="218"/>
      <c r="H141" s="218"/>
      <c r="I141" s="218"/>
      <c r="J141" s="266"/>
      <c r="K141" s="285"/>
      <c r="L141" s="352"/>
    </row>
    <row r="142" spans="1:12" ht="14.25" customHeight="1" x14ac:dyDescent="0.45">
      <c r="A142" s="27"/>
      <c r="B142" s="215"/>
      <c r="C142" s="217"/>
      <c r="D142" s="218"/>
      <c r="E142" s="218"/>
      <c r="F142" s="218"/>
      <c r="G142" s="218"/>
      <c r="H142" s="218"/>
      <c r="I142" s="218"/>
      <c r="J142" s="266"/>
      <c r="K142" s="285"/>
      <c r="L142" s="352"/>
    </row>
    <row r="143" spans="1:12" ht="14.25" customHeight="1" x14ac:dyDescent="0.45">
      <c r="A143" s="27"/>
      <c r="B143" s="215"/>
      <c r="C143" s="217"/>
      <c r="D143" s="218"/>
      <c r="E143" s="218"/>
      <c r="F143" s="218"/>
      <c r="G143" s="218"/>
      <c r="H143" s="218"/>
      <c r="I143" s="218"/>
      <c r="J143" s="266"/>
      <c r="K143" s="285"/>
      <c r="L143" s="352"/>
    </row>
    <row r="144" spans="1:12" ht="14.25" customHeight="1" x14ac:dyDescent="0.45">
      <c r="A144" s="27"/>
      <c r="B144" s="215"/>
      <c r="C144" s="217"/>
      <c r="D144" s="218"/>
      <c r="E144" s="218"/>
      <c r="F144" s="218"/>
      <c r="G144" s="218"/>
      <c r="H144" s="218"/>
      <c r="I144" s="218"/>
      <c r="J144" s="266"/>
      <c r="K144" s="285"/>
      <c r="L144" s="352"/>
    </row>
    <row r="145" spans="1:12" ht="14.25" customHeight="1" x14ac:dyDescent="0.45">
      <c r="A145" s="27"/>
      <c r="B145" s="215"/>
      <c r="C145" s="217"/>
      <c r="D145" s="218"/>
      <c r="E145" s="218"/>
      <c r="F145" s="218"/>
      <c r="G145" s="218"/>
      <c r="H145" s="218"/>
      <c r="I145" s="218"/>
      <c r="J145" s="266"/>
      <c r="K145" s="285"/>
      <c r="L145" s="352"/>
    </row>
    <row r="146" spans="1:12" ht="14.25" customHeight="1" x14ac:dyDescent="0.45">
      <c r="A146" s="27"/>
      <c r="B146" s="215"/>
      <c r="C146" s="217"/>
      <c r="D146" s="218"/>
      <c r="E146" s="218"/>
      <c r="F146" s="218"/>
      <c r="G146" s="218"/>
      <c r="H146" s="218"/>
      <c r="I146" s="218"/>
      <c r="J146" s="266"/>
      <c r="K146" s="285"/>
      <c r="L146" s="352"/>
    </row>
    <row r="147" spans="1:12" ht="14.25" customHeight="1" x14ac:dyDescent="0.45">
      <c r="A147" s="27"/>
      <c r="B147" s="215"/>
      <c r="C147" s="217"/>
      <c r="D147" s="218"/>
      <c r="E147" s="218"/>
      <c r="F147" s="218"/>
      <c r="G147" s="218"/>
      <c r="H147" s="218"/>
      <c r="I147" s="218"/>
      <c r="J147" s="266"/>
      <c r="K147" s="285"/>
      <c r="L147" s="352"/>
    </row>
    <row r="148" spans="1:12" ht="14.25" customHeight="1" x14ac:dyDescent="0.45">
      <c r="A148" s="27"/>
      <c r="B148" s="215"/>
      <c r="C148" s="217"/>
      <c r="D148" s="218"/>
      <c r="E148" s="218"/>
      <c r="F148" s="218"/>
      <c r="G148" s="218"/>
      <c r="H148" s="218"/>
      <c r="I148" s="218"/>
      <c r="J148" s="266"/>
      <c r="K148" s="285"/>
      <c r="L148" s="352"/>
    </row>
    <row r="149" spans="1:12" ht="14.25" customHeight="1" x14ac:dyDescent="0.45">
      <c r="A149" s="27"/>
      <c r="B149" s="215"/>
      <c r="C149" s="217"/>
      <c r="D149" s="218"/>
      <c r="E149" s="218"/>
      <c r="F149" s="218"/>
      <c r="G149" s="218"/>
      <c r="H149" s="218"/>
      <c r="I149" s="218"/>
      <c r="J149" s="266"/>
      <c r="K149" s="285"/>
      <c r="L149" s="352"/>
    </row>
    <row r="150" spans="1:12" ht="14.25" customHeight="1" x14ac:dyDescent="0.45">
      <c r="A150" s="27"/>
      <c r="B150" s="215"/>
      <c r="C150" s="217"/>
      <c r="D150" s="218"/>
      <c r="E150" s="218"/>
      <c r="F150" s="218"/>
      <c r="G150" s="218"/>
      <c r="H150" s="218"/>
      <c r="I150" s="218"/>
      <c r="J150" s="266"/>
      <c r="K150" s="285"/>
      <c r="L150" s="352"/>
    </row>
    <row r="151" spans="1:12" ht="14.25" customHeight="1" x14ac:dyDescent="0.45">
      <c r="A151" s="27"/>
      <c r="B151" s="215"/>
      <c r="C151" s="217"/>
      <c r="D151" s="218"/>
      <c r="E151" s="218"/>
      <c r="F151" s="218"/>
      <c r="G151" s="218"/>
      <c r="H151" s="218"/>
      <c r="I151" s="218"/>
      <c r="J151" s="266"/>
      <c r="K151" s="285"/>
      <c r="L151" s="352"/>
    </row>
    <row r="152" spans="1:12" ht="14.25" customHeight="1" x14ac:dyDescent="0.45">
      <c r="A152" s="27"/>
      <c r="B152" s="215"/>
      <c r="C152" s="217"/>
      <c r="D152" s="218"/>
      <c r="E152" s="218"/>
      <c r="F152" s="218"/>
      <c r="G152" s="218"/>
      <c r="H152" s="218"/>
      <c r="I152" s="218"/>
      <c r="J152" s="266"/>
      <c r="K152" s="285"/>
      <c r="L152" s="352"/>
    </row>
    <row r="153" spans="1:12" ht="14.25" customHeight="1" x14ac:dyDescent="0.45">
      <c r="A153" s="27"/>
      <c r="B153" s="215"/>
      <c r="C153" s="217"/>
      <c r="D153" s="218"/>
      <c r="E153" s="218"/>
      <c r="F153" s="218"/>
      <c r="G153" s="218"/>
      <c r="H153" s="218"/>
      <c r="I153" s="218"/>
      <c r="J153" s="266"/>
      <c r="K153" s="285"/>
      <c r="L153" s="352"/>
    </row>
    <row r="154" spans="1:12" ht="14.25" customHeight="1" x14ac:dyDescent="0.45">
      <c r="A154" s="27"/>
      <c r="B154" s="215"/>
      <c r="C154" s="217"/>
      <c r="D154" s="218"/>
      <c r="E154" s="218"/>
      <c r="F154" s="218"/>
      <c r="G154" s="218"/>
      <c r="H154" s="218"/>
      <c r="I154" s="218"/>
      <c r="J154" s="266"/>
      <c r="K154" s="285"/>
      <c r="L154" s="352"/>
    </row>
    <row r="155" spans="1:12" ht="14.25" customHeight="1" x14ac:dyDescent="0.45">
      <c r="A155" s="27"/>
      <c r="B155" s="215"/>
      <c r="C155" s="217"/>
      <c r="D155" s="218"/>
      <c r="E155" s="218"/>
      <c r="F155" s="218"/>
      <c r="G155" s="218"/>
      <c r="H155" s="218"/>
      <c r="I155" s="218"/>
      <c r="J155" s="266"/>
      <c r="K155" s="285"/>
      <c r="L155" s="352"/>
    </row>
    <row r="156" spans="1:12" ht="14.25" customHeight="1" x14ac:dyDescent="0.45">
      <c r="A156" s="27"/>
      <c r="B156" s="215"/>
      <c r="C156" s="217"/>
      <c r="D156" s="218"/>
      <c r="E156" s="218"/>
      <c r="F156" s="218"/>
      <c r="G156" s="218"/>
      <c r="H156" s="218"/>
      <c r="I156" s="218"/>
      <c r="J156" s="266"/>
      <c r="K156" s="285"/>
      <c r="L156" s="352"/>
    </row>
    <row r="157" spans="1:12" ht="14.25" customHeight="1" x14ac:dyDescent="0.45">
      <c r="A157" s="27"/>
      <c r="B157" s="215"/>
      <c r="C157" s="217"/>
      <c r="D157" s="218"/>
      <c r="E157" s="218"/>
      <c r="F157" s="218"/>
      <c r="G157" s="218"/>
      <c r="H157" s="218"/>
      <c r="I157" s="218"/>
      <c r="J157" s="266"/>
      <c r="K157" s="285"/>
      <c r="L157" s="352"/>
    </row>
    <row r="158" spans="1:12" ht="14.25" customHeight="1" x14ac:dyDescent="0.45">
      <c r="A158" s="27"/>
      <c r="B158" s="215"/>
      <c r="C158" s="217"/>
      <c r="D158" s="218"/>
      <c r="E158" s="218"/>
      <c r="F158" s="218"/>
      <c r="G158" s="218"/>
      <c r="H158" s="218"/>
      <c r="I158" s="218"/>
      <c r="J158" s="266"/>
      <c r="K158" s="285"/>
      <c r="L158" s="352"/>
    </row>
    <row r="159" spans="1:12" ht="14.25" customHeight="1" x14ac:dyDescent="0.45">
      <c r="A159" s="27"/>
      <c r="B159" s="215"/>
      <c r="C159" s="217"/>
      <c r="D159" s="218"/>
      <c r="E159" s="218"/>
      <c r="F159" s="218"/>
      <c r="G159" s="218"/>
      <c r="H159" s="218"/>
      <c r="I159" s="218"/>
      <c r="J159" s="266"/>
      <c r="K159" s="285"/>
      <c r="L159" s="352"/>
    </row>
    <row r="160" spans="1:12" ht="14.25" customHeight="1" x14ac:dyDescent="0.45">
      <c r="A160" s="27"/>
      <c r="B160" s="215"/>
      <c r="C160" s="217"/>
      <c r="D160" s="218"/>
      <c r="E160" s="218"/>
      <c r="F160" s="218"/>
      <c r="G160" s="218"/>
      <c r="H160" s="218"/>
      <c r="I160" s="218"/>
      <c r="J160" s="266"/>
      <c r="K160" s="285"/>
      <c r="L160" s="352"/>
    </row>
    <row r="161" spans="1:12" ht="14.25" customHeight="1" x14ac:dyDescent="0.45">
      <c r="A161" s="27"/>
      <c r="B161" s="215"/>
      <c r="C161" s="217"/>
      <c r="D161" s="218"/>
      <c r="E161" s="218"/>
      <c r="F161" s="218"/>
      <c r="G161" s="218"/>
      <c r="H161" s="218"/>
      <c r="I161" s="218"/>
      <c r="J161" s="266"/>
      <c r="K161" s="285"/>
      <c r="L161" s="352"/>
    </row>
    <row r="162" spans="1:12" ht="14.25" customHeight="1" x14ac:dyDescent="0.45">
      <c r="A162" s="618"/>
      <c r="B162" s="215"/>
      <c r="C162" s="353"/>
      <c r="D162" s="363"/>
      <c r="E162" s="363"/>
      <c r="F162" s="363"/>
      <c r="G162" s="363"/>
      <c r="H162" s="363"/>
      <c r="I162" s="363"/>
      <c r="J162" s="466"/>
      <c r="K162" s="220"/>
      <c r="L162" s="352"/>
    </row>
    <row r="163" spans="1:12" ht="24.75" customHeight="1" x14ac:dyDescent="0.45">
      <c r="A163" s="618"/>
      <c r="B163" s="215"/>
      <c r="C163" s="465" t="s">
        <v>821</v>
      </c>
      <c r="D163" s="218"/>
      <c r="E163" s="218"/>
      <c r="F163" s="218"/>
      <c r="G163" s="218"/>
      <c r="H163" s="218"/>
      <c r="I163" s="218"/>
      <c r="J163" s="266"/>
      <c r="K163" s="285"/>
      <c r="L163" s="352"/>
    </row>
    <row r="164" spans="1:12" ht="14.25" customHeight="1" x14ac:dyDescent="0.45">
      <c r="A164" s="618"/>
      <c r="B164" s="215"/>
      <c r="C164" s="465"/>
      <c r="D164" s="218"/>
      <c r="E164" s="218"/>
      <c r="F164" s="218"/>
      <c r="G164" s="218"/>
      <c r="H164" s="218"/>
      <c r="I164" s="218"/>
      <c r="J164" s="266"/>
      <c r="K164" s="285"/>
      <c r="L164" s="352"/>
    </row>
    <row r="165" spans="1:12" ht="14.25" customHeight="1" x14ac:dyDescent="0.45">
      <c r="A165" s="618"/>
      <c r="B165" s="215"/>
      <c r="C165" s="361"/>
      <c r="D165" s="218"/>
      <c r="E165" s="218"/>
      <c r="F165" s="218"/>
      <c r="G165" s="218"/>
      <c r="H165" s="218"/>
      <c r="I165" s="218"/>
      <c r="J165" s="266"/>
      <c r="K165" s="285"/>
      <c r="L165" s="352"/>
    </row>
    <row r="166" spans="1:12" ht="14.25" customHeight="1" x14ac:dyDescent="0.45">
      <c r="A166" s="618"/>
      <c r="B166" s="215"/>
      <c r="C166" s="221"/>
      <c r="D166" s="218"/>
      <c r="E166" s="218"/>
      <c r="F166" s="218"/>
      <c r="G166" s="218"/>
      <c r="H166" s="218"/>
      <c r="I166" s="218"/>
      <c r="J166" s="266"/>
      <c r="K166" s="285"/>
      <c r="L166" s="352"/>
    </row>
    <row r="167" spans="1:12" ht="14.25" customHeight="1" x14ac:dyDescent="0.45">
      <c r="A167" s="618"/>
      <c r="B167" s="215"/>
      <c r="C167" s="221"/>
      <c r="D167" s="218"/>
      <c r="E167" s="218"/>
      <c r="F167" s="218"/>
      <c r="G167" s="218"/>
      <c r="H167" s="218"/>
      <c r="I167" s="218"/>
      <c r="J167" s="266"/>
      <c r="K167" s="285"/>
      <c r="L167" s="352"/>
    </row>
    <row r="168" spans="1:12" ht="14.25" customHeight="1" x14ac:dyDescent="0.45">
      <c r="A168" s="618"/>
      <c r="B168" s="215"/>
      <c r="C168" s="221"/>
      <c r="D168" s="218"/>
      <c r="E168" s="29"/>
      <c r="F168" s="29"/>
      <c r="G168" s="29"/>
      <c r="H168" s="29"/>
      <c r="I168" s="29"/>
      <c r="J168" s="95"/>
      <c r="K168" s="57"/>
      <c r="L168" s="352"/>
    </row>
    <row r="169" spans="1:12" ht="14.25" customHeight="1" x14ac:dyDescent="0.45">
      <c r="A169" s="618"/>
      <c r="B169" s="215"/>
      <c r="C169" s="221"/>
      <c r="D169" s="29"/>
      <c r="E169" s="29"/>
      <c r="F169" s="29"/>
      <c r="G169" s="29"/>
      <c r="H169" s="29"/>
      <c r="I169" s="29"/>
      <c r="J169" s="95"/>
      <c r="K169" s="57"/>
      <c r="L169" s="352"/>
    </row>
    <row r="170" spans="1:12" ht="14.25" customHeight="1" x14ac:dyDescent="0.45">
      <c r="A170" s="618"/>
      <c r="B170" s="215"/>
      <c r="C170" s="221"/>
      <c r="D170" s="29"/>
      <c r="E170" s="29"/>
      <c r="F170" s="29"/>
      <c r="G170" s="29"/>
      <c r="H170" s="29"/>
      <c r="I170" s="29"/>
      <c r="J170" s="95"/>
      <c r="K170" s="57"/>
      <c r="L170" s="352"/>
    </row>
    <row r="171" spans="1:12" ht="14.25" customHeight="1" x14ac:dyDescent="0.45">
      <c r="A171" s="618"/>
      <c r="B171" s="215"/>
      <c r="C171" s="221"/>
      <c r="D171" s="29"/>
      <c r="E171" s="29"/>
      <c r="F171" s="29"/>
      <c r="G171" s="29"/>
      <c r="H171" s="29"/>
      <c r="I171" s="29"/>
      <c r="J171" s="95"/>
      <c r="K171" s="57"/>
      <c r="L171" s="352"/>
    </row>
    <row r="172" spans="1:12" ht="14.25" customHeight="1" x14ac:dyDescent="0.45">
      <c r="A172" s="618"/>
      <c r="B172" s="215"/>
      <c r="C172" s="221"/>
      <c r="D172" s="29"/>
      <c r="E172" s="29"/>
      <c r="F172" s="29"/>
      <c r="G172" s="29"/>
      <c r="H172" s="29"/>
      <c r="I172" s="29"/>
      <c r="J172" s="95"/>
      <c r="K172" s="57"/>
      <c r="L172" s="352"/>
    </row>
    <row r="173" spans="1:12" ht="14.25" customHeight="1" x14ac:dyDescent="0.45">
      <c r="A173" s="618"/>
      <c r="B173" s="215"/>
      <c r="C173" s="221"/>
      <c r="D173" s="29"/>
      <c r="E173" s="29"/>
      <c r="F173" s="29"/>
      <c r="G173" s="29"/>
      <c r="H173" s="29"/>
      <c r="I173" s="29"/>
      <c r="J173" s="95"/>
      <c r="K173" s="57"/>
      <c r="L173" s="352"/>
    </row>
    <row r="174" spans="1:12" ht="14.25" customHeight="1" x14ac:dyDescent="0.45">
      <c r="A174" s="618"/>
      <c r="B174" s="215"/>
      <c r="C174" s="221"/>
      <c r="D174" s="29"/>
      <c r="E174" s="29"/>
      <c r="F174" s="29"/>
      <c r="G174" s="29"/>
      <c r="H174" s="29"/>
      <c r="I174" s="29"/>
      <c r="J174" s="95"/>
      <c r="K174" s="57"/>
      <c r="L174" s="352"/>
    </row>
    <row r="175" spans="1:12" ht="14.25" customHeight="1" x14ac:dyDescent="0.45">
      <c r="A175" s="618"/>
      <c r="B175" s="215"/>
      <c r="C175" s="221"/>
      <c r="D175" s="29"/>
      <c r="E175" s="29"/>
      <c r="F175" s="29"/>
      <c r="G175" s="29"/>
      <c r="H175" s="29"/>
      <c r="I175" s="29"/>
      <c r="J175" s="95"/>
      <c r="K175" s="57"/>
      <c r="L175" s="352"/>
    </row>
    <row r="176" spans="1:12" ht="14.25" customHeight="1" x14ac:dyDescent="0.45">
      <c r="A176" s="618"/>
      <c r="B176" s="215"/>
      <c r="C176" s="221"/>
      <c r="D176" s="29"/>
      <c r="E176" s="218"/>
      <c r="F176" s="218"/>
      <c r="G176" s="218"/>
      <c r="H176" s="218"/>
      <c r="I176" s="218"/>
      <c r="J176" s="266"/>
      <c r="K176" s="285"/>
      <c r="L176" s="352"/>
    </row>
    <row r="177" spans="1:12" ht="14.25" customHeight="1" x14ac:dyDescent="0.45">
      <c r="A177" s="618"/>
      <c r="B177" s="215"/>
      <c r="C177" s="221"/>
      <c r="D177" s="29"/>
      <c r="E177" s="218"/>
      <c r="F177" s="218"/>
      <c r="G177" s="218"/>
      <c r="H177" s="218"/>
      <c r="I177" s="218"/>
      <c r="J177" s="467"/>
      <c r="K177" s="57"/>
      <c r="L177" s="352"/>
    </row>
    <row r="178" spans="1:12" ht="14.25" customHeight="1" x14ac:dyDescent="0.45">
      <c r="A178" s="618"/>
      <c r="B178" s="215"/>
      <c r="C178" s="221"/>
      <c r="D178" s="29"/>
      <c r="E178" s="218"/>
      <c r="F178" s="218"/>
      <c r="G178" s="218"/>
      <c r="H178" s="218"/>
      <c r="I178" s="218"/>
      <c r="J178" s="467"/>
      <c r="K178" s="285"/>
      <c r="L178" s="352"/>
    </row>
    <row r="179" spans="1:12" ht="14.25" customHeight="1" x14ac:dyDescent="0.45">
      <c r="A179" s="618"/>
      <c r="B179" s="215"/>
      <c r="C179" s="221"/>
      <c r="D179" s="29"/>
      <c r="E179" s="218"/>
      <c r="F179" s="218"/>
      <c r="G179" s="218"/>
      <c r="H179" s="218"/>
      <c r="I179" s="218"/>
      <c r="J179" s="467"/>
      <c r="K179" s="285"/>
      <c r="L179" s="352"/>
    </row>
    <row r="180" spans="1:12" ht="14.25" customHeight="1" x14ac:dyDescent="0.45">
      <c r="A180" s="618"/>
      <c r="B180" s="215"/>
      <c r="C180" s="221"/>
      <c r="D180" s="29"/>
      <c r="E180" s="218"/>
      <c r="F180" s="218"/>
      <c r="G180" s="218"/>
      <c r="H180" s="218"/>
      <c r="I180" s="218"/>
      <c r="J180" s="467"/>
      <c r="K180" s="362"/>
      <c r="L180" s="352"/>
    </row>
    <row r="181" spans="1:12" ht="14.25" customHeight="1" x14ac:dyDescent="0.45">
      <c r="A181" s="618"/>
      <c r="B181" s="215"/>
      <c r="C181" s="221"/>
      <c r="D181" s="29"/>
      <c r="E181" s="218"/>
      <c r="F181" s="218"/>
      <c r="G181" s="218"/>
      <c r="H181" s="218"/>
      <c r="I181" s="218"/>
      <c r="J181" s="467"/>
      <c r="K181" s="362"/>
      <c r="L181" s="352"/>
    </row>
    <row r="182" spans="1:12" ht="14.25" customHeight="1" x14ac:dyDescent="0.45">
      <c r="A182" s="618"/>
      <c r="B182" s="215"/>
      <c r="C182" s="221"/>
      <c r="D182" s="29"/>
      <c r="E182" s="218"/>
      <c r="F182" s="218"/>
      <c r="G182" s="218"/>
      <c r="H182" s="218"/>
      <c r="I182" s="218"/>
      <c r="J182" s="467"/>
      <c r="K182" s="362"/>
      <c r="L182" s="352"/>
    </row>
    <row r="183" spans="1:12" ht="14.25" customHeight="1" x14ac:dyDescent="0.45">
      <c r="A183" s="618"/>
      <c r="B183" s="215"/>
      <c r="C183" s="221"/>
      <c r="D183" s="218"/>
      <c r="E183" s="218"/>
      <c r="F183" s="218"/>
      <c r="G183" s="218"/>
      <c r="H183" s="218"/>
      <c r="I183" s="218"/>
      <c r="J183" s="467"/>
      <c r="K183" s="362"/>
      <c r="L183" s="352"/>
    </row>
    <row r="184" spans="1:12" ht="14.25" customHeight="1" x14ac:dyDescent="0.45">
      <c r="A184" s="618"/>
      <c r="B184" s="215"/>
      <c r="C184" s="221"/>
      <c r="D184" s="218"/>
      <c r="E184" s="218"/>
      <c r="F184" s="218"/>
      <c r="G184" s="218"/>
      <c r="H184" s="218"/>
      <c r="I184" s="218"/>
      <c r="J184" s="467"/>
      <c r="K184" s="362"/>
      <c r="L184" s="352"/>
    </row>
    <row r="185" spans="1:12" ht="14.25" customHeight="1" x14ac:dyDescent="0.45">
      <c r="A185" s="618"/>
      <c r="B185" s="215"/>
      <c r="C185" s="221"/>
      <c r="D185" s="218"/>
      <c r="E185" s="218"/>
      <c r="F185" s="218"/>
      <c r="G185" s="218"/>
      <c r="H185" s="218"/>
      <c r="I185" s="218"/>
      <c r="J185" s="467"/>
      <c r="K185" s="285"/>
      <c r="L185" s="352"/>
    </row>
    <row r="186" spans="1:12" ht="14.25" customHeight="1" x14ac:dyDescent="0.45">
      <c r="A186" s="618"/>
      <c r="B186" s="215"/>
      <c r="C186" s="221"/>
      <c r="D186" s="218"/>
      <c r="E186" s="218"/>
      <c r="F186" s="218"/>
      <c r="G186" s="218"/>
      <c r="H186" s="218"/>
      <c r="I186" s="218"/>
      <c r="J186" s="266"/>
      <c r="K186" s="285"/>
      <c r="L186" s="352"/>
    </row>
    <row r="187" spans="1:12" ht="14.25" customHeight="1" x14ac:dyDescent="0.45">
      <c r="A187" s="618"/>
      <c r="B187" s="215"/>
      <c r="C187" s="221"/>
      <c r="D187" s="218"/>
      <c r="E187" s="218"/>
      <c r="F187" s="218"/>
      <c r="G187" s="218"/>
      <c r="H187" s="218"/>
      <c r="I187" s="218"/>
      <c r="J187" s="266"/>
      <c r="K187" s="285"/>
      <c r="L187" s="352"/>
    </row>
    <row r="188" spans="1:12" ht="14.25" customHeight="1" x14ac:dyDescent="0.45">
      <c r="A188" s="618"/>
      <c r="B188" s="215"/>
      <c r="C188" s="221"/>
      <c r="D188" s="218"/>
      <c r="E188" s="218"/>
      <c r="F188" s="218"/>
      <c r="G188" s="218"/>
      <c r="H188" s="218"/>
      <c r="I188" s="218"/>
      <c r="J188" s="266"/>
      <c r="K188" s="285"/>
      <c r="L188" s="352"/>
    </row>
    <row r="189" spans="1:12" ht="14.25" customHeight="1" x14ac:dyDescent="0.45">
      <c r="A189" s="618"/>
      <c r="B189" s="215"/>
      <c r="C189" s="353"/>
      <c r="D189" s="363"/>
      <c r="E189" s="363"/>
      <c r="F189" s="363"/>
      <c r="G189" s="363"/>
      <c r="H189" s="363"/>
      <c r="I189" s="363"/>
      <c r="J189" s="466"/>
      <c r="K189" s="220"/>
      <c r="L189" s="352"/>
    </row>
    <row r="190" spans="1:12" ht="21" customHeight="1" x14ac:dyDescent="0.45">
      <c r="A190" s="618"/>
      <c r="B190" s="215"/>
      <c r="C190" s="465" t="s">
        <v>278</v>
      </c>
      <c r="D190" s="218"/>
      <c r="E190" s="218"/>
      <c r="F190" s="218"/>
      <c r="G190" s="218"/>
      <c r="H190" s="218"/>
      <c r="I190" s="218"/>
      <c r="J190" s="266"/>
      <c r="K190" s="285"/>
      <c r="L190" s="352"/>
    </row>
    <row r="191" spans="1:12" ht="21" customHeight="1" x14ac:dyDescent="0.45">
      <c r="A191" s="618"/>
      <c r="B191" s="215"/>
      <c r="C191" s="465"/>
      <c r="D191" s="218"/>
      <c r="E191" s="218"/>
      <c r="F191" s="218"/>
      <c r="G191" s="218"/>
      <c r="H191" s="218"/>
      <c r="I191" s="218"/>
      <c r="J191" s="266"/>
      <c r="K191" s="285"/>
      <c r="L191" s="352"/>
    </row>
    <row r="192" spans="1:12" ht="21" customHeight="1" x14ac:dyDescent="0.45">
      <c r="A192" s="618"/>
      <c r="B192" s="215"/>
      <c r="C192" s="465"/>
      <c r="D192" s="218"/>
      <c r="E192" s="218"/>
      <c r="F192" s="218"/>
      <c r="G192" s="218"/>
      <c r="H192" s="218"/>
      <c r="I192" s="218"/>
      <c r="J192" s="266"/>
      <c r="K192" s="285"/>
      <c r="L192" s="352"/>
    </row>
    <row r="193" spans="1:12" ht="21" customHeight="1" x14ac:dyDescent="0.45">
      <c r="A193" s="618"/>
      <c r="B193" s="215"/>
      <c r="C193" s="465"/>
      <c r="D193" s="218"/>
      <c r="E193" s="218"/>
      <c r="F193" s="218"/>
      <c r="G193" s="218"/>
      <c r="H193" s="218"/>
      <c r="I193" s="218"/>
      <c r="J193" s="266"/>
      <c r="K193" s="285"/>
      <c r="L193" s="352"/>
    </row>
    <row r="194" spans="1:12" ht="21" customHeight="1" x14ac:dyDescent="0.45">
      <c r="A194" s="618"/>
      <c r="B194" s="215"/>
      <c r="C194" s="465"/>
      <c r="D194" s="218"/>
      <c r="E194" s="218"/>
      <c r="F194" s="218"/>
      <c r="G194" s="218"/>
      <c r="H194" s="218"/>
      <c r="I194" s="218"/>
      <c r="J194" s="266"/>
      <c r="K194" s="285"/>
      <c r="L194" s="352"/>
    </row>
    <row r="195" spans="1:12" ht="21" customHeight="1" x14ac:dyDescent="0.45">
      <c r="A195" s="618"/>
      <c r="B195" s="215"/>
      <c r="C195" s="465"/>
      <c r="D195" s="218"/>
      <c r="E195" s="218"/>
      <c r="F195" s="218"/>
      <c r="G195" s="218"/>
      <c r="H195" s="218"/>
      <c r="I195" s="218"/>
      <c r="J195" s="266"/>
      <c r="K195" s="285"/>
      <c r="L195" s="352"/>
    </row>
    <row r="196" spans="1:12" ht="21" customHeight="1" x14ac:dyDescent="0.45">
      <c r="A196" s="618"/>
      <c r="B196" s="215"/>
      <c r="C196" s="465"/>
      <c r="D196" s="218"/>
      <c r="E196" s="218"/>
      <c r="F196" s="218"/>
      <c r="G196" s="218"/>
      <c r="H196" s="218"/>
      <c r="I196" s="218"/>
      <c r="J196" s="266"/>
      <c r="K196" s="285"/>
      <c r="L196" s="352"/>
    </row>
    <row r="197" spans="1:12" ht="21" customHeight="1" x14ac:dyDescent="0.45">
      <c r="A197" s="618"/>
      <c r="B197" s="215"/>
      <c r="C197" s="465"/>
      <c r="D197" s="218"/>
      <c r="E197" s="218"/>
      <c r="F197" s="218"/>
      <c r="G197" s="218"/>
      <c r="H197" s="218"/>
      <c r="I197" s="218"/>
      <c r="J197" s="266"/>
      <c r="K197" s="285"/>
      <c r="L197" s="352"/>
    </row>
    <row r="198" spans="1:12" ht="21" customHeight="1" x14ac:dyDescent="0.45">
      <c r="A198" s="618"/>
      <c r="B198" s="215"/>
      <c r="C198" s="465"/>
      <c r="D198" s="218"/>
      <c r="E198" s="218"/>
      <c r="F198" s="218"/>
      <c r="G198" s="218"/>
      <c r="H198" s="218"/>
      <c r="I198" s="218"/>
      <c r="J198" s="266"/>
      <c r="K198" s="285"/>
      <c r="L198" s="352"/>
    </row>
    <row r="199" spans="1:12" ht="21" customHeight="1" x14ac:dyDescent="0.45">
      <c r="A199" s="618"/>
      <c r="B199" s="215"/>
      <c r="C199" s="465"/>
      <c r="D199" s="218"/>
      <c r="E199" s="218"/>
      <c r="F199" s="218"/>
      <c r="G199" s="218"/>
      <c r="H199" s="218"/>
      <c r="I199" s="218"/>
      <c r="J199" s="266"/>
      <c r="K199" s="285"/>
      <c r="L199" s="352"/>
    </row>
    <row r="200" spans="1:12" ht="21" customHeight="1" x14ac:dyDescent="0.45">
      <c r="A200" s="618"/>
      <c r="B200" s="215"/>
      <c r="C200" s="465"/>
      <c r="D200" s="218"/>
      <c r="E200" s="218"/>
      <c r="F200" s="218"/>
      <c r="G200" s="218"/>
      <c r="H200" s="218"/>
      <c r="I200" s="218"/>
      <c r="J200" s="266"/>
      <c r="K200" s="285"/>
      <c r="L200" s="352"/>
    </row>
    <row r="201" spans="1:12" ht="21" customHeight="1" x14ac:dyDescent="0.45">
      <c r="A201" s="618"/>
      <c r="B201" s="215"/>
      <c r="C201" s="465"/>
      <c r="D201" s="218"/>
      <c r="E201" s="218"/>
      <c r="F201" s="218"/>
      <c r="G201" s="218"/>
      <c r="H201" s="218"/>
      <c r="I201" s="218"/>
      <c r="J201" s="266"/>
      <c r="K201" s="285"/>
      <c r="L201" s="352"/>
    </row>
    <row r="202" spans="1:12" ht="21" customHeight="1" x14ac:dyDescent="0.45">
      <c r="A202" s="618"/>
      <c r="B202" s="215"/>
      <c r="C202" s="465"/>
      <c r="D202" s="218"/>
      <c r="E202" s="218"/>
      <c r="F202" s="218"/>
      <c r="G202" s="218"/>
      <c r="H202" s="218"/>
      <c r="I202" s="218"/>
      <c r="J202" s="266"/>
      <c r="K202" s="285"/>
      <c r="L202" s="352"/>
    </row>
    <row r="203" spans="1:12" ht="21" customHeight="1" x14ac:dyDescent="0.45">
      <c r="A203" s="618"/>
      <c r="B203" s="215"/>
      <c r="C203" s="465"/>
      <c r="D203" s="218"/>
      <c r="E203" s="218"/>
      <c r="F203" s="218"/>
      <c r="G203" s="218"/>
      <c r="H203" s="218"/>
      <c r="I203" s="218"/>
      <c r="J203" s="266"/>
      <c r="K203" s="285"/>
      <c r="L203" s="352"/>
    </row>
    <row r="204" spans="1:12" ht="14.25" customHeight="1" x14ac:dyDescent="0.45">
      <c r="A204" s="618"/>
      <c r="B204" s="215"/>
      <c r="C204" s="353"/>
      <c r="D204" s="363"/>
      <c r="E204" s="363"/>
      <c r="F204" s="363"/>
      <c r="G204" s="363"/>
      <c r="H204" s="363"/>
      <c r="I204" s="363"/>
      <c r="J204" s="466"/>
      <c r="K204" s="220"/>
      <c r="L204" s="352"/>
    </row>
    <row r="205" spans="1:12" ht="19.5" customHeight="1" x14ac:dyDescent="0.45">
      <c r="A205" s="618"/>
      <c r="B205" s="215"/>
      <c r="C205" s="465" t="s">
        <v>298</v>
      </c>
      <c r="D205" s="218"/>
      <c r="E205" s="218"/>
      <c r="F205" s="218"/>
      <c r="G205" s="218"/>
      <c r="H205" s="218"/>
      <c r="I205" s="218"/>
      <c r="J205" s="266"/>
      <c r="K205" s="285"/>
      <c r="L205" s="352"/>
    </row>
    <row r="206" spans="1:12" ht="14.25" customHeight="1" x14ac:dyDescent="0.45">
      <c r="A206" s="618"/>
      <c r="B206" s="215"/>
      <c r="C206" s="243"/>
      <c r="D206" s="218"/>
      <c r="E206" s="218"/>
      <c r="F206" s="218"/>
      <c r="G206" s="218"/>
      <c r="H206" s="218"/>
      <c r="I206" s="218"/>
      <c r="J206" s="266"/>
      <c r="K206" s="285"/>
      <c r="L206" s="352"/>
    </row>
    <row r="207" spans="1:12" ht="14.25" customHeight="1" x14ac:dyDescent="0.45">
      <c r="A207" s="1"/>
      <c r="B207" s="215"/>
      <c r="C207" s="221"/>
      <c r="D207" s="218"/>
      <c r="E207" s="218"/>
      <c r="F207" s="218"/>
      <c r="G207" s="218"/>
      <c r="H207" s="218"/>
      <c r="I207" s="218"/>
      <c r="J207" s="266"/>
      <c r="K207" s="285"/>
      <c r="L207" s="352"/>
    </row>
    <row r="208" spans="1:12" ht="14.25" customHeight="1" x14ac:dyDescent="0.45">
      <c r="A208" s="1"/>
      <c r="B208" s="215"/>
      <c r="C208" s="221"/>
      <c r="D208" s="218"/>
      <c r="E208" s="218"/>
      <c r="F208" s="218"/>
      <c r="G208" s="218"/>
      <c r="H208" s="218"/>
      <c r="I208" s="218"/>
      <c r="J208" s="266"/>
      <c r="K208" s="285"/>
      <c r="L208" s="352"/>
    </row>
    <row r="209" spans="1:12" ht="14.25" customHeight="1" x14ac:dyDescent="0.45">
      <c r="A209" s="1"/>
      <c r="B209" s="215"/>
      <c r="C209" s="221"/>
      <c r="D209" s="218"/>
      <c r="E209" s="218"/>
      <c r="F209" s="218"/>
      <c r="G209" s="218"/>
      <c r="H209" s="218"/>
      <c r="I209" s="218"/>
      <c r="J209" s="266"/>
      <c r="K209" s="285"/>
      <c r="L209" s="352"/>
    </row>
    <row r="210" spans="1:12" ht="14.25" customHeight="1" x14ac:dyDescent="0.45">
      <c r="A210" s="1"/>
      <c r="B210" s="215"/>
      <c r="C210" s="221"/>
      <c r="D210" s="218"/>
      <c r="E210" s="218"/>
      <c r="F210" s="218"/>
      <c r="G210" s="218"/>
      <c r="H210" s="218"/>
      <c r="I210" s="218"/>
      <c r="J210" s="266"/>
      <c r="K210" s="285"/>
      <c r="L210" s="352"/>
    </row>
    <row r="211" spans="1:12" ht="14.25" customHeight="1" x14ac:dyDescent="0.45">
      <c r="A211" s="1"/>
      <c r="B211" s="215"/>
      <c r="C211" s="221"/>
      <c r="D211" s="218"/>
      <c r="E211" s="218"/>
      <c r="F211" s="218"/>
      <c r="G211" s="218"/>
      <c r="H211" s="218"/>
      <c r="I211" s="218"/>
      <c r="J211" s="266"/>
      <c r="K211" s="285"/>
      <c r="L211" s="352"/>
    </row>
    <row r="212" spans="1:12" ht="14.25" customHeight="1" x14ac:dyDescent="0.45">
      <c r="A212" s="1"/>
      <c r="B212" s="215"/>
      <c r="C212" s="218"/>
      <c r="D212" s="218"/>
      <c r="E212" s="218"/>
      <c r="F212" s="218"/>
      <c r="G212" s="218"/>
      <c r="H212" s="218"/>
      <c r="I212" s="218"/>
      <c r="J212" s="266"/>
      <c r="K212" s="285"/>
      <c r="L212" s="352"/>
    </row>
    <row r="213" spans="1:12" ht="14.25" customHeight="1" x14ac:dyDescent="0.45">
      <c r="A213" s="1"/>
      <c r="B213" s="215"/>
      <c r="C213" s="218"/>
      <c r="D213" s="218"/>
      <c r="E213" s="218"/>
      <c r="F213" s="218"/>
      <c r="G213" s="218"/>
      <c r="H213" s="218"/>
      <c r="I213" s="218"/>
      <c r="J213" s="266"/>
      <c r="K213" s="285"/>
      <c r="L213" s="352"/>
    </row>
    <row r="214" spans="1:12" ht="14.25" customHeight="1" x14ac:dyDescent="0.45">
      <c r="A214" s="1"/>
      <c r="B214" s="215"/>
      <c r="C214" s="221"/>
      <c r="D214" s="218"/>
      <c r="E214" s="218"/>
      <c r="F214" s="218"/>
      <c r="G214" s="218"/>
      <c r="H214" s="218"/>
      <c r="I214" s="218"/>
      <c r="J214" s="266"/>
      <c r="K214" s="285"/>
      <c r="L214" s="352"/>
    </row>
    <row r="215" spans="1:12" ht="14.25" customHeight="1" x14ac:dyDescent="0.45">
      <c r="A215" s="1"/>
      <c r="B215" s="215"/>
      <c r="C215" s="218"/>
      <c r="D215" s="218"/>
      <c r="E215" s="218"/>
      <c r="F215" s="218"/>
      <c r="G215" s="218"/>
      <c r="H215" s="218"/>
      <c r="I215" s="218"/>
      <c r="J215" s="266"/>
      <c r="K215" s="285"/>
      <c r="L215" s="352"/>
    </row>
    <row r="216" spans="1:12" ht="14.25" customHeight="1" x14ac:dyDescent="0.45">
      <c r="A216" s="1"/>
      <c r="B216" s="215"/>
      <c r="C216" s="221"/>
      <c r="D216" s="218"/>
      <c r="E216" s="218"/>
      <c r="F216" s="218"/>
      <c r="G216" s="218"/>
      <c r="H216" s="218"/>
      <c r="I216" s="218"/>
      <c r="J216" s="266"/>
      <c r="K216" s="285"/>
      <c r="L216" s="352"/>
    </row>
    <row r="217" spans="1:12" ht="14.25" customHeight="1" x14ac:dyDescent="0.45">
      <c r="A217" s="1"/>
      <c r="B217" s="215"/>
      <c r="C217" s="243"/>
      <c r="D217" s="218"/>
      <c r="E217" s="218"/>
      <c r="F217" s="218"/>
      <c r="G217" s="218"/>
      <c r="H217" s="218"/>
      <c r="I217" s="218"/>
      <c r="J217" s="266"/>
      <c r="K217" s="285"/>
      <c r="L217" s="352"/>
    </row>
    <row r="218" spans="1:12" ht="14.25" customHeight="1" x14ac:dyDescent="0.45">
      <c r="A218" s="618"/>
      <c r="B218" s="215"/>
      <c r="C218" s="221"/>
      <c r="D218" s="218"/>
      <c r="E218" s="218"/>
      <c r="F218" s="218"/>
      <c r="G218" s="218"/>
      <c r="H218" s="218"/>
      <c r="I218" s="218"/>
      <c r="J218" s="266"/>
      <c r="K218" s="285"/>
      <c r="L218" s="352"/>
    </row>
    <row r="219" spans="1:12" ht="14.25" customHeight="1" x14ac:dyDescent="0.45">
      <c r="A219" s="618"/>
      <c r="B219" s="215"/>
      <c r="C219" s="221"/>
      <c r="D219" s="218"/>
      <c r="E219" s="218"/>
      <c r="F219" s="218"/>
      <c r="G219" s="218"/>
      <c r="H219" s="218"/>
      <c r="I219" s="218"/>
      <c r="J219" s="266"/>
      <c r="K219" s="285"/>
      <c r="L219" s="352"/>
    </row>
    <row r="220" spans="1:12" ht="14.25" customHeight="1" x14ac:dyDescent="0.45">
      <c r="A220" s="618"/>
      <c r="B220" s="215"/>
      <c r="C220" s="221"/>
      <c r="D220" s="218"/>
      <c r="E220" s="218"/>
      <c r="F220" s="218"/>
      <c r="G220" s="218"/>
      <c r="H220" s="218"/>
      <c r="I220" s="218"/>
      <c r="J220" s="266"/>
      <c r="K220" s="285"/>
      <c r="L220" s="352"/>
    </row>
    <row r="221" spans="1:12" ht="14.25" customHeight="1" x14ac:dyDescent="0.45">
      <c r="A221" s="618"/>
      <c r="B221" s="215"/>
      <c r="C221" s="221"/>
      <c r="D221" s="218"/>
      <c r="E221" s="218"/>
      <c r="F221" s="218"/>
      <c r="G221" s="218"/>
      <c r="H221" s="218"/>
      <c r="I221" s="218"/>
      <c r="J221" s="266"/>
      <c r="K221" s="285"/>
      <c r="L221" s="352"/>
    </row>
    <row r="222" spans="1:12" ht="14.25" customHeight="1" x14ac:dyDescent="0.45">
      <c r="A222" s="618"/>
      <c r="B222" s="215"/>
      <c r="C222" s="221"/>
      <c r="D222" s="218"/>
      <c r="E222" s="218"/>
      <c r="F222" s="218"/>
      <c r="G222" s="218"/>
      <c r="H222" s="218"/>
      <c r="I222" s="218"/>
      <c r="J222" s="266"/>
      <c r="K222" s="285"/>
      <c r="L222" s="352"/>
    </row>
    <row r="223" spans="1:12" ht="14.25" customHeight="1" x14ac:dyDescent="0.45">
      <c r="A223" s="618"/>
      <c r="B223" s="215"/>
      <c r="C223" s="221"/>
      <c r="D223" s="218"/>
      <c r="E223" s="218"/>
      <c r="F223" s="218"/>
      <c r="G223" s="218"/>
      <c r="H223" s="218"/>
      <c r="I223" s="218"/>
      <c r="J223" s="266"/>
      <c r="K223" s="285"/>
      <c r="L223" s="352"/>
    </row>
    <row r="224" spans="1:12" ht="14.25" customHeight="1" x14ac:dyDescent="0.45">
      <c r="A224" s="618"/>
      <c r="B224" s="215"/>
      <c r="C224" s="221"/>
      <c r="D224" s="218"/>
      <c r="E224" s="218"/>
      <c r="F224" s="218"/>
      <c r="G224" s="218"/>
      <c r="H224" s="218"/>
      <c r="I224" s="218"/>
      <c r="J224" s="266"/>
      <c r="K224" s="285"/>
      <c r="L224" s="352"/>
    </row>
    <row r="225" spans="1:12" ht="14.25" customHeight="1" x14ac:dyDescent="0.45">
      <c r="A225" s="618"/>
      <c r="B225" s="215"/>
      <c r="C225" s="221"/>
      <c r="D225" s="218"/>
      <c r="E225" s="218"/>
      <c r="F225" s="218"/>
      <c r="G225" s="218"/>
      <c r="H225" s="218"/>
      <c r="I225" s="218"/>
      <c r="J225" s="266"/>
      <c r="K225" s="468"/>
      <c r="L225" s="352"/>
    </row>
    <row r="226" spans="1:12" ht="14.25" customHeight="1" x14ac:dyDescent="0.45">
      <c r="A226" s="618"/>
      <c r="B226" s="215"/>
      <c r="C226" s="221"/>
      <c r="D226" s="218"/>
      <c r="E226" s="218"/>
      <c r="F226" s="218"/>
      <c r="G226" s="218"/>
      <c r="H226" s="218"/>
      <c r="I226" s="218"/>
      <c r="J226" s="266"/>
      <c r="K226" s="468"/>
      <c r="L226" s="352"/>
    </row>
    <row r="227" spans="1:12" ht="14.25" customHeight="1" x14ac:dyDescent="0.45">
      <c r="A227" s="618"/>
      <c r="B227" s="215"/>
      <c r="C227" s="221"/>
      <c r="D227" s="218"/>
      <c r="E227" s="218"/>
      <c r="F227" s="218"/>
      <c r="G227" s="218"/>
      <c r="H227" s="218"/>
      <c r="I227" s="218"/>
      <c r="J227" s="266"/>
      <c r="K227" s="468"/>
      <c r="L227" s="352"/>
    </row>
    <row r="228" spans="1:12" ht="14.25" customHeight="1" x14ac:dyDescent="0.45">
      <c r="A228" s="618"/>
      <c r="B228" s="215"/>
      <c r="C228" s="221"/>
      <c r="D228" s="218"/>
      <c r="E228" s="218"/>
      <c r="F228" s="218"/>
      <c r="G228" s="218"/>
      <c r="H228" s="218"/>
      <c r="I228" s="218"/>
      <c r="J228" s="266"/>
      <c r="K228" s="468"/>
      <c r="L228" s="352"/>
    </row>
    <row r="229" spans="1:12" ht="14.25" customHeight="1" x14ac:dyDescent="0.45">
      <c r="A229" s="618"/>
      <c r="B229" s="215"/>
      <c r="C229" s="221"/>
      <c r="D229" s="218"/>
      <c r="E229" s="218"/>
      <c r="F229" s="218"/>
      <c r="G229" s="218"/>
      <c r="H229" s="218"/>
      <c r="I229" s="218"/>
      <c r="J229" s="266"/>
      <c r="K229" s="468"/>
      <c r="L229" s="352"/>
    </row>
    <row r="230" spans="1:12" ht="14.25" customHeight="1" x14ac:dyDescent="0.45">
      <c r="A230" s="618"/>
      <c r="B230" s="215"/>
      <c r="C230" s="221"/>
      <c r="D230" s="218"/>
      <c r="E230" s="218"/>
      <c r="F230" s="218"/>
      <c r="G230" s="218"/>
      <c r="H230" s="218"/>
      <c r="I230" s="218"/>
      <c r="J230" s="266"/>
      <c r="K230" s="468"/>
      <c r="L230" s="352"/>
    </row>
    <row r="231" spans="1:12" ht="14.25" customHeight="1" x14ac:dyDescent="0.45">
      <c r="A231" s="618"/>
      <c r="B231" s="215"/>
      <c r="C231" s="221"/>
      <c r="D231" s="218"/>
      <c r="E231" s="218"/>
      <c r="F231" s="218"/>
      <c r="G231" s="218"/>
      <c r="H231" s="218"/>
      <c r="I231" s="218"/>
      <c r="J231" s="266"/>
      <c r="K231" s="468"/>
      <c r="L231" s="352"/>
    </row>
    <row r="232" spans="1:12" ht="14.25" customHeight="1" x14ac:dyDescent="0.45">
      <c r="A232" s="618"/>
      <c r="B232" s="215"/>
      <c r="C232" s="221"/>
      <c r="D232" s="218"/>
      <c r="E232" s="218"/>
      <c r="F232" s="218"/>
      <c r="G232" s="218"/>
      <c r="H232" s="218"/>
      <c r="I232" s="218"/>
      <c r="J232" s="266"/>
      <c r="K232" s="285"/>
      <c r="L232" s="352"/>
    </row>
    <row r="233" spans="1:12" ht="14.25" customHeight="1" x14ac:dyDescent="0.45">
      <c r="A233" s="618"/>
      <c r="B233" s="215"/>
      <c r="C233" s="221"/>
      <c r="D233" s="218"/>
      <c r="E233" s="218"/>
      <c r="F233" s="218"/>
      <c r="G233" s="218"/>
      <c r="H233" s="218"/>
      <c r="I233" s="218"/>
      <c r="J233" s="266"/>
      <c r="K233" s="285"/>
      <c r="L233" s="352"/>
    </row>
    <row r="234" spans="1:12" ht="14.25" customHeight="1" x14ac:dyDescent="0.45">
      <c r="A234" s="1"/>
      <c r="B234" s="215"/>
      <c r="C234" s="221"/>
      <c r="D234" s="218"/>
      <c r="E234" s="218"/>
      <c r="F234" s="218"/>
      <c r="G234" s="218"/>
      <c r="H234" s="218"/>
      <c r="I234" s="218"/>
      <c r="J234" s="266"/>
      <c r="K234" s="285"/>
      <c r="L234" s="352"/>
    </row>
    <row r="235" spans="1:12" ht="14.25" customHeight="1" x14ac:dyDescent="0.45">
      <c r="A235" s="618"/>
      <c r="B235" s="215"/>
      <c r="C235" s="221"/>
      <c r="D235" s="218"/>
      <c r="E235" s="218"/>
      <c r="F235" s="218"/>
      <c r="G235" s="218"/>
      <c r="H235" s="218"/>
      <c r="I235" s="218"/>
      <c r="J235" s="266"/>
      <c r="K235" s="285"/>
      <c r="L235" s="352"/>
    </row>
    <row r="236" spans="1:12" ht="14.25" customHeight="1" x14ac:dyDescent="0.45">
      <c r="A236" s="618"/>
      <c r="B236" s="215"/>
      <c r="C236" s="221"/>
      <c r="D236" s="218"/>
      <c r="E236" s="218"/>
      <c r="F236" s="218"/>
      <c r="G236" s="218"/>
      <c r="H236" s="218"/>
      <c r="I236" s="218"/>
      <c r="J236" s="266"/>
      <c r="K236" s="285"/>
      <c r="L236" s="352"/>
    </row>
    <row r="237" spans="1:12" ht="14.25" customHeight="1" x14ac:dyDescent="0.45">
      <c r="A237" s="618"/>
      <c r="B237" s="215"/>
      <c r="C237" s="221"/>
      <c r="D237" s="218"/>
      <c r="E237" s="218"/>
      <c r="F237" s="218"/>
      <c r="G237" s="218"/>
      <c r="H237" s="218"/>
      <c r="I237" s="218"/>
      <c r="J237" s="266"/>
      <c r="K237" s="285"/>
      <c r="L237" s="352"/>
    </row>
    <row r="238" spans="1:12" ht="14.25" customHeight="1" x14ac:dyDescent="0.45">
      <c r="A238" s="618"/>
      <c r="B238" s="215"/>
      <c r="C238" s="221"/>
      <c r="D238" s="218"/>
      <c r="E238" s="218"/>
      <c r="F238" s="218"/>
      <c r="G238" s="218"/>
      <c r="H238" s="218"/>
      <c r="I238" s="218"/>
      <c r="J238" s="266"/>
      <c r="K238" s="285"/>
      <c r="L238" s="352"/>
    </row>
    <row r="239" spans="1:12" ht="14.25" customHeight="1" x14ac:dyDescent="0.45">
      <c r="A239" s="618"/>
      <c r="B239" s="215"/>
      <c r="C239" s="221"/>
      <c r="D239" s="218"/>
      <c r="E239" s="218"/>
      <c r="F239" s="218"/>
      <c r="G239" s="218"/>
      <c r="H239" s="218"/>
      <c r="I239" s="218"/>
      <c r="J239" s="266"/>
      <c r="K239" s="285"/>
      <c r="L239" s="352"/>
    </row>
    <row r="240" spans="1:12" ht="14.25" customHeight="1" x14ac:dyDescent="0.45">
      <c r="A240" s="618"/>
      <c r="B240" s="215"/>
      <c r="C240" s="221"/>
      <c r="D240" s="218"/>
      <c r="E240" s="218"/>
      <c r="F240" s="218"/>
      <c r="G240" s="218"/>
      <c r="H240" s="218"/>
      <c r="I240" s="218"/>
      <c r="J240" s="266"/>
      <c r="K240" s="285"/>
      <c r="L240" s="352"/>
    </row>
    <row r="241" spans="1:12" ht="14.25" customHeight="1" x14ac:dyDescent="0.45">
      <c r="A241" s="618"/>
      <c r="B241" s="215"/>
      <c r="C241" s="221"/>
      <c r="D241" s="218"/>
      <c r="E241" s="218"/>
      <c r="F241" s="218"/>
      <c r="G241" s="218"/>
      <c r="H241" s="218"/>
      <c r="I241" s="218"/>
      <c r="J241" s="266"/>
      <c r="K241" s="285"/>
      <c r="L241" s="352"/>
    </row>
    <row r="242" spans="1:12" ht="14.25" customHeight="1" x14ac:dyDescent="0.45">
      <c r="A242" s="618"/>
      <c r="B242" s="215"/>
      <c r="C242" s="221"/>
      <c r="D242" s="218"/>
      <c r="E242" s="218"/>
      <c r="F242" s="218"/>
      <c r="G242" s="218"/>
      <c r="H242" s="218"/>
      <c r="I242" s="218"/>
      <c r="J242" s="266"/>
      <c r="K242" s="285"/>
      <c r="L242" s="352"/>
    </row>
    <row r="243" spans="1:12" ht="14.25" customHeight="1" x14ac:dyDescent="0.45">
      <c r="A243" s="618"/>
      <c r="B243" s="215"/>
      <c r="C243" s="221"/>
      <c r="D243" s="218"/>
      <c r="E243" s="218"/>
      <c r="F243" s="218"/>
      <c r="G243" s="218"/>
      <c r="H243" s="218"/>
      <c r="I243" s="218"/>
      <c r="J243" s="266"/>
      <c r="K243" s="285"/>
      <c r="L243" s="352"/>
    </row>
    <row r="244" spans="1:12" ht="14.25" customHeight="1" x14ac:dyDescent="0.45">
      <c r="A244" s="618"/>
      <c r="B244" s="215"/>
      <c r="C244" s="221"/>
      <c r="D244" s="218"/>
      <c r="E244" s="218"/>
      <c r="F244" s="218"/>
      <c r="G244" s="218"/>
      <c r="H244" s="218"/>
      <c r="I244" s="218"/>
      <c r="J244" s="266"/>
      <c r="K244" s="285"/>
      <c r="L244" s="352"/>
    </row>
    <row r="245" spans="1:12" ht="14.25" customHeight="1" x14ac:dyDescent="0.45">
      <c r="A245" s="618"/>
      <c r="B245" s="215"/>
      <c r="C245" s="221"/>
      <c r="D245" s="218"/>
      <c r="E245" s="218"/>
      <c r="F245" s="218"/>
      <c r="G245" s="218"/>
      <c r="H245" s="218"/>
      <c r="I245" s="218"/>
      <c r="J245" s="266"/>
      <c r="K245" s="285"/>
      <c r="L245" s="352"/>
    </row>
    <row r="246" spans="1:12" ht="14.25" customHeight="1" x14ac:dyDescent="0.45">
      <c r="A246" s="618"/>
      <c r="B246" s="215"/>
      <c r="C246" s="221"/>
      <c r="D246" s="218"/>
      <c r="E246" s="218"/>
      <c r="F246" s="218"/>
      <c r="G246" s="218"/>
      <c r="H246" s="218"/>
      <c r="I246" s="218"/>
      <c r="J246" s="266"/>
      <c r="K246" s="285"/>
      <c r="L246" s="352"/>
    </row>
    <row r="247" spans="1:12" ht="14.25" customHeight="1" x14ac:dyDescent="0.45">
      <c r="A247" s="618"/>
      <c r="B247" s="215"/>
      <c r="C247" s="221"/>
      <c r="D247" s="218"/>
      <c r="E247" s="218"/>
      <c r="F247" s="218"/>
      <c r="G247" s="218"/>
      <c r="H247" s="218"/>
      <c r="I247" s="218"/>
      <c r="J247" s="266"/>
      <c r="K247" s="285"/>
      <c r="L247" s="352"/>
    </row>
    <row r="248" spans="1:12" ht="14.25" customHeight="1" x14ac:dyDescent="0.45">
      <c r="A248" s="618"/>
      <c r="B248" s="215"/>
      <c r="C248" s="221"/>
      <c r="D248" s="218"/>
      <c r="E248" s="218"/>
      <c r="F248" s="218"/>
      <c r="G248" s="218"/>
      <c r="H248" s="218"/>
      <c r="I248" s="218"/>
      <c r="J248" s="266"/>
      <c r="K248" s="285"/>
      <c r="L248" s="352"/>
    </row>
    <row r="249" spans="1:12" ht="14.25" customHeight="1" x14ac:dyDescent="0.45">
      <c r="A249" s="618"/>
      <c r="B249" s="215"/>
      <c r="C249" s="221"/>
      <c r="D249" s="218"/>
      <c r="E249" s="218"/>
      <c r="F249" s="218"/>
      <c r="G249" s="218"/>
      <c r="H249" s="218"/>
      <c r="I249" s="218"/>
      <c r="J249" s="266"/>
      <c r="K249" s="285"/>
      <c r="L249" s="352"/>
    </row>
    <row r="250" spans="1:12" ht="14.25" customHeight="1" x14ac:dyDescent="0.45">
      <c r="A250" s="618"/>
      <c r="B250" s="215"/>
      <c r="C250" s="221"/>
      <c r="D250" s="218"/>
      <c r="E250" s="218"/>
      <c r="F250" s="218"/>
      <c r="G250" s="218"/>
      <c r="H250" s="218"/>
      <c r="I250" s="218"/>
      <c r="J250" s="266"/>
      <c r="K250" s="285"/>
      <c r="L250" s="352"/>
    </row>
    <row r="251" spans="1:12" ht="14.25" customHeight="1" x14ac:dyDescent="0.45">
      <c r="A251" s="618"/>
      <c r="B251" s="215"/>
      <c r="C251" s="221"/>
      <c r="D251" s="218"/>
      <c r="E251" s="218"/>
      <c r="F251" s="218"/>
      <c r="G251" s="218"/>
      <c r="H251" s="218"/>
      <c r="I251" s="218"/>
      <c r="J251" s="266"/>
      <c r="K251" s="285"/>
      <c r="L251" s="352"/>
    </row>
    <row r="252" spans="1:12" ht="14.25" customHeight="1" x14ac:dyDescent="0.45">
      <c r="A252" s="618"/>
      <c r="B252" s="215"/>
      <c r="C252" s="221"/>
      <c r="D252" s="218"/>
      <c r="E252" s="218"/>
      <c r="F252" s="218"/>
      <c r="G252" s="218"/>
      <c r="H252" s="218"/>
      <c r="I252" s="218"/>
      <c r="J252" s="266"/>
      <c r="K252" s="285"/>
      <c r="L252" s="352"/>
    </row>
    <row r="253" spans="1:12" ht="14.25" customHeight="1" x14ac:dyDescent="0.45">
      <c r="A253" s="618"/>
      <c r="B253" s="215"/>
      <c r="C253" s="221"/>
      <c r="D253" s="218"/>
      <c r="E253" s="218"/>
      <c r="F253" s="218"/>
      <c r="G253" s="218"/>
      <c r="H253" s="218"/>
      <c r="I253" s="218"/>
      <c r="J253" s="266"/>
      <c r="K253" s="285"/>
      <c r="L253" s="352"/>
    </row>
    <row r="254" spans="1:12" ht="14.25" customHeight="1" x14ac:dyDescent="0.45">
      <c r="A254" s="618"/>
      <c r="B254" s="215"/>
      <c r="C254" s="221"/>
      <c r="D254" s="218"/>
      <c r="E254" s="218"/>
      <c r="F254" s="218"/>
      <c r="G254" s="218"/>
      <c r="H254" s="218"/>
      <c r="I254" s="218"/>
      <c r="J254" s="266"/>
      <c r="K254" s="285"/>
      <c r="L254" s="352"/>
    </row>
    <row r="255" spans="1:12" ht="14.25" customHeight="1" x14ac:dyDescent="0.45">
      <c r="A255" s="618"/>
      <c r="B255" s="215"/>
      <c r="C255" s="221"/>
      <c r="D255" s="218"/>
      <c r="E255" s="218"/>
      <c r="F255" s="218"/>
      <c r="G255" s="218"/>
      <c r="H255" s="218"/>
      <c r="I255" s="218"/>
      <c r="J255" s="266"/>
      <c r="K255" s="285"/>
      <c r="L255" s="352"/>
    </row>
    <row r="256" spans="1:12" ht="14.25" customHeight="1" x14ac:dyDescent="0.45">
      <c r="A256" s="618"/>
      <c r="B256" s="215"/>
      <c r="C256" s="221"/>
      <c r="D256" s="218"/>
      <c r="E256" s="218"/>
      <c r="F256" s="218"/>
      <c r="G256" s="218"/>
      <c r="H256" s="218"/>
      <c r="I256" s="218"/>
      <c r="J256" s="266"/>
      <c r="K256" s="285"/>
      <c r="L256" s="352"/>
    </row>
    <row r="257" spans="1:12" ht="14.25" customHeight="1" x14ac:dyDescent="0.45">
      <c r="A257" s="618"/>
      <c r="B257" s="215"/>
      <c r="C257" s="221"/>
      <c r="D257" s="218"/>
      <c r="E257" s="218"/>
      <c r="F257" s="218"/>
      <c r="G257" s="218"/>
      <c r="H257" s="218"/>
      <c r="I257" s="218"/>
      <c r="J257" s="266"/>
      <c r="K257" s="285"/>
      <c r="L257" s="352"/>
    </row>
    <row r="258" spans="1:12" ht="14.25" customHeight="1" x14ac:dyDescent="0.45">
      <c r="A258" s="618"/>
      <c r="B258" s="215"/>
      <c r="C258" s="221"/>
      <c r="D258" s="218"/>
      <c r="E258" s="218"/>
      <c r="F258" s="218"/>
      <c r="G258" s="218"/>
      <c r="H258" s="218"/>
      <c r="I258" s="218"/>
      <c r="J258" s="266"/>
      <c r="K258" s="285"/>
      <c r="L258" s="352"/>
    </row>
    <row r="259" spans="1:12" ht="14.25" customHeight="1" x14ac:dyDescent="0.45">
      <c r="A259" s="618"/>
      <c r="B259" s="215"/>
      <c r="C259" s="289"/>
      <c r="D259" s="218"/>
      <c r="E259" s="218"/>
      <c r="F259" s="218"/>
      <c r="G259" s="218"/>
      <c r="H259" s="218"/>
      <c r="I259" s="218"/>
      <c r="J259" s="266"/>
      <c r="K259" s="285"/>
      <c r="L259" s="352"/>
    </row>
    <row r="260" spans="1:12" ht="14.25" customHeight="1" x14ac:dyDescent="0.45">
      <c r="A260" s="618"/>
      <c r="B260" s="215"/>
      <c r="C260" s="221"/>
      <c r="D260" s="218"/>
      <c r="E260" s="218"/>
      <c r="F260" s="218"/>
      <c r="G260" s="218"/>
      <c r="H260" s="218"/>
      <c r="I260" s="218"/>
      <c r="J260" s="266"/>
      <c r="K260" s="285"/>
      <c r="L260" s="352"/>
    </row>
    <row r="261" spans="1:12" ht="14.25" customHeight="1" x14ac:dyDescent="0.45">
      <c r="A261" s="618"/>
      <c r="B261" s="215"/>
      <c r="C261" s="353"/>
      <c r="D261" s="363"/>
      <c r="E261" s="363"/>
      <c r="F261" s="363"/>
      <c r="G261" s="363"/>
      <c r="H261" s="363"/>
      <c r="I261" s="363"/>
      <c r="J261" s="466"/>
      <c r="K261" s="220"/>
      <c r="L261" s="352"/>
    </row>
    <row r="262" spans="1:12" ht="21" customHeight="1" x14ac:dyDescent="0.45">
      <c r="A262" s="618"/>
      <c r="B262" s="215"/>
      <c r="C262" s="469" t="s">
        <v>337</v>
      </c>
      <c r="D262" s="218"/>
      <c r="E262" s="218"/>
      <c r="F262" s="218"/>
      <c r="G262" s="218"/>
      <c r="H262" s="218"/>
      <c r="I262" s="218"/>
      <c r="J262" s="266"/>
      <c r="K262" s="285"/>
      <c r="L262" s="352"/>
    </row>
    <row r="263" spans="1:12" ht="21" customHeight="1" x14ac:dyDescent="0.45">
      <c r="A263" s="618"/>
      <c r="B263" s="215"/>
      <c r="C263" s="469"/>
      <c r="D263" s="218"/>
      <c r="E263" s="218"/>
      <c r="F263" s="218"/>
      <c r="G263" s="218"/>
      <c r="H263" s="218"/>
      <c r="I263" s="218"/>
      <c r="J263" s="266"/>
      <c r="K263" s="285"/>
      <c r="L263" s="352"/>
    </row>
    <row r="264" spans="1:12" ht="21" customHeight="1" x14ac:dyDescent="0.45">
      <c r="A264" s="618"/>
      <c r="B264" s="215"/>
      <c r="C264" s="469"/>
      <c r="D264" s="218"/>
      <c r="E264" s="218"/>
      <c r="F264" s="218"/>
      <c r="G264" s="218"/>
      <c r="H264" s="218"/>
      <c r="I264" s="218"/>
      <c r="J264" s="266"/>
      <c r="K264" s="285"/>
      <c r="L264" s="352"/>
    </row>
    <row r="265" spans="1:12" ht="21" customHeight="1" x14ac:dyDescent="0.45">
      <c r="A265" s="618"/>
      <c r="B265" s="215"/>
      <c r="C265" s="469"/>
      <c r="D265" s="218"/>
      <c r="E265" s="218"/>
      <c r="F265" s="218"/>
      <c r="G265" s="218"/>
      <c r="H265" s="218"/>
      <c r="I265" s="218"/>
      <c r="J265" s="266"/>
      <c r="K265" s="285"/>
      <c r="L265" s="352"/>
    </row>
    <row r="266" spans="1:12" ht="21" customHeight="1" x14ac:dyDescent="0.45">
      <c r="A266" s="618"/>
      <c r="B266" s="215"/>
      <c r="C266" s="469"/>
      <c r="D266" s="218"/>
      <c r="E266" s="218"/>
      <c r="F266" s="218"/>
      <c r="G266" s="218"/>
      <c r="H266" s="218"/>
      <c r="I266" s="218"/>
      <c r="J266" s="266"/>
      <c r="K266" s="285"/>
      <c r="L266" s="352"/>
    </row>
    <row r="267" spans="1:12" ht="21" customHeight="1" x14ac:dyDescent="0.45">
      <c r="A267" s="618"/>
      <c r="B267" s="215"/>
      <c r="C267" s="469"/>
      <c r="D267" s="218"/>
      <c r="E267" s="218"/>
      <c r="F267" s="218"/>
      <c r="G267" s="218"/>
      <c r="H267" s="218"/>
      <c r="I267" s="218"/>
      <c r="J267" s="266"/>
      <c r="K267" s="285"/>
      <c r="L267" s="352"/>
    </row>
    <row r="268" spans="1:12" ht="21" customHeight="1" x14ac:dyDescent="0.45">
      <c r="A268" s="618"/>
      <c r="B268" s="215"/>
      <c r="C268" s="469"/>
      <c r="D268" s="218"/>
      <c r="E268" s="218"/>
      <c r="F268" s="218"/>
      <c r="G268" s="218"/>
      <c r="H268" s="218"/>
      <c r="I268" s="218"/>
      <c r="J268" s="266"/>
      <c r="K268" s="285"/>
      <c r="L268" s="352"/>
    </row>
    <row r="269" spans="1:12" ht="21" customHeight="1" x14ac:dyDescent="0.45">
      <c r="A269" s="618"/>
      <c r="B269" s="215"/>
      <c r="C269" s="469"/>
      <c r="D269" s="218"/>
      <c r="E269" s="218"/>
      <c r="F269" s="218"/>
      <c r="G269" s="218"/>
      <c r="H269" s="218"/>
      <c r="I269" s="218"/>
      <c r="J269" s="266"/>
      <c r="K269" s="285"/>
      <c r="L269" s="352"/>
    </row>
    <row r="270" spans="1:12" ht="21" customHeight="1" x14ac:dyDescent="0.45">
      <c r="A270" s="618"/>
      <c r="B270" s="215"/>
      <c r="C270" s="469"/>
      <c r="D270" s="218"/>
      <c r="E270" s="218"/>
      <c r="F270" s="218"/>
      <c r="G270" s="218"/>
      <c r="H270" s="218"/>
      <c r="I270" s="218"/>
      <c r="J270" s="266"/>
      <c r="K270" s="285"/>
      <c r="L270" s="352"/>
    </row>
    <row r="271" spans="1:12" ht="21" customHeight="1" x14ac:dyDescent="0.45">
      <c r="A271" s="618"/>
      <c r="B271" s="215"/>
      <c r="C271" s="469"/>
      <c r="D271" s="218"/>
      <c r="E271" s="218"/>
      <c r="F271" s="218"/>
      <c r="G271" s="218"/>
      <c r="H271" s="218"/>
      <c r="I271" s="218"/>
      <c r="J271" s="266"/>
      <c r="K271" s="285"/>
      <c r="L271" s="352"/>
    </row>
    <row r="272" spans="1:12" ht="21" customHeight="1" x14ac:dyDescent="0.45">
      <c r="A272" s="618"/>
      <c r="B272" s="215"/>
      <c r="C272" s="469"/>
      <c r="D272" s="218"/>
      <c r="E272" s="218"/>
      <c r="F272" s="218"/>
      <c r="G272" s="218"/>
      <c r="H272" s="218"/>
      <c r="I272" s="218"/>
      <c r="J272" s="266"/>
      <c r="K272" s="285"/>
      <c r="L272" s="352"/>
    </row>
    <row r="273" spans="1:12" ht="21" customHeight="1" x14ac:dyDescent="0.45">
      <c r="A273" s="618"/>
      <c r="B273" s="215"/>
      <c r="C273" s="469"/>
      <c r="D273" s="218"/>
      <c r="E273" s="218"/>
      <c r="F273" s="218"/>
      <c r="G273" s="218"/>
      <c r="H273" s="218"/>
      <c r="I273" s="218"/>
      <c r="J273" s="266"/>
      <c r="K273" s="285"/>
      <c r="L273" s="352"/>
    </row>
    <row r="274" spans="1:12" ht="21" customHeight="1" x14ac:dyDescent="0.45">
      <c r="A274" s="618"/>
      <c r="B274" s="215"/>
      <c r="C274" s="469"/>
      <c r="D274" s="218"/>
      <c r="E274" s="218"/>
      <c r="F274" s="218"/>
      <c r="G274" s="218"/>
      <c r="H274" s="218"/>
      <c r="I274" s="218"/>
      <c r="J274" s="266"/>
      <c r="K274" s="285"/>
      <c r="L274" s="352"/>
    </row>
    <row r="275" spans="1:12" ht="21" customHeight="1" x14ac:dyDescent="0.45">
      <c r="A275" s="618"/>
      <c r="B275" s="215"/>
      <c r="C275" s="469"/>
      <c r="D275" s="218"/>
      <c r="E275" s="218"/>
      <c r="F275" s="218"/>
      <c r="G275" s="218"/>
      <c r="H275" s="218"/>
      <c r="I275" s="218"/>
      <c r="J275" s="266"/>
      <c r="K275" s="285"/>
      <c r="L275" s="352"/>
    </row>
    <row r="276" spans="1:12" ht="21" customHeight="1" x14ac:dyDescent="0.45">
      <c r="A276" s="618"/>
      <c r="B276" s="215"/>
      <c r="C276" s="469"/>
      <c r="D276" s="218"/>
      <c r="E276" s="218"/>
      <c r="F276" s="218"/>
      <c r="G276" s="218"/>
      <c r="H276" s="218"/>
      <c r="I276" s="218"/>
      <c r="J276" s="266"/>
      <c r="K276" s="285"/>
      <c r="L276" s="352"/>
    </row>
    <row r="277" spans="1:12" ht="21" customHeight="1" x14ac:dyDescent="0.45">
      <c r="A277" s="618"/>
      <c r="B277" s="215"/>
      <c r="C277" s="469"/>
      <c r="D277" s="218"/>
      <c r="E277" s="218"/>
      <c r="F277" s="218"/>
      <c r="G277" s="218"/>
      <c r="H277" s="218"/>
      <c r="I277" s="218"/>
      <c r="J277" s="266"/>
      <c r="K277" s="285"/>
      <c r="L277" s="352"/>
    </row>
    <row r="278" spans="1:12" ht="21" customHeight="1" x14ac:dyDescent="0.45">
      <c r="A278" s="618"/>
      <c r="B278" s="215"/>
      <c r="C278" s="469"/>
      <c r="D278" s="218"/>
      <c r="E278" s="218"/>
      <c r="F278" s="218"/>
      <c r="G278" s="218"/>
      <c r="H278" s="218"/>
      <c r="I278" s="218"/>
      <c r="J278" s="266"/>
      <c r="K278" s="285"/>
      <c r="L278" s="352"/>
    </row>
    <row r="279" spans="1:12" ht="21" customHeight="1" x14ac:dyDescent="0.45">
      <c r="A279" s="618"/>
      <c r="B279" s="215"/>
      <c r="C279" s="469"/>
      <c r="D279" s="218"/>
      <c r="E279" s="218"/>
      <c r="F279" s="218"/>
      <c r="G279" s="218"/>
      <c r="H279" s="218"/>
      <c r="I279" s="218"/>
      <c r="J279" s="266"/>
      <c r="K279" s="285"/>
      <c r="L279" s="352"/>
    </row>
    <row r="280" spans="1:12" ht="21" customHeight="1" x14ac:dyDescent="0.45">
      <c r="A280" s="618"/>
      <c r="B280" s="215"/>
      <c r="C280" s="469"/>
      <c r="D280" s="218"/>
      <c r="E280" s="218"/>
      <c r="F280" s="218"/>
      <c r="G280" s="218"/>
      <c r="H280" s="218"/>
      <c r="I280" s="218"/>
      <c r="J280" s="266"/>
      <c r="K280" s="285"/>
      <c r="L280" s="352"/>
    </row>
    <row r="281" spans="1:12" ht="21" customHeight="1" x14ac:dyDescent="0.45">
      <c r="A281" s="618"/>
      <c r="B281" s="215"/>
      <c r="C281" s="469"/>
      <c r="D281" s="218"/>
      <c r="E281" s="218"/>
      <c r="F281" s="218"/>
      <c r="G281" s="218"/>
      <c r="H281" s="218"/>
      <c r="I281" s="218"/>
      <c r="J281" s="266"/>
      <c r="K281" s="285"/>
      <c r="L281" s="352"/>
    </row>
    <row r="282" spans="1:12" ht="21" customHeight="1" x14ac:dyDescent="0.45">
      <c r="A282" s="618"/>
      <c r="B282" s="215"/>
      <c r="C282" s="469"/>
      <c r="D282" s="218"/>
      <c r="E282" s="218"/>
      <c r="F282" s="218"/>
      <c r="G282" s="218"/>
      <c r="H282" s="218"/>
      <c r="I282" s="218"/>
      <c r="J282" s="266"/>
      <c r="K282" s="285"/>
      <c r="L282" s="352"/>
    </row>
    <row r="283" spans="1:12" ht="21" customHeight="1" x14ac:dyDescent="0.45">
      <c r="A283" s="618"/>
      <c r="B283" s="215"/>
      <c r="C283" s="469"/>
      <c r="D283" s="218"/>
      <c r="E283" s="218"/>
      <c r="F283" s="218"/>
      <c r="G283" s="218"/>
      <c r="H283" s="218"/>
      <c r="I283" s="218"/>
      <c r="J283" s="266"/>
      <c r="K283" s="285"/>
      <c r="L283" s="352"/>
    </row>
    <row r="284" spans="1:12" ht="21" customHeight="1" x14ac:dyDescent="0.45">
      <c r="A284" s="618"/>
      <c r="B284" s="215"/>
      <c r="C284" s="469"/>
      <c r="D284" s="218"/>
      <c r="E284" s="218"/>
      <c r="F284" s="218"/>
      <c r="G284" s="218"/>
      <c r="H284" s="218"/>
      <c r="I284" s="218"/>
      <c r="J284" s="266"/>
      <c r="K284" s="285"/>
      <c r="L284" s="352"/>
    </row>
    <row r="285" spans="1:12" ht="21" customHeight="1" x14ac:dyDescent="0.45">
      <c r="A285" s="618"/>
      <c r="B285" s="215"/>
      <c r="C285" s="469"/>
      <c r="D285" s="218"/>
      <c r="E285" s="218"/>
      <c r="F285" s="218"/>
      <c r="G285" s="218"/>
      <c r="H285" s="218"/>
      <c r="I285" s="218"/>
      <c r="J285" s="266"/>
      <c r="K285" s="285"/>
      <c r="L285" s="352"/>
    </row>
    <row r="286" spans="1:12" ht="21" customHeight="1" x14ac:dyDescent="0.45">
      <c r="A286" s="618"/>
      <c r="B286" s="215"/>
      <c r="C286" s="469"/>
      <c r="D286" s="218"/>
      <c r="E286" s="218"/>
      <c r="F286" s="218"/>
      <c r="G286" s="218"/>
      <c r="H286" s="218"/>
      <c r="I286" s="218"/>
      <c r="J286" s="266"/>
      <c r="K286" s="285"/>
      <c r="L286" s="352"/>
    </row>
    <row r="287" spans="1:12" ht="21" customHeight="1" x14ac:dyDescent="0.45">
      <c r="A287" s="618"/>
      <c r="B287" s="215"/>
      <c r="C287" s="469"/>
      <c r="D287" s="218"/>
      <c r="E287" s="218"/>
      <c r="F287" s="218"/>
      <c r="G287" s="218"/>
      <c r="H287" s="218"/>
      <c r="I287" s="218"/>
      <c r="J287" s="266"/>
      <c r="K287" s="285"/>
      <c r="L287" s="352"/>
    </row>
    <row r="288" spans="1:12" ht="21" customHeight="1" x14ac:dyDescent="0.45">
      <c r="A288" s="618"/>
      <c r="B288" s="215"/>
      <c r="C288" s="469"/>
      <c r="D288" s="218"/>
      <c r="E288" s="218"/>
      <c r="F288" s="218"/>
      <c r="G288" s="218"/>
      <c r="H288" s="218"/>
      <c r="I288" s="218"/>
      <c r="J288" s="266"/>
      <c r="K288" s="285"/>
      <c r="L288" s="352"/>
    </row>
    <row r="289" spans="1:12" ht="21" customHeight="1" x14ac:dyDescent="0.45">
      <c r="A289" s="618"/>
      <c r="B289" s="215"/>
      <c r="C289" s="469"/>
      <c r="D289" s="218"/>
      <c r="E289" s="218"/>
      <c r="F289" s="218"/>
      <c r="G289" s="218"/>
      <c r="H289" s="218"/>
      <c r="I289" s="218"/>
      <c r="J289" s="266"/>
      <c r="K289" s="285"/>
      <c r="L289" s="352"/>
    </row>
    <row r="290" spans="1:12" ht="21" customHeight="1" x14ac:dyDescent="0.45">
      <c r="A290" s="618"/>
      <c r="B290" s="215"/>
      <c r="C290" s="469"/>
      <c r="D290" s="218"/>
      <c r="E290" s="218"/>
      <c r="F290" s="218"/>
      <c r="G290" s="218"/>
      <c r="H290" s="218"/>
      <c r="I290" s="218"/>
      <c r="J290" s="266"/>
      <c r="K290" s="285"/>
      <c r="L290" s="352"/>
    </row>
    <row r="291" spans="1:12" ht="21" customHeight="1" x14ac:dyDescent="0.45">
      <c r="A291" s="618"/>
      <c r="B291" s="215"/>
      <c r="C291" s="469"/>
      <c r="D291" s="218"/>
      <c r="E291" s="218"/>
      <c r="F291" s="218"/>
      <c r="G291" s="218"/>
      <c r="H291" s="218"/>
      <c r="I291" s="218"/>
      <c r="J291" s="266"/>
      <c r="K291" s="285"/>
      <c r="L291" s="352"/>
    </row>
    <row r="292" spans="1:12" ht="21" customHeight="1" x14ac:dyDescent="0.45">
      <c r="A292" s="618"/>
      <c r="B292" s="215"/>
      <c r="C292" s="469"/>
      <c r="D292" s="218"/>
      <c r="E292" s="218"/>
      <c r="F292" s="218"/>
      <c r="G292" s="218"/>
      <c r="H292" s="218"/>
      <c r="I292" s="218"/>
      <c r="J292" s="266"/>
      <c r="K292" s="285"/>
      <c r="L292" s="352"/>
    </row>
    <row r="293" spans="1:12" ht="21" customHeight="1" x14ac:dyDescent="0.45">
      <c r="A293" s="618"/>
      <c r="B293" s="215"/>
      <c r="C293" s="469"/>
      <c r="D293" s="218"/>
      <c r="E293" s="218"/>
      <c r="F293" s="218"/>
      <c r="G293" s="218"/>
      <c r="H293" s="218"/>
      <c r="I293" s="218"/>
      <c r="J293" s="266"/>
      <c r="K293" s="285"/>
      <c r="L293" s="352"/>
    </row>
    <row r="294" spans="1:12" ht="21" customHeight="1" x14ac:dyDescent="0.45">
      <c r="A294" s="618"/>
      <c r="B294" s="215"/>
      <c r="C294" s="469"/>
      <c r="D294" s="218"/>
      <c r="E294" s="218"/>
      <c r="F294" s="218"/>
      <c r="G294" s="218"/>
      <c r="H294" s="218"/>
      <c r="I294" s="218"/>
      <c r="J294" s="266"/>
      <c r="K294" s="285"/>
      <c r="L294" s="352"/>
    </row>
    <row r="295" spans="1:12" ht="21" customHeight="1" x14ac:dyDescent="0.45">
      <c r="A295" s="618"/>
      <c r="B295" s="215"/>
      <c r="C295" s="469"/>
      <c r="D295" s="218"/>
      <c r="E295" s="218"/>
      <c r="F295" s="218"/>
      <c r="G295" s="218"/>
      <c r="H295" s="218"/>
      <c r="I295" s="218"/>
      <c r="J295" s="266"/>
      <c r="K295" s="285"/>
      <c r="L295" s="352"/>
    </row>
    <row r="296" spans="1:12" ht="21" customHeight="1" x14ac:dyDescent="0.45">
      <c r="A296" s="618"/>
      <c r="B296" s="215"/>
      <c r="C296" s="469"/>
      <c r="D296" s="218"/>
      <c r="E296" s="218"/>
      <c r="F296" s="218"/>
      <c r="G296" s="218"/>
      <c r="H296" s="218"/>
      <c r="I296" s="218"/>
      <c r="J296" s="266"/>
      <c r="K296" s="285"/>
      <c r="L296" s="352"/>
    </row>
    <row r="297" spans="1:12" ht="21" customHeight="1" x14ac:dyDescent="0.45">
      <c r="A297" s="618"/>
      <c r="B297" s="215"/>
      <c r="C297" s="469"/>
      <c r="D297" s="218"/>
      <c r="E297" s="218"/>
      <c r="F297" s="218"/>
      <c r="G297" s="218"/>
      <c r="H297" s="218"/>
      <c r="I297" s="218"/>
      <c r="J297" s="266"/>
      <c r="K297" s="285"/>
      <c r="L297" s="352"/>
    </row>
    <row r="298" spans="1:12" ht="21" customHeight="1" x14ac:dyDescent="0.45">
      <c r="A298" s="618"/>
      <c r="B298" s="215"/>
      <c r="C298" s="469"/>
      <c r="D298" s="218"/>
      <c r="E298" s="218"/>
      <c r="F298" s="218"/>
      <c r="G298" s="218"/>
      <c r="H298" s="218"/>
      <c r="I298" s="218"/>
      <c r="J298" s="266"/>
      <c r="K298" s="285"/>
      <c r="L298" s="352"/>
    </row>
    <row r="299" spans="1:12" ht="21" customHeight="1" x14ac:dyDescent="0.45">
      <c r="A299" s="618"/>
      <c r="B299" s="215"/>
      <c r="C299" s="469"/>
      <c r="D299" s="218"/>
      <c r="E299" s="218"/>
      <c r="F299" s="218"/>
      <c r="G299" s="218"/>
      <c r="H299" s="218"/>
      <c r="I299" s="218"/>
      <c r="J299" s="266"/>
      <c r="K299" s="285"/>
      <c r="L299" s="352"/>
    </row>
    <row r="300" spans="1:12" ht="21" customHeight="1" x14ac:dyDescent="0.45">
      <c r="A300" s="618"/>
      <c r="B300" s="215"/>
      <c r="C300" s="469"/>
      <c r="D300" s="218"/>
      <c r="E300" s="218"/>
      <c r="F300" s="218"/>
      <c r="G300" s="218"/>
      <c r="H300" s="218"/>
      <c r="I300" s="218"/>
      <c r="J300" s="266"/>
      <c r="K300" s="285"/>
      <c r="L300" s="352"/>
    </row>
    <row r="301" spans="1:12" ht="21" customHeight="1" x14ac:dyDescent="0.45">
      <c r="A301" s="618"/>
      <c r="B301" s="215"/>
      <c r="C301" s="469"/>
      <c r="D301" s="218"/>
      <c r="E301" s="218"/>
      <c r="F301" s="218"/>
      <c r="G301" s="218"/>
      <c r="H301" s="218"/>
      <c r="I301" s="218"/>
      <c r="J301" s="266"/>
      <c r="K301" s="285"/>
      <c r="L301" s="352"/>
    </row>
    <row r="302" spans="1:12" ht="21" customHeight="1" x14ac:dyDescent="0.45">
      <c r="A302" s="618"/>
      <c r="B302" s="215"/>
      <c r="C302" s="469"/>
      <c r="D302" s="218"/>
      <c r="E302" s="218"/>
      <c r="F302" s="218"/>
      <c r="G302" s="218"/>
      <c r="H302" s="218"/>
      <c r="I302" s="218"/>
      <c r="J302" s="266"/>
      <c r="K302" s="285"/>
      <c r="L302" s="352"/>
    </row>
    <row r="303" spans="1:12" ht="21" customHeight="1" x14ac:dyDescent="0.45">
      <c r="A303" s="618"/>
      <c r="B303" s="215"/>
      <c r="C303" s="469"/>
      <c r="D303" s="218"/>
      <c r="E303" s="218"/>
      <c r="F303" s="218"/>
      <c r="G303" s="218"/>
      <c r="H303" s="218"/>
      <c r="I303" s="218"/>
      <c r="J303" s="266"/>
      <c r="K303" s="285"/>
      <c r="L303" s="352"/>
    </row>
    <row r="304" spans="1:12" ht="21" customHeight="1" x14ac:dyDescent="0.45">
      <c r="A304" s="618"/>
      <c r="B304" s="215"/>
      <c r="C304" s="469"/>
      <c r="D304" s="218"/>
      <c r="E304" s="218"/>
      <c r="F304" s="218"/>
      <c r="G304" s="218"/>
      <c r="H304" s="218"/>
      <c r="I304" s="218"/>
      <c r="J304" s="266"/>
      <c r="K304" s="285"/>
      <c r="L304" s="352"/>
    </row>
    <row r="305" spans="1:12" ht="21" customHeight="1" x14ac:dyDescent="0.45">
      <c r="A305" s="618"/>
      <c r="B305" s="215"/>
      <c r="C305" s="469"/>
      <c r="D305" s="218"/>
      <c r="E305" s="218"/>
      <c r="F305" s="218"/>
      <c r="G305" s="218"/>
      <c r="H305" s="218"/>
      <c r="I305" s="218"/>
      <c r="J305" s="266"/>
      <c r="K305" s="285"/>
      <c r="L305" s="352"/>
    </row>
    <row r="306" spans="1:12" ht="21" customHeight="1" x14ac:dyDescent="0.45">
      <c r="A306" s="618"/>
      <c r="B306" s="215"/>
      <c r="C306" s="469"/>
      <c r="D306" s="218"/>
      <c r="E306" s="218"/>
      <c r="F306" s="218"/>
      <c r="G306" s="218"/>
      <c r="H306" s="218"/>
      <c r="I306" s="218"/>
      <c r="J306" s="266"/>
      <c r="K306" s="285"/>
      <c r="L306" s="352"/>
    </row>
    <row r="307" spans="1:12" ht="21" customHeight="1" x14ac:dyDescent="0.45">
      <c r="A307" s="618"/>
      <c r="B307" s="215"/>
      <c r="C307" s="469"/>
      <c r="D307" s="218"/>
      <c r="E307" s="218"/>
      <c r="F307" s="218"/>
      <c r="G307" s="218"/>
      <c r="H307" s="218"/>
      <c r="I307" s="218"/>
      <c r="J307" s="266"/>
      <c r="K307" s="285"/>
      <c r="L307" s="352"/>
    </row>
    <row r="308" spans="1:12" ht="21" customHeight="1" x14ac:dyDescent="0.45">
      <c r="A308" s="618"/>
      <c r="B308" s="215"/>
      <c r="C308" s="469"/>
      <c r="D308" s="218"/>
      <c r="E308" s="218"/>
      <c r="F308" s="218"/>
      <c r="G308" s="218"/>
      <c r="H308" s="218"/>
      <c r="I308" s="218"/>
      <c r="J308" s="266"/>
      <c r="K308" s="285"/>
      <c r="L308" s="352"/>
    </row>
    <row r="309" spans="1:12" ht="21" customHeight="1" x14ac:dyDescent="0.45">
      <c r="A309" s="618"/>
      <c r="B309" s="215"/>
      <c r="C309" s="469"/>
      <c r="D309" s="218"/>
      <c r="E309" s="218"/>
      <c r="F309" s="218"/>
      <c r="G309" s="218"/>
      <c r="H309" s="218"/>
      <c r="I309" s="218"/>
      <c r="J309" s="266"/>
      <c r="K309" s="285"/>
      <c r="L309" s="352"/>
    </row>
    <row r="310" spans="1:12" ht="21" customHeight="1" x14ac:dyDescent="0.45">
      <c r="A310" s="618"/>
      <c r="B310" s="215"/>
      <c r="C310" s="469"/>
      <c r="D310" s="218"/>
      <c r="E310" s="218"/>
      <c r="F310" s="218"/>
      <c r="G310" s="218"/>
      <c r="H310" s="218"/>
      <c r="I310" s="218"/>
      <c r="J310" s="266"/>
      <c r="K310" s="285"/>
      <c r="L310" s="352"/>
    </row>
    <row r="311" spans="1:12" ht="21" customHeight="1" x14ac:dyDescent="0.45">
      <c r="A311" s="618"/>
      <c r="B311" s="215"/>
      <c r="C311" s="469"/>
      <c r="D311" s="218"/>
      <c r="E311" s="218"/>
      <c r="F311" s="218"/>
      <c r="G311" s="218"/>
      <c r="H311" s="218"/>
      <c r="I311" s="218"/>
      <c r="J311" s="266"/>
      <c r="K311" s="285"/>
      <c r="L311" s="352"/>
    </row>
    <row r="312" spans="1:12" ht="21" customHeight="1" x14ac:dyDescent="0.45">
      <c r="A312" s="618"/>
      <c r="B312" s="215"/>
      <c r="C312" s="469"/>
      <c r="D312" s="218"/>
      <c r="E312" s="218"/>
      <c r="F312" s="218"/>
      <c r="G312" s="218"/>
      <c r="H312" s="218"/>
      <c r="I312" s="218"/>
      <c r="J312" s="266"/>
      <c r="K312" s="285"/>
      <c r="L312" s="352"/>
    </row>
    <row r="313" spans="1:12" ht="21" customHeight="1" x14ac:dyDescent="0.45">
      <c r="A313" s="618"/>
      <c r="B313" s="215"/>
      <c r="C313" s="469"/>
      <c r="D313" s="218"/>
      <c r="E313" s="218"/>
      <c r="F313" s="218"/>
      <c r="G313" s="218"/>
      <c r="H313" s="218"/>
      <c r="I313" s="218"/>
      <c r="J313" s="266"/>
      <c r="K313" s="285"/>
      <c r="L313" s="352"/>
    </row>
    <row r="314" spans="1:12" ht="21" customHeight="1" x14ac:dyDescent="0.45">
      <c r="A314" s="618"/>
      <c r="B314" s="215"/>
      <c r="C314" s="469"/>
      <c r="D314" s="218"/>
      <c r="E314" s="218"/>
      <c r="F314" s="218"/>
      <c r="G314" s="218"/>
      <c r="H314" s="218"/>
      <c r="I314" s="218"/>
      <c r="J314" s="266"/>
      <c r="K314" s="285"/>
      <c r="L314" s="352"/>
    </row>
    <row r="315" spans="1:12" ht="21" customHeight="1" x14ac:dyDescent="0.45">
      <c r="A315" s="618"/>
      <c r="B315" s="215"/>
      <c r="C315" s="469"/>
      <c r="D315" s="218"/>
      <c r="E315" s="218"/>
      <c r="F315" s="218"/>
      <c r="G315" s="218"/>
      <c r="H315" s="218"/>
      <c r="I315" s="218"/>
      <c r="J315" s="266"/>
      <c r="K315" s="285"/>
      <c r="L315" s="352"/>
    </row>
    <row r="316" spans="1:12" ht="21" customHeight="1" x14ac:dyDescent="0.45">
      <c r="A316" s="618"/>
      <c r="B316" s="215"/>
      <c r="C316" s="469"/>
      <c r="D316" s="218"/>
      <c r="E316" s="218"/>
      <c r="F316" s="218"/>
      <c r="G316" s="218"/>
      <c r="H316" s="218"/>
      <c r="I316" s="218"/>
      <c r="J316" s="266"/>
      <c r="K316" s="285"/>
      <c r="L316" s="352"/>
    </row>
    <row r="317" spans="1:12" ht="21" customHeight="1" x14ac:dyDescent="0.45">
      <c r="A317" s="618"/>
      <c r="B317" s="215"/>
      <c r="C317" s="469"/>
      <c r="D317" s="218"/>
      <c r="E317" s="218"/>
      <c r="F317" s="218"/>
      <c r="G317" s="218"/>
      <c r="H317" s="218"/>
      <c r="I317" s="218"/>
      <c r="J317" s="266"/>
      <c r="K317" s="285"/>
      <c r="L317" s="352"/>
    </row>
    <row r="318" spans="1:12" ht="21" customHeight="1" x14ac:dyDescent="0.45">
      <c r="A318" s="618"/>
      <c r="B318" s="215"/>
      <c r="C318" s="469"/>
      <c r="D318" s="218"/>
      <c r="E318" s="218"/>
      <c r="F318" s="218"/>
      <c r="G318" s="218"/>
      <c r="H318" s="218"/>
      <c r="I318" s="218"/>
      <c r="J318" s="266"/>
      <c r="K318" s="285"/>
      <c r="L318" s="352"/>
    </row>
    <row r="319" spans="1:12" ht="21" customHeight="1" x14ac:dyDescent="0.45">
      <c r="A319" s="618"/>
      <c r="B319" s="215"/>
      <c r="C319" s="469"/>
      <c r="D319" s="218"/>
      <c r="E319" s="218"/>
      <c r="F319" s="218"/>
      <c r="G319" s="218"/>
      <c r="H319" s="218"/>
      <c r="I319" s="218"/>
      <c r="J319" s="266"/>
      <c r="K319" s="285"/>
      <c r="L319" s="352"/>
    </row>
    <row r="320" spans="1:12" ht="21" customHeight="1" x14ac:dyDescent="0.45">
      <c r="A320" s="618"/>
      <c r="B320" s="215"/>
      <c r="C320" s="469"/>
      <c r="D320" s="218"/>
      <c r="E320" s="218"/>
      <c r="F320" s="218"/>
      <c r="G320" s="218"/>
      <c r="H320" s="218"/>
      <c r="I320" s="218"/>
      <c r="J320" s="266"/>
      <c r="K320" s="285"/>
      <c r="L320" s="352"/>
    </row>
    <row r="321" spans="1:12" ht="21" customHeight="1" x14ac:dyDescent="0.45">
      <c r="A321" s="618"/>
      <c r="B321" s="215"/>
      <c r="C321" s="469"/>
      <c r="D321" s="218"/>
      <c r="E321" s="218"/>
      <c r="F321" s="218"/>
      <c r="G321" s="218"/>
      <c r="H321" s="218"/>
      <c r="I321" s="218"/>
      <c r="J321" s="266"/>
      <c r="K321" s="285"/>
      <c r="L321" s="352"/>
    </row>
    <row r="322" spans="1:12" ht="21" customHeight="1" x14ac:dyDescent="0.45">
      <c r="A322" s="618"/>
      <c r="B322" s="215"/>
      <c r="C322" s="469"/>
      <c r="D322" s="218"/>
      <c r="E322" s="218"/>
      <c r="F322" s="218"/>
      <c r="G322" s="218"/>
      <c r="H322" s="218"/>
      <c r="I322" s="218"/>
      <c r="J322" s="266"/>
      <c r="K322" s="285"/>
      <c r="L322" s="352"/>
    </row>
    <row r="323" spans="1:12" ht="21" customHeight="1" x14ac:dyDescent="0.45">
      <c r="A323" s="618"/>
      <c r="B323" s="215"/>
      <c r="C323" s="469"/>
      <c r="D323" s="218"/>
      <c r="E323" s="218"/>
      <c r="F323" s="218"/>
      <c r="G323" s="218"/>
      <c r="H323" s="218"/>
      <c r="I323" s="218"/>
      <c r="J323" s="266"/>
      <c r="K323" s="285"/>
      <c r="L323" s="352"/>
    </row>
    <row r="324" spans="1:12" ht="21" customHeight="1" x14ac:dyDescent="0.45">
      <c r="A324" s="618"/>
      <c r="B324" s="215"/>
      <c r="C324" s="469"/>
      <c r="D324" s="218"/>
      <c r="E324" s="218"/>
      <c r="F324" s="218"/>
      <c r="G324" s="218"/>
      <c r="H324" s="218"/>
      <c r="I324" s="218"/>
      <c r="J324" s="266"/>
      <c r="K324" s="285"/>
      <c r="L324" s="352"/>
    </row>
    <row r="325" spans="1:12" ht="21" customHeight="1" x14ac:dyDescent="0.45">
      <c r="A325" s="618"/>
      <c r="B325" s="215"/>
      <c r="C325" s="469"/>
      <c r="D325" s="218"/>
      <c r="E325" s="218"/>
      <c r="F325" s="218"/>
      <c r="G325" s="218"/>
      <c r="H325" s="218"/>
      <c r="I325" s="218"/>
      <c r="J325" s="266"/>
      <c r="K325" s="285"/>
      <c r="L325" s="352"/>
    </row>
    <row r="326" spans="1:12" ht="21" customHeight="1" x14ac:dyDescent="0.45">
      <c r="A326" s="618"/>
      <c r="B326" s="215"/>
      <c r="C326" s="469"/>
      <c r="D326" s="218"/>
      <c r="E326" s="218"/>
      <c r="F326" s="218"/>
      <c r="G326" s="218"/>
      <c r="H326" s="218"/>
      <c r="I326" s="218"/>
      <c r="J326" s="266"/>
      <c r="K326" s="285"/>
      <c r="L326" s="352"/>
    </row>
    <row r="327" spans="1:12" ht="14.25" customHeight="1" x14ac:dyDescent="0.45">
      <c r="A327" s="618"/>
      <c r="B327" s="215"/>
      <c r="C327" s="469"/>
      <c r="D327" s="218"/>
      <c r="E327" s="218"/>
      <c r="F327" s="218"/>
      <c r="G327" s="218"/>
      <c r="H327" s="218"/>
      <c r="I327" s="218"/>
      <c r="J327" s="266"/>
      <c r="K327" s="285"/>
      <c r="L327" s="352"/>
    </row>
    <row r="328" spans="1:12" ht="14.25" customHeight="1" x14ac:dyDescent="0.45">
      <c r="A328" s="618"/>
      <c r="B328" s="215"/>
      <c r="C328" s="469"/>
      <c r="D328" s="218"/>
      <c r="E328" s="218"/>
      <c r="F328" s="218"/>
      <c r="G328" s="218"/>
      <c r="H328" s="218"/>
      <c r="I328" s="218"/>
      <c r="J328" s="266"/>
      <c r="K328" s="285"/>
      <c r="L328" s="352"/>
    </row>
    <row r="329" spans="1:12" ht="14.25" customHeight="1" x14ac:dyDescent="0.45">
      <c r="A329" s="618"/>
      <c r="B329" s="215"/>
      <c r="C329" s="469"/>
      <c r="D329" s="218"/>
      <c r="E329" s="218"/>
      <c r="F329" s="218"/>
      <c r="G329" s="218"/>
      <c r="H329" s="218"/>
      <c r="I329" s="218"/>
      <c r="J329" s="266"/>
      <c r="K329" s="285"/>
      <c r="L329" s="352"/>
    </row>
    <row r="330" spans="1:12" ht="14.25" customHeight="1" x14ac:dyDescent="0.45">
      <c r="A330" s="618"/>
      <c r="B330" s="215"/>
      <c r="C330" s="469"/>
      <c r="D330" s="218"/>
      <c r="E330" s="218"/>
      <c r="F330" s="218"/>
      <c r="G330" s="218"/>
      <c r="H330" s="218"/>
      <c r="I330" s="218"/>
      <c r="J330" s="266"/>
      <c r="K330" s="285"/>
      <c r="L330" s="352"/>
    </row>
    <row r="331" spans="1:12" ht="14.25" customHeight="1" x14ac:dyDescent="0.45">
      <c r="A331" s="618"/>
      <c r="B331" s="215"/>
      <c r="C331" s="469"/>
      <c r="D331" s="218"/>
      <c r="E331" s="218"/>
      <c r="F331" s="218"/>
      <c r="G331" s="218"/>
      <c r="H331" s="218"/>
      <c r="I331" s="218"/>
      <c r="J331" s="266"/>
      <c r="K331" s="285"/>
      <c r="L331" s="352"/>
    </row>
    <row r="332" spans="1:12" ht="14.25" customHeight="1" x14ac:dyDescent="0.45">
      <c r="A332" s="618"/>
      <c r="B332" s="215"/>
      <c r="C332" s="469"/>
      <c r="D332" s="218"/>
      <c r="E332" s="218"/>
      <c r="F332" s="218"/>
      <c r="G332" s="218"/>
      <c r="H332" s="218"/>
      <c r="I332" s="218"/>
      <c r="J332" s="266"/>
      <c r="K332" s="285"/>
      <c r="L332" s="352"/>
    </row>
    <row r="333" spans="1:12" ht="14.25" customHeight="1" x14ac:dyDescent="0.45">
      <c r="A333" s="618"/>
      <c r="B333" s="215"/>
      <c r="C333" s="469"/>
      <c r="D333" s="218"/>
      <c r="E333" s="218"/>
      <c r="F333" s="218"/>
      <c r="G333" s="218"/>
      <c r="H333" s="218"/>
      <c r="I333" s="218"/>
      <c r="J333" s="266"/>
      <c r="K333" s="285"/>
      <c r="L333" s="352"/>
    </row>
    <row r="334" spans="1:12" ht="14.25" customHeight="1" x14ac:dyDescent="0.45">
      <c r="A334" s="618"/>
      <c r="B334" s="215"/>
      <c r="C334" s="469"/>
      <c r="D334" s="218"/>
      <c r="E334" s="218"/>
      <c r="F334" s="218"/>
      <c r="G334" s="218"/>
      <c r="H334" s="218"/>
      <c r="I334" s="218"/>
      <c r="J334" s="266"/>
      <c r="K334" s="285"/>
      <c r="L334" s="352"/>
    </row>
    <row r="335" spans="1:12" ht="14.25" customHeight="1" x14ac:dyDescent="0.45">
      <c r="A335" s="618"/>
      <c r="B335" s="215"/>
      <c r="C335" s="469"/>
      <c r="D335" s="218"/>
      <c r="E335" s="218"/>
      <c r="F335" s="218"/>
      <c r="G335" s="218"/>
      <c r="H335" s="218"/>
      <c r="I335" s="218"/>
      <c r="J335" s="266"/>
      <c r="K335" s="285"/>
      <c r="L335" s="352"/>
    </row>
    <row r="336" spans="1:12" ht="14.25" customHeight="1" x14ac:dyDescent="0.45">
      <c r="A336" s="618"/>
      <c r="B336" s="215"/>
      <c r="C336" s="469"/>
      <c r="D336" s="218"/>
      <c r="E336" s="218"/>
      <c r="F336" s="218"/>
      <c r="G336" s="218"/>
      <c r="H336" s="218"/>
      <c r="I336" s="218"/>
      <c r="J336" s="266"/>
      <c r="K336" s="285"/>
      <c r="L336" s="352"/>
    </row>
    <row r="337" spans="1:12" ht="14.25" customHeight="1" x14ac:dyDescent="0.45">
      <c r="A337" s="618"/>
      <c r="B337" s="215"/>
      <c r="C337" s="469"/>
      <c r="D337" s="218"/>
      <c r="E337" s="218"/>
      <c r="F337" s="218"/>
      <c r="G337" s="218"/>
      <c r="H337" s="218"/>
      <c r="I337" s="218"/>
      <c r="J337" s="266"/>
      <c r="K337" s="285"/>
      <c r="L337" s="352"/>
    </row>
    <row r="338" spans="1:12" ht="14.25" customHeight="1" x14ac:dyDescent="0.45">
      <c r="A338" s="618"/>
      <c r="B338" s="215"/>
      <c r="C338" s="469"/>
      <c r="D338" s="218"/>
      <c r="E338" s="218"/>
      <c r="F338" s="218"/>
      <c r="G338" s="218"/>
      <c r="H338" s="218"/>
      <c r="I338" s="218"/>
      <c r="J338" s="266"/>
      <c r="K338" s="285"/>
      <c r="L338" s="352"/>
    </row>
    <row r="339" spans="1:12" ht="14.25" customHeight="1" x14ac:dyDescent="0.45">
      <c r="A339" s="618"/>
      <c r="B339" s="215"/>
      <c r="C339" s="469"/>
      <c r="D339" s="218"/>
      <c r="E339" s="218"/>
      <c r="F339" s="218"/>
      <c r="G339" s="218"/>
      <c r="H339" s="218"/>
      <c r="I339" s="218"/>
      <c r="J339" s="266"/>
      <c r="K339" s="285"/>
      <c r="L339" s="352"/>
    </row>
    <row r="340" spans="1:12" ht="14.25" customHeight="1" x14ac:dyDescent="0.45">
      <c r="A340" s="618"/>
      <c r="B340" s="215"/>
      <c r="C340" s="469"/>
      <c r="D340" s="218"/>
      <c r="E340" s="218"/>
      <c r="F340" s="218"/>
      <c r="G340" s="218"/>
      <c r="H340" s="218"/>
      <c r="I340" s="218"/>
      <c r="J340" s="266"/>
      <c r="K340" s="285"/>
      <c r="L340" s="352"/>
    </row>
    <row r="341" spans="1:12" ht="14.25" customHeight="1" x14ac:dyDescent="0.45">
      <c r="A341" s="618"/>
      <c r="B341" s="215"/>
      <c r="C341" s="469"/>
      <c r="D341" s="218"/>
      <c r="E341" s="218"/>
      <c r="F341" s="218"/>
      <c r="G341" s="218"/>
      <c r="H341" s="218"/>
      <c r="I341" s="218"/>
      <c r="J341" s="266"/>
      <c r="K341" s="285"/>
      <c r="L341" s="352"/>
    </row>
    <row r="342" spans="1:12" ht="14.25" customHeight="1" x14ac:dyDescent="0.45">
      <c r="A342" s="618"/>
      <c r="B342" s="215"/>
      <c r="C342" s="469"/>
      <c r="D342" s="218"/>
      <c r="E342" s="218"/>
      <c r="F342" s="218"/>
      <c r="G342" s="218"/>
      <c r="H342" s="218"/>
      <c r="I342" s="218"/>
      <c r="J342" s="266"/>
      <c r="K342" s="285"/>
      <c r="L342" s="352"/>
    </row>
    <row r="343" spans="1:12" ht="14.25" customHeight="1" x14ac:dyDescent="0.45">
      <c r="A343" s="618"/>
      <c r="B343" s="215"/>
      <c r="C343" s="469"/>
      <c r="D343" s="218"/>
      <c r="E343" s="218"/>
      <c r="F343" s="218"/>
      <c r="G343" s="218"/>
      <c r="H343" s="218"/>
      <c r="I343" s="218"/>
      <c r="J343" s="266"/>
      <c r="K343" s="285"/>
      <c r="L343" s="352"/>
    </row>
    <row r="344" spans="1:12" ht="14.25" customHeight="1" x14ac:dyDescent="0.45">
      <c r="A344" s="618"/>
      <c r="B344" s="215"/>
      <c r="C344" s="469"/>
      <c r="D344" s="218"/>
      <c r="E344" s="218"/>
      <c r="F344" s="218"/>
      <c r="G344" s="218"/>
      <c r="H344" s="218"/>
      <c r="I344" s="218"/>
      <c r="J344" s="266"/>
      <c r="K344" s="285"/>
      <c r="L344" s="352"/>
    </row>
    <row r="345" spans="1:12" ht="14.25" customHeight="1" x14ac:dyDescent="0.45">
      <c r="A345" s="618"/>
      <c r="B345" s="215"/>
      <c r="C345" s="469"/>
      <c r="D345" s="218"/>
      <c r="E345" s="218"/>
      <c r="F345" s="218"/>
      <c r="G345" s="218"/>
      <c r="H345" s="218"/>
      <c r="I345" s="218"/>
      <c r="J345" s="266"/>
      <c r="K345" s="285"/>
      <c r="L345" s="352"/>
    </row>
    <row r="346" spans="1:12" ht="14.25" customHeight="1" x14ac:dyDescent="0.45">
      <c r="A346" s="618"/>
      <c r="B346" s="215"/>
      <c r="C346" s="469"/>
      <c r="D346" s="218"/>
      <c r="E346" s="218"/>
      <c r="F346" s="218"/>
      <c r="G346" s="218"/>
      <c r="H346" s="218"/>
      <c r="I346" s="218"/>
      <c r="J346" s="266"/>
      <c r="K346" s="285"/>
      <c r="L346" s="352"/>
    </row>
    <row r="347" spans="1:12" ht="14.25" customHeight="1" x14ac:dyDescent="0.45">
      <c r="A347" s="618"/>
      <c r="B347" s="215"/>
      <c r="C347" s="469"/>
      <c r="D347" s="218"/>
      <c r="E347" s="218"/>
      <c r="F347" s="218"/>
      <c r="G347" s="218"/>
      <c r="H347" s="218"/>
      <c r="I347" s="218"/>
      <c r="J347" s="266"/>
      <c r="K347" s="285"/>
      <c r="L347" s="352"/>
    </row>
    <row r="348" spans="1:12" ht="14.25" customHeight="1" x14ac:dyDescent="0.45">
      <c r="A348" s="618"/>
      <c r="B348" s="215"/>
      <c r="C348" s="469"/>
      <c r="D348" s="218"/>
      <c r="E348" s="218"/>
      <c r="F348" s="218"/>
      <c r="G348" s="218"/>
      <c r="H348" s="218"/>
      <c r="I348" s="218"/>
      <c r="J348" s="266"/>
      <c r="K348" s="285"/>
      <c r="L348" s="352"/>
    </row>
    <row r="349" spans="1:12" ht="14.25" customHeight="1" x14ac:dyDescent="0.45">
      <c r="A349" s="618"/>
      <c r="B349" s="215"/>
      <c r="C349" s="469"/>
      <c r="D349" s="218"/>
      <c r="E349" s="218"/>
      <c r="F349" s="218"/>
      <c r="G349" s="218"/>
      <c r="H349" s="218"/>
      <c r="I349" s="218"/>
      <c r="J349" s="266"/>
      <c r="K349" s="285"/>
      <c r="L349" s="352"/>
    </row>
    <row r="350" spans="1:12" ht="14.25" customHeight="1" x14ac:dyDescent="0.45">
      <c r="A350" s="618"/>
      <c r="B350" s="215"/>
      <c r="C350" s="469"/>
      <c r="D350" s="218"/>
      <c r="E350" s="218"/>
      <c r="F350" s="218"/>
      <c r="G350" s="218"/>
      <c r="H350" s="218"/>
      <c r="I350" s="218"/>
      <c r="J350" s="266"/>
      <c r="K350" s="285"/>
      <c r="L350" s="352"/>
    </row>
    <row r="351" spans="1:12" ht="14.25" customHeight="1" x14ac:dyDescent="0.45">
      <c r="A351" s="618"/>
      <c r="B351" s="215"/>
      <c r="C351" s="469"/>
      <c r="D351" s="218"/>
      <c r="E351" s="218"/>
      <c r="F351" s="218"/>
      <c r="G351" s="218"/>
      <c r="H351" s="218"/>
      <c r="I351" s="218"/>
      <c r="J351" s="266"/>
      <c r="K351" s="285"/>
      <c r="L351" s="352"/>
    </row>
    <row r="352" spans="1:12" ht="14.25" customHeight="1" x14ac:dyDescent="0.45">
      <c r="A352" s="618"/>
      <c r="B352" s="215"/>
      <c r="C352" s="469"/>
      <c r="D352" s="218"/>
      <c r="E352" s="218"/>
      <c r="F352" s="218"/>
      <c r="G352" s="218"/>
      <c r="H352" s="218"/>
      <c r="I352" s="218"/>
      <c r="J352" s="266"/>
      <c r="K352" s="285"/>
      <c r="L352" s="352"/>
    </row>
    <row r="353" spans="1:12" ht="14.25" customHeight="1" x14ac:dyDescent="0.45">
      <c r="A353" s="618"/>
      <c r="B353" s="215"/>
      <c r="C353" s="469"/>
      <c r="D353" s="218"/>
      <c r="E353" s="218"/>
      <c r="F353" s="218"/>
      <c r="G353" s="218"/>
      <c r="H353" s="218"/>
      <c r="I353" s="218"/>
      <c r="J353" s="266"/>
      <c r="K353" s="285"/>
      <c r="L353" s="352"/>
    </row>
    <row r="354" spans="1:12" ht="14.25" customHeight="1" x14ac:dyDescent="0.45">
      <c r="A354" s="618"/>
      <c r="B354" s="215"/>
      <c r="C354" s="469"/>
      <c r="D354" s="218"/>
      <c r="E354" s="218"/>
      <c r="F354" s="218"/>
      <c r="G354" s="218"/>
      <c r="H354" s="218"/>
      <c r="I354" s="218"/>
      <c r="J354" s="266"/>
      <c r="K354" s="285"/>
      <c r="L354" s="352"/>
    </row>
    <row r="355" spans="1:12" ht="14.25" customHeight="1" x14ac:dyDescent="0.45">
      <c r="A355" s="618"/>
      <c r="B355" s="215"/>
      <c r="C355" s="469"/>
      <c r="D355" s="218"/>
      <c r="E355" s="218"/>
      <c r="F355" s="218"/>
      <c r="G355" s="218"/>
      <c r="H355" s="218"/>
      <c r="I355" s="218"/>
      <c r="J355" s="266"/>
      <c r="K355" s="285"/>
      <c r="L355" s="352"/>
    </row>
    <row r="356" spans="1:12" ht="14.25" customHeight="1" x14ac:dyDescent="0.45">
      <c r="A356" s="618"/>
      <c r="B356" s="215"/>
      <c r="C356" s="469"/>
      <c r="D356" s="218"/>
      <c r="E356" s="218"/>
      <c r="F356" s="218"/>
      <c r="G356" s="218"/>
      <c r="H356" s="218"/>
      <c r="I356" s="218"/>
      <c r="J356" s="266"/>
      <c r="K356" s="285"/>
      <c r="L356" s="352"/>
    </row>
    <row r="357" spans="1:12" ht="14.25" customHeight="1" x14ac:dyDescent="0.45">
      <c r="A357" s="618"/>
      <c r="B357" s="215"/>
      <c r="C357" s="469"/>
      <c r="D357" s="218"/>
      <c r="E357" s="218"/>
      <c r="F357" s="218"/>
      <c r="G357" s="218"/>
      <c r="H357" s="218"/>
      <c r="I357" s="218"/>
      <c r="J357" s="266"/>
      <c r="K357" s="285"/>
      <c r="L357" s="352"/>
    </row>
    <row r="358" spans="1:12" ht="14.25" customHeight="1" x14ac:dyDescent="0.45">
      <c r="A358" s="618"/>
      <c r="B358" s="215"/>
      <c r="C358" s="469"/>
      <c r="D358" s="218"/>
      <c r="E358" s="218"/>
      <c r="F358" s="218"/>
      <c r="G358" s="218"/>
      <c r="H358" s="218"/>
      <c r="I358" s="218"/>
      <c r="J358" s="266"/>
      <c r="K358" s="285"/>
      <c r="L358" s="352"/>
    </row>
    <row r="359" spans="1:12" ht="14.25" customHeight="1" x14ac:dyDescent="0.45">
      <c r="A359" s="618"/>
      <c r="B359" s="215"/>
      <c r="C359" s="469"/>
      <c r="D359" s="218"/>
      <c r="E359" s="218"/>
      <c r="F359" s="218"/>
      <c r="G359" s="218"/>
      <c r="H359" s="218"/>
      <c r="I359" s="218"/>
      <c r="J359" s="266"/>
      <c r="K359" s="285"/>
      <c r="L359" s="352"/>
    </row>
    <row r="360" spans="1:12" ht="14.25" customHeight="1" x14ac:dyDescent="0.45">
      <c r="A360" s="618"/>
      <c r="B360" s="215"/>
      <c r="C360" s="469"/>
      <c r="D360" s="218"/>
      <c r="E360" s="218"/>
      <c r="F360" s="218"/>
      <c r="G360" s="218"/>
      <c r="H360" s="218"/>
      <c r="I360" s="218"/>
      <c r="J360" s="266"/>
      <c r="K360" s="285"/>
      <c r="L360" s="352"/>
    </row>
    <row r="361" spans="1:12" ht="14.25" customHeight="1" x14ac:dyDescent="0.45">
      <c r="A361" s="618"/>
      <c r="B361" s="215"/>
      <c r="C361" s="469"/>
      <c r="D361" s="218"/>
      <c r="E361" s="218"/>
      <c r="F361" s="218"/>
      <c r="G361" s="218"/>
      <c r="H361" s="218"/>
      <c r="I361" s="218"/>
      <c r="J361" s="266"/>
      <c r="K361" s="285"/>
      <c r="L361" s="352"/>
    </row>
    <row r="362" spans="1:12" ht="14.25" customHeight="1" x14ac:dyDescent="0.45">
      <c r="A362" s="618"/>
      <c r="B362" s="215"/>
      <c r="C362" s="469"/>
      <c r="D362" s="218"/>
      <c r="E362" s="218"/>
      <c r="F362" s="218"/>
      <c r="G362" s="218"/>
      <c r="H362" s="218"/>
      <c r="I362" s="218"/>
      <c r="J362" s="266"/>
      <c r="K362" s="285"/>
      <c r="L362" s="352"/>
    </row>
    <row r="363" spans="1:12" ht="14.25" customHeight="1" x14ac:dyDescent="0.45">
      <c r="A363" s="618"/>
      <c r="B363" s="215"/>
      <c r="C363" s="469"/>
      <c r="D363" s="218"/>
      <c r="E363" s="218"/>
      <c r="F363" s="218"/>
      <c r="G363" s="218"/>
      <c r="H363" s="218"/>
      <c r="I363" s="218"/>
      <c r="J363" s="266"/>
      <c r="K363" s="285"/>
      <c r="L363" s="352"/>
    </row>
    <row r="364" spans="1:12" ht="14.25" customHeight="1" x14ac:dyDescent="0.45">
      <c r="A364" s="618"/>
      <c r="B364" s="215"/>
      <c r="C364" s="469"/>
      <c r="D364" s="218"/>
      <c r="E364" s="218"/>
      <c r="F364" s="218"/>
      <c r="G364" s="218"/>
      <c r="H364" s="218"/>
      <c r="I364" s="218"/>
      <c r="J364" s="266"/>
      <c r="K364" s="285"/>
      <c r="L364" s="352"/>
    </row>
    <row r="365" spans="1:12" ht="14.25" customHeight="1" x14ac:dyDescent="0.45">
      <c r="A365" s="618"/>
      <c r="B365" s="215"/>
      <c r="C365" s="469"/>
      <c r="D365" s="218"/>
      <c r="E365" s="218"/>
      <c r="F365" s="218"/>
      <c r="G365" s="218"/>
      <c r="H365" s="218"/>
      <c r="I365" s="218"/>
      <c r="J365" s="266"/>
      <c r="K365" s="285"/>
      <c r="L365" s="352"/>
    </row>
    <row r="366" spans="1:12" ht="14.25" customHeight="1" x14ac:dyDescent="0.45">
      <c r="A366" s="618"/>
      <c r="B366" s="215"/>
      <c r="C366" s="469"/>
      <c r="D366" s="218"/>
      <c r="E366" s="218"/>
      <c r="F366" s="218"/>
      <c r="G366" s="218"/>
      <c r="H366" s="218"/>
      <c r="I366" s="218"/>
      <c r="J366" s="266"/>
      <c r="K366" s="285"/>
      <c r="L366" s="352"/>
    </row>
    <row r="367" spans="1:12" ht="14.25" customHeight="1" x14ac:dyDescent="0.45">
      <c r="A367" s="618"/>
      <c r="B367" s="215"/>
      <c r="C367" s="469"/>
      <c r="D367" s="218"/>
      <c r="E367" s="218"/>
      <c r="F367" s="218"/>
      <c r="G367" s="218"/>
      <c r="H367" s="218"/>
      <c r="I367" s="218"/>
      <c r="J367" s="266"/>
      <c r="K367" s="285"/>
      <c r="L367" s="352"/>
    </row>
    <row r="368" spans="1:12" ht="14.25" customHeight="1" x14ac:dyDescent="0.45">
      <c r="A368" s="618"/>
      <c r="B368" s="215"/>
      <c r="C368" s="469"/>
      <c r="D368" s="218"/>
      <c r="E368" s="218"/>
      <c r="F368" s="218"/>
      <c r="G368" s="218"/>
      <c r="H368" s="218"/>
      <c r="I368" s="218"/>
      <c r="J368" s="266"/>
      <c r="K368" s="285"/>
      <c r="L368" s="352"/>
    </row>
    <row r="369" spans="1:12" ht="14.25" customHeight="1" x14ac:dyDescent="0.45">
      <c r="A369" s="618"/>
      <c r="B369" s="215"/>
      <c r="C369" s="469"/>
      <c r="D369" s="218"/>
      <c r="E369" s="218"/>
      <c r="F369" s="218"/>
      <c r="G369" s="218"/>
      <c r="H369" s="218"/>
      <c r="I369" s="218"/>
      <c r="J369" s="266"/>
      <c r="K369" s="285"/>
      <c r="L369" s="352"/>
    </row>
    <row r="370" spans="1:12" ht="14.25" customHeight="1" x14ac:dyDescent="0.45">
      <c r="A370" s="618"/>
      <c r="B370" s="215"/>
      <c r="C370" s="469"/>
      <c r="D370" s="218"/>
      <c r="E370" s="218"/>
      <c r="F370" s="218"/>
      <c r="G370" s="218"/>
      <c r="H370" s="218"/>
      <c r="I370" s="218"/>
      <c r="J370" s="266"/>
      <c r="K370" s="285"/>
      <c r="L370" s="352"/>
    </row>
    <row r="371" spans="1:12" ht="14.25" customHeight="1" x14ac:dyDescent="0.45">
      <c r="A371" s="618"/>
      <c r="B371" s="215"/>
      <c r="C371" s="469"/>
      <c r="D371" s="218"/>
      <c r="E371" s="218"/>
      <c r="F371" s="218"/>
      <c r="G371" s="218"/>
      <c r="H371" s="218"/>
      <c r="I371" s="218"/>
      <c r="J371" s="266"/>
      <c r="K371" s="285"/>
      <c r="L371" s="352"/>
    </row>
    <row r="372" spans="1:12" ht="14.25" customHeight="1" x14ac:dyDescent="0.45">
      <c r="A372" s="618"/>
      <c r="B372" s="215"/>
      <c r="C372" s="469"/>
      <c r="D372" s="218"/>
      <c r="E372" s="218"/>
      <c r="F372" s="218"/>
      <c r="G372" s="218"/>
      <c r="H372" s="218"/>
      <c r="I372" s="218"/>
      <c r="J372" s="266"/>
      <c r="K372" s="285"/>
      <c r="L372" s="352"/>
    </row>
    <row r="373" spans="1:12" ht="14.25" customHeight="1" x14ac:dyDescent="0.45">
      <c r="A373" s="618"/>
      <c r="B373" s="215"/>
      <c r="C373" s="469"/>
      <c r="D373" s="218"/>
      <c r="E373" s="218"/>
      <c r="F373" s="218"/>
      <c r="G373" s="218"/>
      <c r="H373" s="218"/>
      <c r="I373" s="218"/>
      <c r="J373" s="266"/>
      <c r="K373" s="285"/>
      <c r="L373" s="352"/>
    </row>
    <row r="374" spans="1:12" ht="14.25" customHeight="1" x14ac:dyDescent="0.45">
      <c r="A374" s="618"/>
      <c r="B374" s="215"/>
      <c r="C374" s="469"/>
      <c r="D374" s="218"/>
      <c r="E374" s="218"/>
      <c r="F374" s="218"/>
      <c r="G374" s="218"/>
      <c r="H374" s="218"/>
      <c r="I374" s="218"/>
      <c r="J374" s="266"/>
      <c r="K374" s="285"/>
      <c r="L374" s="352"/>
    </row>
    <row r="375" spans="1:12" ht="14.25" customHeight="1" x14ac:dyDescent="0.45">
      <c r="A375" s="618"/>
      <c r="B375" s="215"/>
      <c r="C375" s="469"/>
      <c r="D375" s="218"/>
      <c r="E375" s="218"/>
      <c r="F375" s="218"/>
      <c r="G375" s="218"/>
      <c r="H375" s="218"/>
      <c r="I375" s="218"/>
      <c r="J375" s="266"/>
      <c r="K375" s="285"/>
      <c r="L375" s="352"/>
    </row>
    <row r="376" spans="1:12" ht="14.25" customHeight="1" x14ac:dyDescent="0.45">
      <c r="A376" s="618"/>
      <c r="B376" s="215"/>
      <c r="C376" s="469"/>
      <c r="D376" s="218"/>
      <c r="E376" s="218"/>
      <c r="F376" s="218"/>
      <c r="G376" s="218"/>
      <c r="H376" s="218"/>
      <c r="I376" s="218"/>
      <c r="J376" s="266"/>
      <c r="K376" s="285"/>
      <c r="L376" s="352"/>
    </row>
    <row r="377" spans="1:12" ht="14.25" customHeight="1" x14ac:dyDescent="0.45">
      <c r="A377" s="618"/>
      <c r="B377" s="215"/>
      <c r="C377" s="469"/>
      <c r="D377" s="218"/>
      <c r="E377" s="218"/>
      <c r="F377" s="218"/>
      <c r="G377" s="218"/>
      <c r="H377" s="218"/>
      <c r="I377" s="218"/>
      <c r="J377" s="266"/>
      <c r="K377" s="285"/>
      <c r="L377" s="352"/>
    </row>
    <row r="378" spans="1:12" ht="14.25" customHeight="1" x14ac:dyDescent="0.45">
      <c r="A378" s="618"/>
      <c r="B378" s="215"/>
      <c r="C378" s="469"/>
      <c r="D378" s="218"/>
      <c r="E378" s="218"/>
      <c r="F378" s="218"/>
      <c r="G378" s="218"/>
      <c r="H378" s="218"/>
      <c r="I378" s="218"/>
      <c r="J378" s="266"/>
      <c r="K378" s="285"/>
      <c r="L378" s="352"/>
    </row>
    <row r="379" spans="1:12" ht="14.25" customHeight="1" x14ac:dyDescent="0.45">
      <c r="A379" s="618"/>
      <c r="B379" s="215"/>
      <c r="C379" s="469"/>
      <c r="D379" s="218"/>
      <c r="E379" s="218"/>
      <c r="F379" s="218"/>
      <c r="G379" s="218"/>
      <c r="H379" s="218"/>
      <c r="I379" s="218"/>
      <c r="J379" s="266"/>
      <c r="K379" s="285"/>
      <c r="L379" s="352"/>
    </row>
    <row r="380" spans="1:12" ht="14.25" customHeight="1" x14ac:dyDescent="0.45">
      <c r="A380" s="618"/>
      <c r="B380" s="215"/>
      <c r="C380" s="469"/>
      <c r="D380" s="218"/>
      <c r="E380" s="218"/>
      <c r="F380" s="218"/>
      <c r="G380" s="218"/>
      <c r="H380" s="218"/>
      <c r="I380" s="218"/>
      <c r="J380" s="266"/>
      <c r="K380" s="285"/>
      <c r="L380" s="352"/>
    </row>
    <row r="381" spans="1:12" ht="14.25" customHeight="1" x14ac:dyDescent="0.45">
      <c r="A381" s="618"/>
      <c r="B381" s="215"/>
      <c r="C381" s="469"/>
      <c r="D381" s="218"/>
      <c r="E381" s="218"/>
      <c r="F381" s="218"/>
      <c r="G381" s="218"/>
      <c r="H381" s="218"/>
      <c r="I381" s="218"/>
      <c r="J381" s="266"/>
      <c r="K381" s="285"/>
      <c r="L381" s="352"/>
    </row>
    <row r="382" spans="1:12" ht="14.25" customHeight="1" x14ac:dyDescent="0.45">
      <c r="A382" s="618"/>
      <c r="B382" s="215"/>
      <c r="C382" s="469"/>
      <c r="D382" s="218"/>
      <c r="E382" s="218"/>
      <c r="F382" s="218"/>
      <c r="G382" s="218"/>
      <c r="H382" s="218"/>
      <c r="I382" s="218"/>
      <c r="J382" s="266"/>
      <c r="K382" s="285"/>
      <c r="L382" s="352"/>
    </row>
    <row r="383" spans="1:12" ht="14.25" customHeight="1" x14ac:dyDescent="0.45">
      <c r="A383" s="618"/>
      <c r="B383" s="215"/>
      <c r="C383" s="469"/>
      <c r="D383" s="218"/>
      <c r="E383" s="218"/>
      <c r="F383" s="218"/>
      <c r="G383" s="218"/>
      <c r="H383" s="218"/>
      <c r="I383" s="218"/>
      <c r="J383" s="266"/>
      <c r="K383" s="285"/>
      <c r="L383" s="352"/>
    </row>
    <row r="384" spans="1:12" ht="14.25" customHeight="1" x14ac:dyDescent="0.45">
      <c r="A384" s="618"/>
      <c r="B384" s="215"/>
      <c r="C384" s="469"/>
      <c r="D384" s="218"/>
      <c r="E384" s="218"/>
      <c r="F384" s="218"/>
      <c r="G384" s="218"/>
      <c r="H384" s="218"/>
      <c r="I384" s="218"/>
      <c r="J384" s="266"/>
      <c r="K384" s="285"/>
      <c r="L384" s="352"/>
    </row>
    <row r="385" spans="1:12" ht="14.25" customHeight="1" x14ac:dyDescent="0.45">
      <c r="A385" s="618"/>
      <c r="B385" s="215"/>
      <c r="C385" s="469"/>
      <c r="D385" s="218"/>
      <c r="E385" s="218"/>
      <c r="F385" s="218"/>
      <c r="G385" s="218"/>
      <c r="H385" s="218"/>
      <c r="I385" s="218"/>
      <c r="J385" s="266"/>
      <c r="K385" s="285"/>
      <c r="L385" s="352"/>
    </row>
    <row r="386" spans="1:12" ht="14.25" customHeight="1" x14ac:dyDescent="0.45">
      <c r="A386" s="618"/>
      <c r="B386" s="215"/>
      <c r="C386" s="469"/>
      <c r="D386" s="218"/>
      <c r="E386" s="218"/>
      <c r="F386" s="218"/>
      <c r="G386" s="218"/>
      <c r="H386" s="218"/>
      <c r="I386" s="218"/>
      <c r="J386" s="266"/>
      <c r="K386" s="285"/>
      <c r="L386" s="352"/>
    </row>
    <row r="387" spans="1:12" ht="14.25" customHeight="1" x14ac:dyDescent="0.45">
      <c r="A387" s="618"/>
      <c r="B387" s="215"/>
      <c r="C387" s="469"/>
      <c r="D387" s="218"/>
      <c r="E387" s="218"/>
      <c r="F387" s="218"/>
      <c r="G387" s="218"/>
      <c r="H387" s="218"/>
      <c r="I387" s="218"/>
      <c r="J387" s="266"/>
      <c r="K387" s="285"/>
      <c r="L387" s="352"/>
    </row>
    <row r="388" spans="1:12" ht="14.25" customHeight="1" x14ac:dyDescent="0.45">
      <c r="A388" s="618"/>
      <c r="B388" s="215"/>
      <c r="C388" s="469"/>
      <c r="D388" s="218"/>
      <c r="E388" s="218"/>
      <c r="F388" s="218"/>
      <c r="G388" s="218"/>
      <c r="H388" s="218"/>
      <c r="I388" s="218"/>
      <c r="J388" s="266"/>
      <c r="K388" s="285"/>
      <c r="L388" s="352"/>
    </row>
    <row r="389" spans="1:12" ht="14.25" customHeight="1" x14ac:dyDescent="0.45">
      <c r="A389" s="618"/>
      <c r="B389" s="215"/>
      <c r="C389" s="469"/>
      <c r="D389" s="218"/>
      <c r="E389" s="218"/>
      <c r="F389" s="218"/>
      <c r="G389" s="218"/>
      <c r="H389" s="218"/>
      <c r="I389" s="218"/>
      <c r="J389" s="266"/>
      <c r="K389" s="285"/>
      <c r="L389" s="352"/>
    </row>
    <row r="390" spans="1:12" ht="14.25" customHeight="1" x14ac:dyDescent="0.45">
      <c r="A390" s="618"/>
      <c r="B390" s="215"/>
      <c r="C390" s="469"/>
      <c r="D390" s="218"/>
      <c r="E390" s="218"/>
      <c r="F390" s="218"/>
      <c r="G390" s="218"/>
      <c r="H390" s="218"/>
      <c r="I390" s="218"/>
      <c r="J390" s="266"/>
      <c r="K390" s="285"/>
      <c r="L390" s="352"/>
    </row>
    <row r="391" spans="1:12" ht="14.25" customHeight="1" x14ac:dyDescent="0.45">
      <c r="A391" s="618"/>
      <c r="B391" s="215"/>
      <c r="C391" s="469"/>
      <c r="D391" s="218"/>
      <c r="E391" s="218"/>
      <c r="F391" s="218"/>
      <c r="G391" s="218"/>
      <c r="H391" s="218"/>
      <c r="I391" s="218"/>
      <c r="J391" s="266"/>
      <c r="K391" s="285"/>
      <c r="L391" s="352"/>
    </row>
    <row r="392" spans="1:12" ht="14.25" customHeight="1" x14ac:dyDescent="0.45">
      <c r="A392" s="618"/>
      <c r="B392" s="215"/>
      <c r="C392" s="469"/>
      <c r="D392" s="218"/>
      <c r="E392" s="218"/>
      <c r="F392" s="218"/>
      <c r="G392" s="218"/>
      <c r="H392" s="218"/>
      <c r="I392" s="218"/>
      <c r="J392" s="266"/>
      <c r="K392" s="285"/>
      <c r="L392" s="352"/>
    </row>
    <row r="393" spans="1:12" ht="14.25" customHeight="1" x14ac:dyDescent="0.45">
      <c r="A393" s="618"/>
      <c r="B393" s="215"/>
      <c r="C393" s="469"/>
      <c r="D393" s="218"/>
      <c r="E393" s="218"/>
      <c r="F393" s="218"/>
      <c r="G393" s="218"/>
      <c r="H393" s="218"/>
      <c r="I393" s="218"/>
      <c r="J393" s="266"/>
      <c r="K393" s="285"/>
      <c r="L393" s="352"/>
    </row>
    <row r="394" spans="1:12" ht="14.25" customHeight="1" x14ac:dyDescent="0.45">
      <c r="A394" s="618"/>
      <c r="B394" s="215"/>
      <c r="C394" s="469"/>
      <c r="D394" s="218"/>
      <c r="E394" s="218"/>
      <c r="F394" s="218"/>
      <c r="G394" s="218"/>
      <c r="H394" s="218"/>
      <c r="I394" s="218"/>
      <c r="J394" s="266"/>
      <c r="K394" s="285"/>
      <c r="L394" s="352"/>
    </row>
    <row r="395" spans="1:12" ht="14.25" customHeight="1" x14ac:dyDescent="0.45">
      <c r="A395" s="618"/>
      <c r="B395" s="215"/>
      <c r="C395" s="469"/>
      <c r="D395" s="218"/>
      <c r="E395" s="218"/>
      <c r="F395" s="218"/>
      <c r="G395" s="218"/>
      <c r="H395" s="218"/>
      <c r="I395" s="218"/>
      <c r="J395" s="266"/>
      <c r="K395" s="285"/>
      <c r="L395" s="352"/>
    </row>
    <row r="396" spans="1:12" ht="14.25" customHeight="1" x14ac:dyDescent="0.45">
      <c r="A396" s="618"/>
      <c r="B396" s="215"/>
      <c r="C396" s="469"/>
      <c r="D396" s="218"/>
      <c r="E396" s="218"/>
      <c r="F396" s="218"/>
      <c r="G396" s="218"/>
      <c r="H396" s="218"/>
      <c r="I396" s="218"/>
      <c r="J396" s="266"/>
      <c r="K396" s="285"/>
      <c r="L396" s="352"/>
    </row>
    <row r="397" spans="1:12" ht="14.25" customHeight="1" x14ac:dyDescent="0.45">
      <c r="A397" s="618"/>
      <c r="B397" s="215"/>
      <c r="C397" s="469"/>
      <c r="D397" s="218"/>
      <c r="E397" s="218"/>
      <c r="F397" s="218"/>
      <c r="G397" s="218"/>
      <c r="H397" s="218"/>
      <c r="I397" s="218"/>
      <c r="J397" s="266"/>
      <c r="K397" s="285"/>
      <c r="L397" s="352"/>
    </row>
    <row r="398" spans="1:12" ht="14.25" customHeight="1" x14ac:dyDescent="0.45">
      <c r="A398" s="618"/>
      <c r="B398" s="215"/>
      <c r="C398" s="469"/>
      <c r="D398" s="218"/>
      <c r="E398" s="218"/>
      <c r="F398" s="218"/>
      <c r="G398" s="218"/>
      <c r="H398" s="218"/>
      <c r="I398" s="218"/>
      <c r="J398" s="266"/>
      <c r="K398" s="285"/>
      <c r="L398" s="352"/>
    </row>
    <row r="399" spans="1:12" ht="14.25" customHeight="1" x14ac:dyDescent="0.45">
      <c r="A399" s="618"/>
      <c r="B399" s="215"/>
      <c r="C399" s="469"/>
      <c r="D399" s="218"/>
      <c r="E399" s="218"/>
      <c r="F399" s="218"/>
      <c r="G399" s="218"/>
      <c r="H399" s="218"/>
      <c r="I399" s="218"/>
      <c r="J399" s="266"/>
      <c r="K399" s="285"/>
      <c r="L399" s="352"/>
    </row>
    <row r="400" spans="1:12" ht="14.25" customHeight="1" x14ac:dyDescent="0.45">
      <c r="A400" s="618"/>
      <c r="B400" s="215"/>
      <c r="C400" s="469"/>
      <c r="D400" s="218"/>
      <c r="E400" s="218"/>
      <c r="F400" s="218"/>
      <c r="G400" s="218"/>
      <c r="H400" s="218"/>
      <c r="I400" s="218"/>
      <c r="J400" s="266"/>
      <c r="K400" s="285"/>
      <c r="L400" s="352"/>
    </row>
    <row r="401" spans="1:12" ht="14.25" customHeight="1" x14ac:dyDescent="0.45">
      <c r="A401" s="618"/>
      <c r="B401" s="215"/>
      <c r="C401" s="469"/>
      <c r="D401" s="218"/>
      <c r="E401" s="218"/>
      <c r="F401" s="218"/>
      <c r="G401" s="218"/>
      <c r="H401" s="218"/>
      <c r="I401" s="218"/>
      <c r="J401" s="266"/>
      <c r="K401" s="285"/>
      <c r="L401" s="352"/>
    </row>
    <row r="402" spans="1:12" ht="14.25" customHeight="1" x14ac:dyDescent="0.45">
      <c r="A402" s="618"/>
      <c r="B402" s="215"/>
      <c r="C402" s="469"/>
      <c r="D402" s="218"/>
      <c r="E402" s="218"/>
      <c r="F402" s="218"/>
      <c r="G402" s="218"/>
      <c r="H402" s="218"/>
      <c r="I402" s="218"/>
      <c r="J402" s="266"/>
      <c r="K402" s="285"/>
      <c r="L402" s="352"/>
    </row>
    <row r="403" spans="1:12" ht="14.25" customHeight="1" x14ac:dyDescent="0.45">
      <c r="A403" s="618"/>
      <c r="B403" s="215"/>
      <c r="C403" s="469"/>
      <c r="D403" s="218"/>
      <c r="E403" s="218"/>
      <c r="F403" s="218"/>
      <c r="G403" s="218"/>
      <c r="H403" s="218"/>
      <c r="I403" s="218"/>
      <c r="J403" s="266"/>
      <c r="K403" s="285"/>
      <c r="L403" s="352"/>
    </row>
    <row r="404" spans="1:12" ht="14.25" customHeight="1" x14ac:dyDescent="0.45">
      <c r="A404" s="618"/>
      <c r="B404" s="215"/>
      <c r="C404" s="469"/>
      <c r="D404" s="218"/>
      <c r="E404" s="218"/>
      <c r="F404" s="218"/>
      <c r="G404" s="218"/>
      <c r="H404" s="218"/>
      <c r="I404" s="218"/>
      <c r="J404" s="266"/>
      <c r="K404" s="285"/>
      <c r="L404" s="352"/>
    </row>
    <row r="405" spans="1:12" ht="14.25" customHeight="1" x14ac:dyDescent="0.45">
      <c r="A405" s="618"/>
      <c r="B405" s="215"/>
      <c r="C405" s="469"/>
      <c r="D405" s="218"/>
      <c r="E405" s="218"/>
      <c r="F405" s="218"/>
      <c r="G405" s="218"/>
      <c r="H405" s="218"/>
      <c r="I405" s="218"/>
      <c r="J405" s="266"/>
      <c r="K405" s="285"/>
      <c r="L405" s="352"/>
    </row>
    <row r="406" spans="1:12" ht="14.25" customHeight="1" x14ac:dyDescent="0.45">
      <c r="A406" s="618"/>
      <c r="B406" s="215"/>
      <c r="C406" s="469"/>
      <c r="D406" s="218"/>
      <c r="E406" s="218"/>
      <c r="F406" s="218"/>
      <c r="G406" s="218"/>
      <c r="H406" s="218"/>
      <c r="I406" s="218"/>
      <c r="J406" s="266"/>
      <c r="K406" s="285"/>
      <c r="L406" s="352"/>
    </row>
    <row r="407" spans="1:12" ht="14.25" customHeight="1" x14ac:dyDescent="0.45">
      <c r="A407" s="618"/>
      <c r="B407" s="215"/>
      <c r="C407" s="469"/>
      <c r="D407" s="218"/>
      <c r="E407" s="218"/>
      <c r="F407" s="218"/>
      <c r="G407" s="218"/>
      <c r="H407" s="218"/>
      <c r="I407" s="218"/>
      <c r="J407" s="266"/>
      <c r="K407" s="285"/>
      <c r="L407" s="352"/>
    </row>
    <row r="408" spans="1:12" ht="14.25" customHeight="1" x14ac:dyDescent="0.45">
      <c r="A408" s="618"/>
      <c r="B408" s="215"/>
      <c r="C408" s="469"/>
      <c r="D408" s="218"/>
      <c r="E408" s="218"/>
      <c r="F408" s="218"/>
      <c r="G408" s="218"/>
      <c r="H408" s="218"/>
      <c r="I408" s="218"/>
      <c r="J408" s="266"/>
      <c r="K408" s="285"/>
      <c r="L408" s="352"/>
    </row>
    <row r="409" spans="1:12" ht="14.25" customHeight="1" x14ac:dyDescent="0.45">
      <c r="A409" s="618"/>
      <c r="B409" s="215"/>
      <c r="C409" s="469"/>
      <c r="D409" s="218"/>
      <c r="E409" s="218"/>
      <c r="F409" s="218"/>
      <c r="G409" s="218"/>
      <c r="H409" s="218"/>
      <c r="I409" s="218"/>
      <c r="J409" s="266"/>
      <c r="K409" s="285"/>
      <c r="L409" s="352"/>
    </row>
    <row r="410" spans="1:12" ht="14.25" customHeight="1" x14ac:dyDescent="0.45">
      <c r="A410" s="618"/>
      <c r="B410" s="215"/>
      <c r="C410" s="469"/>
      <c r="D410" s="218"/>
      <c r="E410" s="218"/>
      <c r="F410" s="218"/>
      <c r="G410" s="218"/>
      <c r="H410" s="218"/>
      <c r="I410" s="218"/>
      <c r="J410" s="266"/>
      <c r="K410" s="285"/>
      <c r="L410" s="352"/>
    </row>
    <row r="411" spans="1:12" ht="14.25" customHeight="1" x14ac:dyDescent="0.45">
      <c r="A411" s="618"/>
      <c r="B411" s="215"/>
      <c r="C411" s="469"/>
      <c r="D411" s="218"/>
      <c r="E411" s="218"/>
      <c r="F411" s="218"/>
      <c r="G411" s="218"/>
      <c r="H411" s="218"/>
      <c r="I411" s="218"/>
      <c r="J411" s="266"/>
      <c r="K411" s="285"/>
      <c r="L411" s="352"/>
    </row>
    <row r="412" spans="1:12" ht="14.25" customHeight="1" x14ac:dyDescent="0.45">
      <c r="A412" s="618"/>
      <c r="B412" s="215"/>
      <c r="C412" s="469"/>
      <c r="D412" s="218"/>
      <c r="E412" s="218"/>
      <c r="F412" s="218"/>
      <c r="G412" s="218"/>
      <c r="H412" s="218"/>
      <c r="I412" s="218"/>
      <c r="J412" s="266"/>
      <c r="K412" s="285"/>
      <c r="L412" s="352"/>
    </row>
    <row r="413" spans="1:12" ht="14.25" customHeight="1" x14ac:dyDescent="0.45">
      <c r="A413" s="618"/>
      <c r="B413" s="215"/>
      <c r="C413" s="469"/>
      <c r="D413" s="218"/>
      <c r="E413" s="218"/>
      <c r="F413" s="218"/>
      <c r="G413" s="218"/>
      <c r="H413" s="218"/>
      <c r="I413" s="218"/>
      <c r="J413" s="266"/>
      <c r="K413" s="285"/>
      <c r="L413" s="352"/>
    </row>
    <row r="414" spans="1:12" ht="14.25" customHeight="1" x14ac:dyDescent="0.45">
      <c r="A414" s="618"/>
      <c r="B414" s="215"/>
      <c r="C414" s="469"/>
      <c r="D414" s="218"/>
      <c r="E414" s="218"/>
      <c r="F414" s="218"/>
      <c r="G414" s="218"/>
      <c r="H414" s="218"/>
      <c r="I414" s="218"/>
      <c r="J414" s="266"/>
      <c r="K414" s="285"/>
      <c r="L414" s="352"/>
    </row>
    <row r="415" spans="1:12" ht="14.25" customHeight="1" x14ac:dyDescent="0.45">
      <c r="A415" s="618"/>
      <c r="B415" s="215"/>
      <c r="C415" s="469"/>
      <c r="D415" s="218"/>
      <c r="E415" s="218"/>
      <c r="F415" s="218"/>
      <c r="G415" s="218"/>
      <c r="H415" s="218"/>
      <c r="I415" s="218"/>
      <c r="J415" s="266"/>
      <c r="K415" s="285"/>
      <c r="L415" s="352"/>
    </row>
    <row r="416" spans="1:12" ht="14.25" customHeight="1" x14ac:dyDescent="0.45">
      <c r="A416" s="618"/>
      <c r="B416" s="215"/>
      <c r="C416" s="469"/>
      <c r="D416" s="218"/>
      <c r="E416" s="218"/>
      <c r="F416" s="218"/>
      <c r="G416" s="218"/>
      <c r="H416" s="218"/>
      <c r="I416" s="218"/>
      <c r="J416" s="266"/>
      <c r="K416" s="285"/>
      <c r="L416" s="352"/>
    </row>
    <row r="417" spans="1:12" ht="14.25" customHeight="1" x14ac:dyDescent="0.45">
      <c r="A417" s="618"/>
      <c r="B417" s="215"/>
      <c r="C417" s="469"/>
      <c r="D417" s="218"/>
      <c r="E417" s="218"/>
      <c r="F417" s="218"/>
      <c r="G417" s="218"/>
      <c r="H417" s="218"/>
      <c r="I417" s="218"/>
      <c r="J417" s="266"/>
      <c r="K417" s="285"/>
      <c r="L417" s="352"/>
    </row>
    <row r="418" spans="1:12" ht="14.25" customHeight="1" x14ac:dyDescent="0.45">
      <c r="A418" s="618"/>
      <c r="B418" s="215"/>
      <c r="C418" s="469"/>
      <c r="D418" s="218"/>
      <c r="E418" s="218"/>
      <c r="F418" s="218"/>
      <c r="G418" s="218"/>
      <c r="H418" s="218"/>
      <c r="I418" s="218"/>
      <c r="J418" s="266"/>
      <c r="K418" s="285"/>
      <c r="L418" s="352"/>
    </row>
    <row r="419" spans="1:12" ht="14.25" customHeight="1" x14ac:dyDescent="0.45">
      <c r="A419" s="618"/>
      <c r="B419" s="215"/>
      <c r="C419" s="469"/>
      <c r="D419" s="218"/>
      <c r="E419" s="218"/>
      <c r="F419" s="218"/>
      <c r="G419" s="218"/>
      <c r="H419" s="218"/>
      <c r="I419" s="218"/>
      <c r="J419" s="266"/>
      <c r="K419" s="285"/>
      <c r="L419" s="352"/>
    </row>
    <row r="420" spans="1:12" ht="14.25" customHeight="1" x14ac:dyDescent="0.45">
      <c r="A420" s="618"/>
      <c r="B420" s="215"/>
      <c r="C420" s="469"/>
      <c r="D420" s="218"/>
      <c r="E420" s="218"/>
      <c r="F420" s="218"/>
      <c r="G420" s="218"/>
      <c r="H420" s="218"/>
      <c r="I420" s="218"/>
      <c r="J420" s="266"/>
      <c r="K420" s="285"/>
      <c r="L420" s="352"/>
    </row>
    <row r="421" spans="1:12" ht="14.25" customHeight="1" x14ac:dyDescent="0.45">
      <c r="A421" s="618"/>
      <c r="B421" s="215"/>
      <c r="C421" s="469"/>
      <c r="D421" s="218"/>
      <c r="E421" s="218"/>
      <c r="F421" s="218"/>
      <c r="G421" s="218"/>
      <c r="H421" s="218"/>
      <c r="I421" s="218"/>
      <c r="J421" s="266"/>
      <c r="K421" s="285"/>
      <c r="L421" s="352"/>
    </row>
    <row r="422" spans="1:12" ht="14.25" customHeight="1" x14ac:dyDescent="0.45">
      <c r="A422" s="618"/>
      <c r="B422" s="215"/>
      <c r="C422" s="469"/>
      <c r="D422" s="218"/>
      <c r="E422" s="218"/>
      <c r="F422" s="218"/>
      <c r="G422" s="218"/>
      <c r="H422" s="218"/>
      <c r="I422" s="218"/>
      <c r="J422" s="266"/>
      <c r="K422" s="285"/>
      <c r="L422" s="352"/>
    </row>
    <row r="423" spans="1:12" ht="14.25" customHeight="1" x14ac:dyDescent="0.45">
      <c r="A423" s="618"/>
      <c r="B423" s="215"/>
      <c r="C423" s="469"/>
      <c r="D423" s="218"/>
      <c r="E423" s="218"/>
      <c r="F423" s="218"/>
      <c r="G423" s="218"/>
      <c r="H423" s="218"/>
      <c r="I423" s="218"/>
      <c r="J423" s="266"/>
      <c r="K423" s="285"/>
      <c r="L423" s="352"/>
    </row>
    <row r="424" spans="1:12" ht="14.25" customHeight="1" x14ac:dyDescent="0.45">
      <c r="A424" s="618"/>
      <c r="B424" s="215"/>
      <c r="C424" s="469"/>
      <c r="D424" s="218"/>
      <c r="E424" s="218"/>
      <c r="F424" s="218"/>
      <c r="G424" s="218"/>
      <c r="H424" s="218"/>
      <c r="I424" s="218"/>
      <c r="J424" s="266"/>
      <c r="K424" s="285"/>
      <c r="L424" s="352"/>
    </row>
    <row r="425" spans="1:12" ht="14.25" customHeight="1" x14ac:dyDescent="0.45">
      <c r="A425" s="618"/>
      <c r="B425" s="215"/>
      <c r="C425" s="469"/>
      <c r="D425" s="218"/>
      <c r="E425" s="218"/>
      <c r="F425" s="218"/>
      <c r="G425" s="218"/>
      <c r="H425" s="218"/>
      <c r="I425" s="218"/>
      <c r="J425" s="266"/>
      <c r="K425" s="285"/>
      <c r="L425" s="352"/>
    </row>
    <row r="426" spans="1:12" ht="14.25" customHeight="1" x14ac:dyDescent="0.45">
      <c r="A426" s="618"/>
      <c r="B426" s="215"/>
      <c r="C426" s="469"/>
      <c r="D426" s="218"/>
      <c r="E426" s="218"/>
      <c r="F426" s="218"/>
      <c r="G426" s="218"/>
      <c r="H426" s="218"/>
      <c r="I426" s="218"/>
      <c r="J426" s="266"/>
      <c r="K426" s="285"/>
      <c r="L426" s="352"/>
    </row>
    <row r="427" spans="1:12" ht="14.25" customHeight="1" x14ac:dyDescent="0.45">
      <c r="A427" s="618"/>
      <c r="B427" s="215"/>
      <c r="C427" s="469"/>
      <c r="D427" s="218"/>
      <c r="E427" s="218"/>
      <c r="F427" s="218"/>
      <c r="G427" s="218"/>
      <c r="H427" s="218"/>
      <c r="I427" s="218"/>
      <c r="J427" s="266"/>
      <c r="K427" s="285"/>
      <c r="L427" s="352"/>
    </row>
    <row r="428" spans="1:12" ht="14.25" customHeight="1" x14ac:dyDescent="0.45">
      <c r="A428" s="618"/>
      <c r="B428" s="215"/>
      <c r="C428" s="469"/>
      <c r="D428" s="218"/>
      <c r="E428" s="218"/>
      <c r="F428" s="218"/>
      <c r="G428" s="218"/>
      <c r="H428" s="218"/>
      <c r="I428" s="218"/>
      <c r="J428" s="266"/>
      <c r="K428" s="285"/>
      <c r="L428" s="352"/>
    </row>
    <row r="429" spans="1:12" ht="14.25" customHeight="1" x14ac:dyDescent="0.45">
      <c r="A429" s="618"/>
      <c r="B429" s="215"/>
      <c r="C429" s="469"/>
      <c r="D429" s="218"/>
      <c r="E429" s="218"/>
      <c r="F429" s="218"/>
      <c r="G429" s="218"/>
      <c r="H429" s="218"/>
      <c r="I429" s="218"/>
      <c r="J429" s="266"/>
      <c r="K429" s="285"/>
      <c r="L429" s="352"/>
    </row>
    <row r="430" spans="1:12" ht="14.25" customHeight="1" x14ac:dyDescent="0.45">
      <c r="A430" s="618"/>
      <c r="B430" s="215"/>
      <c r="C430" s="469"/>
      <c r="D430" s="218"/>
      <c r="E430" s="218"/>
      <c r="F430" s="218"/>
      <c r="G430" s="218"/>
      <c r="H430" s="218"/>
      <c r="I430" s="218"/>
      <c r="J430" s="266"/>
      <c r="K430" s="285"/>
      <c r="L430" s="352"/>
    </row>
    <row r="431" spans="1:12" ht="14.25" customHeight="1" x14ac:dyDescent="0.45">
      <c r="A431" s="618"/>
      <c r="B431" s="215"/>
      <c r="C431" s="469"/>
      <c r="D431" s="218"/>
      <c r="E431" s="218"/>
      <c r="F431" s="218"/>
      <c r="G431" s="218"/>
      <c r="H431" s="218"/>
      <c r="I431" s="218"/>
      <c r="J431" s="266"/>
      <c r="K431" s="285"/>
      <c r="L431" s="352"/>
    </row>
    <row r="432" spans="1:12" ht="14.25" customHeight="1" x14ac:dyDescent="0.45">
      <c r="A432" s="618"/>
      <c r="B432" s="215"/>
      <c r="C432" s="469"/>
      <c r="D432" s="218"/>
      <c r="E432" s="218"/>
      <c r="F432" s="218"/>
      <c r="G432" s="218"/>
      <c r="H432" s="218"/>
      <c r="I432" s="218"/>
      <c r="J432" s="266"/>
      <c r="K432" s="285"/>
      <c r="L432" s="352"/>
    </row>
    <row r="433" spans="1:12" ht="14.25" customHeight="1" x14ac:dyDescent="0.45">
      <c r="A433" s="618"/>
      <c r="B433" s="215"/>
      <c r="C433" s="469"/>
      <c r="D433" s="218"/>
      <c r="E433" s="218"/>
      <c r="F433" s="218"/>
      <c r="G433" s="218"/>
      <c r="H433" s="218"/>
      <c r="I433" s="218"/>
      <c r="J433" s="266"/>
      <c r="K433" s="285"/>
      <c r="L433" s="352"/>
    </row>
    <row r="434" spans="1:12" ht="14.25" customHeight="1" x14ac:dyDescent="0.45">
      <c r="A434" s="618"/>
      <c r="B434" s="215"/>
      <c r="C434" s="469"/>
      <c r="D434" s="218"/>
      <c r="E434" s="218"/>
      <c r="F434" s="218"/>
      <c r="G434" s="218"/>
      <c r="H434" s="218"/>
      <c r="I434" s="218"/>
      <c r="J434" s="266"/>
      <c r="K434" s="285"/>
      <c r="L434" s="352"/>
    </row>
    <row r="435" spans="1:12" ht="14.25" customHeight="1" x14ac:dyDescent="0.45">
      <c r="A435" s="618"/>
      <c r="B435" s="215"/>
      <c r="C435" s="469"/>
      <c r="D435" s="218"/>
      <c r="E435" s="218"/>
      <c r="F435" s="218"/>
      <c r="G435" s="218"/>
      <c r="H435" s="218"/>
      <c r="I435" s="218"/>
      <c r="J435" s="266"/>
      <c r="K435" s="285"/>
      <c r="L435" s="352"/>
    </row>
    <row r="436" spans="1:12" ht="14.25" customHeight="1" x14ac:dyDescent="0.45">
      <c r="A436" s="618"/>
      <c r="B436" s="215"/>
      <c r="C436" s="469"/>
      <c r="D436" s="218"/>
      <c r="E436" s="218"/>
      <c r="F436" s="218"/>
      <c r="G436" s="218"/>
      <c r="H436" s="218"/>
      <c r="I436" s="218"/>
      <c r="J436" s="266"/>
      <c r="K436" s="285"/>
      <c r="L436" s="352"/>
    </row>
    <row r="437" spans="1:12" ht="14.25" customHeight="1" x14ac:dyDescent="0.45">
      <c r="A437" s="618"/>
      <c r="B437" s="215"/>
      <c r="C437" s="469"/>
      <c r="D437" s="218"/>
      <c r="E437" s="218"/>
      <c r="F437" s="218"/>
      <c r="G437" s="218"/>
      <c r="H437" s="218"/>
      <c r="I437" s="218"/>
      <c r="J437" s="266"/>
      <c r="K437" s="285"/>
      <c r="L437" s="352"/>
    </row>
    <row r="438" spans="1:12" ht="13.5" customHeight="1" x14ac:dyDescent="0.45">
      <c r="A438" s="618"/>
      <c r="B438" s="215"/>
      <c r="C438" s="469"/>
      <c r="D438" s="218"/>
      <c r="E438" s="218"/>
      <c r="F438" s="218"/>
      <c r="G438" s="218"/>
      <c r="H438" s="218"/>
      <c r="I438" s="218"/>
      <c r="J438" s="266"/>
      <c r="K438" s="285"/>
      <c r="L438" s="352"/>
    </row>
    <row r="439" spans="1:12" ht="14.25" customHeight="1" x14ac:dyDescent="0.45">
      <c r="A439" s="618"/>
      <c r="B439" s="215"/>
      <c r="C439" s="469"/>
      <c r="D439" s="218"/>
      <c r="E439" s="218"/>
      <c r="F439" s="218"/>
      <c r="G439" s="218"/>
      <c r="H439" s="218"/>
      <c r="I439" s="218"/>
      <c r="J439" s="266"/>
      <c r="K439" s="285"/>
      <c r="L439" s="352"/>
    </row>
    <row r="440" spans="1:12" ht="14.25" customHeight="1" x14ac:dyDescent="0.45">
      <c r="A440" s="618"/>
      <c r="B440" s="215"/>
      <c r="C440" s="353"/>
      <c r="D440" s="353"/>
      <c r="E440" s="353"/>
      <c r="F440" s="353"/>
      <c r="G440" s="353"/>
      <c r="H440" s="353"/>
      <c r="I440" s="353"/>
      <c r="J440" s="470"/>
      <c r="K440" s="353"/>
      <c r="L440" s="352"/>
    </row>
    <row r="441" spans="1:12" ht="14.25" customHeight="1" x14ac:dyDescent="0.45">
      <c r="A441" s="618"/>
      <c r="B441" s="215"/>
      <c r="C441" s="243" t="s">
        <v>360</v>
      </c>
      <c r="D441" s="218"/>
      <c r="E441" s="218"/>
      <c r="F441" s="218"/>
      <c r="G441" s="218"/>
      <c r="H441" s="218"/>
      <c r="I441" s="218"/>
      <c r="J441" s="266"/>
      <c r="K441" s="285"/>
      <c r="L441" s="352"/>
    </row>
    <row r="442" spans="1:12" ht="14.25" customHeight="1" x14ac:dyDescent="0.45">
      <c r="A442" s="618"/>
      <c r="B442" s="215"/>
      <c r="C442" s="243"/>
      <c r="D442" s="218"/>
      <c r="E442" s="218"/>
      <c r="F442" s="218"/>
      <c r="G442" s="218"/>
      <c r="H442" s="218"/>
      <c r="I442" s="218"/>
      <c r="J442" s="266"/>
      <c r="K442" s="285"/>
      <c r="L442" s="352"/>
    </row>
    <row r="443" spans="1:12" ht="14.25" customHeight="1" x14ac:dyDescent="0.45">
      <c r="A443" s="618"/>
      <c r="B443" s="215"/>
      <c r="C443" s="243"/>
      <c r="D443" s="218"/>
      <c r="E443" s="218"/>
      <c r="F443" s="218"/>
      <c r="G443" s="218"/>
      <c r="H443" s="218"/>
      <c r="I443" s="218"/>
      <c r="J443" s="266"/>
      <c r="K443" s="285"/>
      <c r="L443" s="352"/>
    </row>
    <row r="444" spans="1:12" ht="14.25" customHeight="1" x14ac:dyDescent="0.45">
      <c r="A444" s="618"/>
      <c r="B444" s="215"/>
      <c r="C444" s="243"/>
      <c r="D444" s="218"/>
      <c r="E444" s="218"/>
      <c r="F444" s="218"/>
      <c r="G444" s="218"/>
      <c r="H444" s="218"/>
      <c r="I444" s="218"/>
      <c r="J444" s="266"/>
      <c r="K444" s="285"/>
      <c r="L444" s="352"/>
    </row>
    <row r="445" spans="1:12" ht="14.25" customHeight="1" x14ac:dyDescent="0.45">
      <c r="A445" s="618"/>
      <c r="B445" s="215"/>
      <c r="C445" s="243"/>
      <c r="D445" s="218"/>
      <c r="E445" s="218"/>
      <c r="F445" s="218"/>
      <c r="G445" s="218"/>
      <c r="H445" s="218"/>
      <c r="I445" s="218"/>
      <c r="J445" s="266"/>
      <c r="K445" s="285"/>
      <c r="L445" s="352"/>
    </row>
    <row r="446" spans="1:12" ht="14.25" customHeight="1" x14ac:dyDescent="0.45">
      <c r="A446" s="618"/>
      <c r="B446" s="215"/>
      <c r="C446" s="243"/>
      <c r="D446" s="218"/>
      <c r="E446" s="218"/>
      <c r="F446" s="218"/>
      <c r="G446" s="218"/>
      <c r="H446" s="218"/>
      <c r="I446" s="218"/>
      <c r="J446" s="266"/>
      <c r="K446" s="285"/>
      <c r="L446" s="352"/>
    </row>
    <row r="447" spans="1:12" ht="14.25" customHeight="1" x14ac:dyDescent="0.45">
      <c r="A447" s="618"/>
      <c r="B447" s="215"/>
      <c r="C447" s="243"/>
      <c r="D447" s="218"/>
      <c r="E447" s="218"/>
      <c r="F447" s="218"/>
      <c r="G447" s="218"/>
      <c r="H447" s="218"/>
      <c r="I447" s="218"/>
      <c r="J447" s="266"/>
      <c r="K447" s="285"/>
      <c r="L447" s="352"/>
    </row>
    <row r="448" spans="1:12" ht="14.25" customHeight="1" x14ac:dyDescent="0.45">
      <c r="A448" s="618"/>
      <c r="B448" s="215"/>
      <c r="C448" s="243"/>
      <c r="D448" s="218"/>
      <c r="E448" s="218"/>
      <c r="F448" s="218"/>
      <c r="G448" s="218"/>
      <c r="H448" s="218"/>
      <c r="I448" s="218"/>
      <c r="J448" s="266"/>
      <c r="K448" s="285"/>
      <c r="L448" s="352"/>
    </row>
    <row r="449" spans="1:12" ht="14.25" customHeight="1" x14ac:dyDescent="0.45">
      <c r="A449" s="618"/>
      <c r="B449" s="215"/>
      <c r="C449" s="243"/>
      <c r="D449" s="218"/>
      <c r="E449" s="218"/>
      <c r="F449" s="218"/>
      <c r="G449" s="218"/>
      <c r="H449" s="218"/>
      <c r="I449" s="218"/>
      <c r="J449" s="266"/>
      <c r="K449" s="285"/>
      <c r="L449" s="352"/>
    </row>
    <row r="450" spans="1:12" ht="14.25" customHeight="1" x14ac:dyDescent="0.45">
      <c r="A450" s="618"/>
      <c r="B450" s="215"/>
      <c r="C450" s="243"/>
      <c r="D450" s="218"/>
      <c r="E450" s="218"/>
      <c r="F450" s="218"/>
      <c r="G450" s="218"/>
      <c r="H450" s="218"/>
      <c r="I450" s="218"/>
      <c r="J450" s="266"/>
      <c r="K450" s="285"/>
      <c r="L450" s="352"/>
    </row>
    <row r="451" spans="1:12" ht="14.25" customHeight="1" x14ac:dyDescent="0.45">
      <c r="A451" s="618"/>
      <c r="B451" s="215"/>
      <c r="C451" s="243"/>
      <c r="D451" s="218"/>
      <c r="E451" s="218"/>
      <c r="F451" s="218"/>
      <c r="G451" s="218"/>
      <c r="H451" s="218"/>
      <c r="I451" s="218"/>
      <c r="J451" s="266"/>
      <c r="K451" s="285"/>
      <c r="L451" s="352"/>
    </row>
    <row r="452" spans="1:12" ht="14.25" customHeight="1" x14ac:dyDescent="0.45">
      <c r="A452" s="618"/>
      <c r="B452" s="215"/>
      <c r="C452" s="243"/>
      <c r="D452" s="218"/>
      <c r="E452" s="218"/>
      <c r="F452" s="218"/>
      <c r="G452" s="218"/>
      <c r="H452" s="218"/>
      <c r="I452" s="218"/>
      <c r="J452" s="266"/>
      <c r="K452" s="285"/>
      <c r="L452" s="352"/>
    </row>
    <row r="453" spans="1:12" ht="14.25" customHeight="1" x14ac:dyDescent="0.45">
      <c r="A453" s="618"/>
      <c r="B453" s="215"/>
      <c r="C453" s="243"/>
      <c r="D453" s="218"/>
      <c r="E453" s="218"/>
      <c r="F453" s="218"/>
      <c r="G453" s="218"/>
      <c r="H453" s="218"/>
      <c r="I453" s="218"/>
      <c r="J453" s="266"/>
      <c r="K453" s="285"/>
      <c r="L453" s="352"/>
    </row>
    <row r="454" spans="1:12" ht="14.25" customHeight="1" x14ac:dyDescent="0.45">
      <c r="A454" s="618"/>
      <c r="B454" s="215"/>
      <c r="C454" s="243"/>
      <c r="D454" s="218"/>
      <c r="E454" s="218"/>
      <c r="F454" s="218"/>
      <c r="G454" s="218"/>
      <c r="H454" s="218"/>
      <c r="I454" s="218"/>
      <c r="J454" s="266"/>
      <c r="K454" s="285"/>
      <c r="L454" s="352"/>
    </row>
    <row r="455" spans="1:12" ht="14.25" customHeight="1" x14ac:dyDescent="0.45">
      <c r="A455" s="618"/>
      <c r="B455" s="215"/>
      <c r="C455" s="243"/>
      <c r="D455" s="218"/>
      <c r="E455" s="218"/>
      <c r="F455" s="218"/>
      <c r="G455" s="218"/>
      <c r="H455" s="218"/>
      <c r="I455" s="218"/>
      <c r="J455" s="266"/>
      <c r="K455" s="285"/>
      <c r="L455" s="352"/>
    </row>
    <row r="456" spans="1:12" ht="14.25" customHeight="1" x14ac:dyDescent="0.45">
      <c r="A456" s="618"/>
      <c r="B456" s="215"/>
      <c r="C456" s="243"/>
      <c r="D456" s="218"/>
      <c r="E456" s="218"/>
      <c r="F456" s="218"/>
      <c r="G456" s="218"/>
      <c r="H456" s="218"/>
      <c r="I456" s="218"/>
      <c r="J456" s="266"/>
      <c r="K456" s="285"/>
      <c r="L456" s="352"/>
    </row>
    <row r="457" spans="1:12" ht="14.25" customHeight="1" x14ac:dyDescent="0.45">
      <c r="A457" s="618"/>
      <c r="B457" s="215"/>
      <c r="C457" s="243"/>
      <c r="D457" s="218"/>
      <c r="E457" s="218"/>
      <c r="F457" s="218"/>
      <c r="G457" s="218"/>
      <c r="H457" s="218"/>
      <c r="I457" s="218"/>
      <c r="J457" s="266"/>
      <c r="K457" s="285"/>
      <c r="L457" s="352"/>
    </row>
    <row r="458" spans="1:12" ht="14.25" customHeight="1" x14ac:dyDescent="0.45">
      <c r="A458" s="618"/>
      <c r="B458" s="215"/>
      <c r="C458" s="243"/>
      <c r="D458" s="218"/>
      <c r="E458" s="218"/>
      <c r="F458" s="218"/>
      <c r="G458" s="218"/>
      <c r="H458" s="218"/>
      <c r="I458" s="218"/>
      <c r="J458" s="266"/>
      <c r="K458" s="285"/>
      <c r="L458" s="352"/>
    </row>
    <row r="459" spans="1:12" ht="14.25" customHeight="1" x14ac:dyDescent="0.45">
      <c r="A459" s="618"/>
      <c r="B459" s="215"/>
      <c r="C459" s="243"/>
      <c r="D459" s="218"/>
      <c r="E459" s="218"/>
      <c r="F459" s="218"/>
      <c r="G459" s="218"/>
      <c r="H459" s="218"/>
      <c r="I459" s="218"/>
      <c r="J459" s="266"/>
      <c r="K459" s="285"/>
      <c r="L459" s="352"/>
    </row>
    <row r="460" spans="1:12" ht="14.25" customHeight="1" x14ac:dyDescent="0.45">
      <c r="A460" s="618"/>
      <c r="B460" s="215"/>
      <c r="C460" s="243"/>
      <c r="D460" s="218"/>
      <c r="E460" s="218"/>
      <c r="F460" s="218"/>
      <c r="G460" s="218"/>
      <c r="H460" s="218"/>
      <c r="I460" s="218"/>
      <c r="J460" s="266"/>
      <c r="K460" s="285"/>
      <c r="L460" s="352"/>
    </row>
    <row r="461" spans="1:12" ht="14.25" customHeight="1" x14ac:dyDescent="0.45">
      <c r="A461" s="618"/>
      <c r="B461" s="215"/>
      <c r="C461" s="243"/>
      <c r="D461" s="218"/>
      <c r="E461" s="218"/>
      <c r="F461" s="218"/>
      <c r="G461" s="218"/>
      <c r="H461" s="218"/>
      <c r="I461" s="218"/>
      <c r="J461" s="266"/>
      <c r="K461" s="285"/>
      <c r="L461" s="352"/>
    </row>
    <row r="462" spans="1:12" ht="14.25" customHeight="1" x14ac:dyDescent="0.45">
      <c r="A462" s="618"/>
      <c r="B462" s="215"/>
      <c r="C462" s="243"/>
      <c r="D462" s="218"/>
      <c r="E462" s="218"/>
      <c r="F462" s="218"/>
      <c r="G462" s="218"/>
      <c r="H462" s="218"/>
      <c r="I462" s="218"/>
      <c r="J462" s="266"/>
      <c r="K462" s="285"/>
      <c r="L462" s="352"/>
    </row>
    <row r="463" spans="1:12" ht="14.25" customHeight="1" x14ac:dyDescent="0.45">
      <c r="A463" s="618"/>
      <c r="B463" s="215"/>
      <c r="C463" s="243"/>
      <c r="D463" s="218"/>
      <c r="E463" s="218"/>
      <c r="F463" s="218"/>
      <c r="G463" s="218"/>
      <c r="H463" s="218"/>
      <c r="I463" s="218"/>
      <c r="J463" s="266"/>
      <c r="K463" s="285"/>
      <c r="L463" s="352"/>
    </row>
    <row r="464" spans="1:12" ht="14.25" customHeight="1" x14ac:dyDescent="0.45">
      <c r="A464" s="618"/>
      <c r="B464" s="215"/>
      <c r="C464" s="243"/>
      <c r="D464" s="218"/>
      <c r="E464" s="218"/>
      <c r="F464" s="218"/>
      <c r="G464" s="218"/>
      <c r="H464" s="218"/>
      <c r="I464" s="218"/>
      <c r="J464" s="266"/>
      <c r="K464" s="285"/>
      <c r="L464" s="352"/>
    </row>
    <row r="465" spans="1:12" ht="14.25" customHeight="1" x14ac:dyDescent="0.45">
      <c r="A465" s="618"/>
      <c r="B465" s="215"/>
      <c r="C465" s="243"/>
      <c r="D465" s="218"/>
      <c r="E465" s="218"/>
      <c r="F465" s="218"/>
      <c r="G465" s="218"/>
      <c r="H465" s="218"/>
      <c r="I465" s="218"/>
      <c r="J465" s="266"/>
      <c r="K465" s="285"/>
      <c r="L465" s="352"/>
    </row>
    <row r="466" spans="1:12" ht="14.25" customHeight="1" x14ac:dyDescent="0.45">
      <c r="A466" s="618"/>
      <c r="B466" s="215"/>
      <c r="C466" s="243"/>
      <c r="D466" s="218"/>
      <c r="E466" s="218"/>
      <c r="F466" s="218"/>
      <c r="G466" s="218"/>
      <c r="H466" s="218"/>
      <c r="I466" s="218"/>
      <c r="J466" s="266"/>
      <c r="K466" s="285"/>
      <c r="L466" s="352"/>
    </row>
    <row r="467" spans="1:12" ht="14.25" customHeight="1" x14ac:dyDescent="0.45">
      <c r="A467" s="618"/>
      <c r="B467" s="215"/>
      <c r="C467" s="243"/>
      <c r="D467" s="218"/>
      <c r="E467" s="218"/>
      <c r="F467" s="218"/>
      <c r="G467" s="218"/>
      <c r="H467" s="218"/>
      <c r="I467" s="218"/>
      <c r="J467" s="266"/>
      <c r="K467" s="285"/>
      <c r="L467" s="352"/>
    </row>
    <row r="468" spans="1:12" ht="14.25" customHeight="1" x14ac:dyDescent="0.45">
      <c r="A468" s="618"/>
      <c r="B468" s="215"/>
      <c r="C468" s="243"/>
      <c r="D468" s="218"/>
      <c r="E468" s="218"/>
      <c r="F468" s="218"/>
      <c r="G468" s="218"/>
      <c r="H468" s="218"/>
      <c r="I468" s="218"/>
      <c r="J468" s="266"/>
      <c r="K468" s="285"/>
      <c r="L468" s="352"/>
    </row>
    <row r="469" spans="1:12" ht="14.25" customHeight="1" x14ac:dyDescent="0.45">
      <c r="A469" s="618"/>
      <c r="B469" s="215"/>
      <c r="C469" s="243"/>
      <c r="D469" s="218"/>
      <c r="E469" s="218"/>
      <c r="F469" s="218"/>
      <c r="G469" s="218"/>
      <c r="H469" s="218"/>
      <c r="I469" s="218"/>
      <c r="J469" s="266"/>
      <c r="K469" s="285"/>
      <c r="L469" s="352"/>
    </row>
    <row r="470" spans="1:12" ht="14.25" customHeight="1" x14ac:dyDescent="0.45">
      <c r="A470" s="618"/>
      <c r="B470" s="215"/>
      <c r="C470" s="243"/>
      <c r="D470" s="218"/>
      <c r="E470" s="218"/>
      <c r="F470" s="218"/>
      <c r="G470" s="218"/>
      <c r="H470" s="218"/>
      <c r="I470" s="218"/>
      <c r="J470" s="266"/>
      <c r="K470" s="285"/>
      <c r="L470" s="352"/>
    </row>
    <row r="471" spans="1:12" ht="14.25" customHeight="1" x14ac:dyDescent="0.45">
      <c r="A471" s="618"/>
      <c r="B471" s="215"/>
      <c r="C471" s="243"/>
      <c r="D471" s="218"/>
      <c r="E471" s="218"/>
      <c r="F471" s="218"/>
      <c r="G471" s="218"/>
      <c r="H471" s="218"/>
      <c r="I471" s="218"/>
      <c r="J471" s="266"/>
      <c r="K471" s="285"/>
      <c r="L471" s="352"/>
    </row>
    <row r="472" spans="1:12" ht="14.25" customHeight="1" x14ac:dyDescent="0.45">
      <c r="A472" s="618"/>
      <c r="B472" s="215"/>
      <c r="C472" s="243"/>
      <c r="D472" s="218"/>
      <c r="E472" s="218"/>
      <c r="F472" s="218"/>
      <c r="G472" s="218"/>
      <c r="H472" s="218"/>
      <c r="I472" s="218"/>
      <c r="J472" s="266"/>
      <c r="K472" s="285"/>
      <c r="L472" s="352"/>
    </row>
    <row r="473" spans="1:12" ht="14.25" customHeight="1" x14ac:dyDescent="0.45">
      <c r="A473" s="618"/>
      <c r="B473" s="215"/>
      <c r="C473" s="243"/>
      <c r="D473" s="218"/>
      <c r="E473" s="218"/>
      <c r="F473" s="218"/>
      <c r="G473" s="218"/>
      <c r="H473" s="218"/>
      <c r="I473" s="218"/>
      <c r="J473" s="266"/>
      <c r="K473" s="285"/>
      <c r="L473" s="352"/>
    </row>
    <row r="474" spans="1:12" ht="14.25" customHeight="1" x14ac:dyDescent="0.45">
      <c r="A474" s="618"/>
      <c r="B474" s="215"/>
      <c r="C474" s="243"/>
      <c r="D474" s="218"/>
      <c r="E474" s="218"/>
      <c r="F474" s="218"/>
      <c r="G474" s="218"/>
      <c r="H474" s="218"/>
      <c r="I474" s="218"/>
      <c r="J474" s="266"/>
      <c r="K474" s="285"/>
      <c r="L474" s="352"/>
    </row>
    <row r="475" spans="1:12" ht="14.25" customHeight="1" x14ac:dyDescent="0.45">
      <c r="A475" s="618"/>
      <c r="B475" s="215"/>
      <c r="C475" s="243"/>
      <c r="D475" s="218"/>
      <c r="E475" s="218"/>
      <c r="F475" s="218"/>
      <c r="G475" s="218"/>
      <c r="H475" s="218"/>
      <c r="I475" s="218"/>
      <c r="J475" s="266"/>
      <c r="K475" s="285"/>
      <c r="L475" s="352"/>
    </row>
    <row r="476" spans="1:12" ht="14.25" customHeight="1" x14ac:dyDescent="0.45">
      <c r="A476" s="618"/>
      <c r="B476" s="215"/>
      <c r="C476" s="243"/>
      <c r="D476" s="218"/>
      <c r="E476" s="218"/>
      <c r="F476" s="218"/>
      <c r="G476" s="218"/>
      <c r="H476" s="218"/>
      <c r="I476" s="218"/>
      <c r="J476" s="266"/>
      <c r="K476" s="285"/>
      <c r="L476" s="352"/>
    </row>
    <row r="477" spans="1:12" ht="14.25" customHeight="1" x14ac:dyDescent="0.45">
      <c r="A477" s="618"/>
      <c r="B477" s="215"/>
      <c r="C477" s="243"/>
      <c r="D477" s="218"/>
      <c r="E477" s="218"/>
      <c r="F477" s="218"/>
      <c r="G477" s="218"/>
      <c r="H477" s="218"/>
      <c r="I477" s="218"/>
      <c r="J477" s="266"/>
      <c r="K477" s="285"/>
      <c r="L477" s="352"/>
    </row>
    <row r="478" spans="1:12" ht="14.25" customHeight="1" x14ac:dyDescent="0.45">
      <c r="A478" s="618"/>
      <c r="B478" s="215"/>
      <c r="C478" s="243"/>
      <c r="D478" s="218"/>
      <c r="E478" s="218"/>
      <c r="F478" s="218"/>
      <c r="G478" s="218"/>
      <c r="H478" s="218"/>
      <c r="I478" s="218"/>
      <c r="J478" s="266"/>
      <c r="K478" s="285"/>
      <c r="L478" s="352"/>
    </row>
    <row r="479" spans="1:12" ht="14.25" customHeight="1" x14ac:dyDescent="0.45">
      <c r="A479" s="618"/>
      <c r="B479" s="215"/>
      <c r="C479" s="243"/>
      <c r="D479" s="218"/>
      <c r="E479" s="218"/>
      <c r="F479" s="218"/>
      <c r="G479" s="218"/>
      <c r="H479" s="218"/>
      <c r="I479" s="218"/>
      <c r="J479" s="266"/>
      <c r="K479" s="285"/>
      <c r="L479" s="352"/>
    </row>
    <row r="480" spans="1:12" ht="14.25" customHeight="1" x14ac:dyDescent="0.45">
      <c r="A480" s="618"/>
      <c r="B480" s="215"/>
      <c r="C480" s="243"/>
      <c r="D480" s="218"/>
      <c r="E480" s="218"/>
      <c r="F480" s="218"/>
      <c r="G480" s="218"/>
      <c r="H480" s="218"/>
      <c r="I480" s="218"/>
      <c r="J480" s="266"/>
      <c r="K480" s="285"/>
      <c r="L480" s="352"/>
    </row>
    <row r="481" spans="1:12" ht="14.25" customHeight="1" x14ac:dyDescent="0.45">
      <c r="A481" s="618"/>
      <c r="B481" s="215"/>
      <c r="C481" s="243"/>
      <c r="D481" s="218"/>
      <c r="E481" s="218"/>
      <c r="F481" s="218"/>
      <c r="G481" s="218"/>
      <c r="H481" s="218"/>
      <c r="I481" s="218"/>
      <c r="J481" s="266"/>
      <c r="K481" s="285"/>
      <c r="L481" s="352"/>
    </row>
    <row r="482" spans="1:12" ht="14.25" customHeight="1" x14ac:dyDescent="0.45">
      <c r="A482" s="618"/>
      <c r="B482" s="215"/>
      <c r="C482" s="243"/>
      <c r="D482" s="218"/>
      <c r="E482" s="218"/>
      <c r="F482" s="218"/>
      <c r="G482" s="218"/>
      <c r="H482" s="218"/>
      <c r="I482" s="218"/>
      <c r="J482" s="266"/>
      <c r="K482" s="285"/>
      <c r="L482" s="352"/>
    </row>
    <row r="483" spans="1:12" ht="14.25" customHeight="1" x14ac:dyDescent="0.45">
      <c r="A483" s="618"/>
      <c r="B483" s="215"/>
      <c r="C483" s="353"/>
      <c r="D483" s="363"/>
      <c r="E483" s="363"/>
      <c r="F483" s="363"/>
      <c r="G483" s="363"/>
      <c r="H483" s="363"/>
      <c r="I483" s="363"/>
      <c r="J483" s="471"/>
      <c r="K483" s="220"/>
      <c r="L483" s="352"/>
    </row>
    <row r="484" spans="1:12" ht="14.25" customHeight="1" x14ac:dyDescent="0.45">
      <c r="A484" s="618"/>
      <c r="B484" s="215"/>
      <c r="C484" s="243" t="s">
        <v>378</v>
      </c>
      <c r="D484" s="218"/>
      <c r="E484" s="218"/>
      <c r="F484" s="218"/>
      <c r="G484" s="218"/>
      <c r="H484" s="218"/>
      <c r="I484" s="218"/>
      <c r="J484" s="266"/>
      <c r="K484" s="285"/>
      <c r="L484" s="352"/>
    </row>
    <row r="485" spans="1:12" ht="14.25" customHeight="1" x14ac:dyDescent="0.45">
      <c r="A485" s="618"/>
      <c r="B485" s="215"/>
      <c r="C485" s="243"/>
      <c r="D485" s="218"/>
      <c r="E485" s="218"/>
      <c r="F485" s="218"/>
      <c r="G485" s="218"/>
      <c r="H485" s="218"/>
      <c r="I485" s="218"/>
      <c r="J485" s="266"/>
      <c r="K485" s="285"/>
      <c r="L485" s="352"/>
    </row>
    <row r="486" spans="1:12" ht="14.25" customHeight="1" x14ac:dyDescent="0.45">
      <c r="A486" s="618"/>
      <c r="B486" s="215"/>
      <c r="C486" s="243"/>
      <c r="D486" s="218"/>
      <c r="E486" s="218"/>
      <c r="F486" s="218"/>
      <c r="G486" s="218"/>
      <c r="H486" s="218"/>
      <c r="I486" s="218"/>
      <c r="J486" s="266"/>
      <c r="K486" s="285"/>
      <c r="L486" s="352"/>
    </row>
    <row r="487" spans="1:12" ht="14.25" customHeight="1" x14ac:dyDescent="0.45">
      <c r="A487" s="618"/>
      <c r="B487" s="215"/>
      <c r="C487" s="243"/>
      <c r="D487" s="218"/>
      <c r="E487" s="218"/>
      <c r="F487" s="218"/>
      <c r="G487" s="218"/>
      <c r="H487" s="218"/>
      <c r="I487" s="218"/>
      <c r="J487" s="266"/>
      <c r="K487" s="285"/>
      <c r="L487" s="352"/>
    </row>
    <row r="488" spans="1:12" ht="14.25" customHeight="1" x14ac:dyDescent="0.45">
      <c r="A488" s="618"/>
      <c r="B488" s="215"/>
      <c r="C488" s="243"/>
      <c r="D488" s="218"/>
      <c r="E488" s="218"/>
      <c r="F488" s="218"/>
      <c r="G488" s="218"/>
      <c r="H488" s="218"/>
      <c r="I488" s="218"/>
      <c r="J488" s="266"/>
      <c r="K488" s="285"/>
      <c r="L488" s="352"/>
    </row>
    <row r="489" spans="1:12" ht="14.25" customHeight="1" x14ac:dyDescent="0.45">
      <c r="A489" s="618"/>
      <c r="B489" s="215"/>
      <c r="C489" s="243"/>
      <c r="D489" s="218"/>
      <c r="E489" s="218"/>
      <c r="F489" s="218"/>
      <c r="G489" s="218"/>
      <c r="H489" s="218"/>
      <c r="I489" s="218"/>
      <c r="J489" s="266"/>
      <c r="K489" s="285"/>
      <c r="L489" s="352"/>
    </row>
    <row r="490" spans="1:12" ht="14.25" customHeight="1" x14ac:dyDescent="0.45">
      <c r="A490" s="618"/>
      <c r="B490" s="215"/>
      <c r="C490" s="243"/>
      <c r="D490" s="218"/>
      <c r="E490" s="218"/>
      <c r="F490" s="218"/>
      <c r="G490" s="218"/>
      <c r="H490" s="218"/>
      <c r="I490" s="218"/>
      <c r="J490" s="266"/>
      <c r="K490" s="285"/>
      <c r="L490" s="352"/>
    </row>
    <row r="491" spans="1:12" ht="14.25" customHeight="1" x14ac:dyDescent="0.45">
      <c r="A491" s="618"/>
      <c r="B491" s="215"/>
      <c r="C491" s="243"/>
      <c r="D491" s="218"/>
      <c r="E491" s="218"/>
      <c r="F491" s="218"/>
      <c r="G491" s="218"/>
      <c r="H491" s="218"/>
      <c r="I491" s="218"/>
      <c r="J491" s="266"/>
      <c r="K491" s="285"/>
      <c r="L491" s="352"/>
    </row>
    <row r="492" spans="1:12" ht="14.25" customHeight="1" x14ac:dyDescent="0.45">
      <c r="A492" s="618"/>
      <c r="B492" s="215"/>
      <c r="C492" s="243"/>
      <c r="D492" s="218"/>
      <c r="E492" s="218"/>
      <c r="F492" s="218"/>
      <c r="G492" s="218"/>
      <c r="H492" s="218"/>
      <c r="I492" s="218"/>
      <c r="J492" s="266"/>
      <c r="K492" s="285"/>
      <c r="L492" s="352"/>
    </row>
    <row r="493" spans="1:12" ht="14.25" customHeight="1" x14ac:dyDescent="0.45">
      <c r="A493" s="618"/>
      <c r="B493" s="215"/>
      <c r="C493" s="243"/>
      <c r="D493" s="218"/>
      <c r="E493" s="218"/>
      <c r="F493" s="218"/>
      <c r="G493" s="218"/>
      <c r="H493" s="218"/>
      <c r="I493" s="218"/>
      <c r="J493" s="266"/>
      <c r="K493" s="285"/>
      <c r="L493" s="352"/>
    </row>
    <row r="494" spans="1:12" ht="14.25" customHeight="1" x14ac:dyDescent="0.45">
      <c r="A494" s="618"/>
      <c r="B494" s="215"/>
      <c r="C494" s="243"/>
      <c r="D494" s="218"/>
      <c r="E494" s="218"/>
      <c r="F494" s="218"/>
      <c r="G494" s="218"/>
      <c r="H494" s="218"/>
      <c r="I494" s="218"/>
      <c r="J494" s="266"/>
      <c r="K494" s="285"/>
      <c r="L494" s="352"/>
    </row>
    <row r="495" spans="1:12" ht="14.25" customHeight="1" x14ac:dyDescent="0.45">
      <c r="A495" s="618"/>
      <c r="B495" s="215"/>
      <c r="C495" s="243"/>
      <c r="D495" s="218"/>
      <c r="E495" s="218"/>
      <c r="F495" s="218"/>
      <c r="G495" s="218"/>
      <c r="H495" s="218"/>
      <c r="I495" s="218"/>
      <c r="J495" s="266"/>
      <c r="K495" s="285"/>
      <c r="L495" s="352"/>
    </row>
    <row r="496" spans="1:12" ht="14.25" customHeight="1" x14ac:dyDescent="0.45">
      <c r="A496" s="618"/>
      <c r="B496" s="215"/>
      <c r="C496" s="243"/>
      <c r="D496" s="218"/>
      <c r="E496" s="218"/>
      <c r="F496" s="218"/>
      <c r="G496" s="218"/>
      <c r="H496" s="218"/>
      <c r="I496" s="218"/>
      <c r="J496" s="266"/>
      <c r="K496" s="285"/>
      <c r="L496" s="352"/>
    </row>
    <row r="497" spans="1:12" ht="14.25" customHeight="1" x14ac:dyDescent="0.45">
      <c r="A497" s="618"/>
      <c r="B497" s="215"/>
      <c r="C497" s="243"/>
      <c r="D497" s="218"/>
      <c r="E497" s="218"/>
      <c r="F497" s="218"/>
      <c r="G497" s="218"/>
      <c r="H497" s="218"/>
      <c r="I497" s="218"/>
      <c r="J497" s="266"/>
      <c r="K497" s="285"/>
      <c r="L497" s="352"/>
    </row>
    <row r="498" spans="1:12" ht="14.25" customHeight="1" x14ac:dyDescent="0.45">
      <c r="A498" s="618"/>
      <c r="B498" s="215"/>
      <c r="C498" s="243"/>
      <c r="D498" s="218"/>
      <c r="E498" s="218"/>
      <c r="F498" s="218"/>
      <c r="G498" s="218"/>
      <c r="H498" s="218"/>
      <c r="I498" s="218"/>
      <c r="J498" s="266"/>
      <c r="K498" s="285"/>
      <c r="L498" s="352"/>
    </row>
    <row r="499" spans="1:12" ht="14.25" customHeight="1" x14ac:dyDescent="0.45">
      <c r="A499" s="618"/>
      <c r="B499" s="215"/>
      <c r="C499" s="243"/>
      <c r="D499" s="218"/>
      <c r="E499" s="218"/>
      <c r="F499" s="218"/>
      <c r="G499" s="218"/>
      <c r="H499" s="218"/>
      <c r="I499" s="218"/>
      <c r="J499" s="266"/>
      <c r="K499" s="285"/>
      <c r="L499" s="352"/>
    </row>
    <row r="500" spans="1:12" ht="14.25" customHeight="1" x14ac:dyDescent="0.45">
      <c r="A500" s="618"/>
      <c r="B500" s="215"/>
      <c r="C500" s="243"/>
      <c r="D500" s="218"/>
      <c r="E500" s="218"/>
      <c r="F500" s="218"/>
      <c r="G500" s="218"/>
      <c r="H500" s="218"/>
      <c r="I500" s="218"/>
      <c r="J500" s="266"/>
      <c r="K500" s="285"/>
      <c r="L500" s="352"/>
    </row>
    <row r="501" spans="1:12" ht="14.25" customHeight="1" x14ac:dyDescent="0.45">
      <c r="A501" s="618"/>
      <c r="B501" s="215"/>
      <c r="C501" s="243"/>
      <c r="D501" s="218"/>
      <c r="E501" s="218"/>
      <c r="F501" s="218"/>
      <c r="G501" s="218"/>
      <c r="H501" s="218"/>
      <c r="I501" s="218"/>
      <c r="J501" s="266"/>
      <c r="K501" s="285"/>
      <c r="L501" s="352"/>
    </row>
    <row r="502" spans="1:12" ht="14.25" customHeight="1" x14ac:dyDescent="0.45">
      <c r="A502" s="618"/>
      <c r="B502" s="215"/>
      <c r="C502" s="221"/>
      <c r="D502" s="218"/>
      <c r="E502" s="218"/>
      <c r="F502" s="218"/>
      <c r="G502" s="218"/>
      <c r="H502" s="218"/>
      <c r="I502" s="218"/>
      <c r="J502" s="218"/>
      <c r="K502" s="285"/>
      <c r="L502" s="352"/>
    </row>
    <row r="503" spans="1:12" ht="14.25" customHeight="1" x14ac:dyDescent="0.45">
      <c r="A503" s="618"/>
      <c r="B503" s="215"/>
      <c r="C503" s="353"/>
      <c r="D503" s="363"/>
      <c r="E503" s="363"/>
      <c r="F503" s="363"/>
      <c r="G503" s="363"/>
      <c r="H503" s="363"/>
      <c r="I503" s="363"/>
      <c r="J503" s="471"/>
      <c r="K503" s="220"/>
      <c r="L503" s="352"/>
    </row>
    <row r="504" spans="1:12" ht="14.25" customHeight="1" x14ac:dyDescent="0.45">
      <c r="A504" s="618"/>
      <c r="B504" s="215"/>
      <c r="C504" s="243" t="s">
        <v>822</v>
      </c>
      <c r="D504" s="218"/>
      <c r="E504" s="218"/>
      <c r="F504" s="218"/>
      <c r="G504" s="218"/>
      <c r="H504" s="218"/>
      <c r="I504" s="218"/>
      <c r="J504" s="266"/>
      <c r="K504" s="285"/>
      <c r="L504" s="352"/>
    </row>
    <row r="505" spans="1:12" ht="14.25" customHeight="1" x14ac:dyDescent="0.45">
      <c r="A505" s="618"/>
      <c r="B505" s="215"/>
      <c r="C505" s="243"/>
      <c r="D505" s="218"/>
      <c r="E505" s="218"/>
      <c r="F505" s="218"/>
      <c r="G505" s="218"/>
      <c r="H505" s="218"/>
      <c r="I505" s="218"/>
      <c r="J505" s="266"/>
      <c r="K505" s="285"/>
      <c r="L505" s="352"/>
    </row>
    <row r="506" spans="1:12" ht="14.25" customHeight="1" x14ac:dyDescent="0.45">
      <c r="A506" s="618"/>
      <c r="B506" s="215"/>
      <c r="C506" s="243"/>
      <c r="D506" s="218"/>
      <c r="E506" s="218"/>
      <c r="F506" s="218"/>
      <c r="G506" s="218"/>
      <c r="H506" s="218"/>
      <c r="I506" s="218"/>
      <c r="J506" s="266"/>
      <c r="K506" s="285"/>
      <c r="L506" s="352"/>
    </row>
    <row r="507" spans="1:12" ht="14.25" customHeight="1" x14ac:dyDescent="0.45">
      <c r="A507" s="618"/>
      <c r="B507" s="215"/>
      <c r="C507" s="243"/>
      <c r="D507" s="218"/>
      <c r="E507" s="218"/>
      <c r="F507" s="218"/>
      <c r="G507" s="218"/>
      <c r="H507" s="218"/>
      <c r="I507" s="218"/>
      <c r="J507" s="266"/>
      <c r="K507" s="285"/>
      <c r="L507" s="352"/>
    </row>
    <row r="508" spans="1:12" ht="14.25" customHeight="1" x14ac:dyDescent="0.45">
      <c r="A508" s="618"/>
      <c r="B508" s="215"/>
      <c r="C508" s="243"/>
      <c r="D508" s="218"/>
      <c r="E508" s="218"/>
      <c r="F508" s="218"/>
      <c r="G508" s="218"/>
      <c r="H508" s="218"/>
      <c r="I508" s="218"/>
      <c r="J508" s="266"/>
      <c r="K508" s="285"/>
      <c r="L508" s="352"/>
    </row>
    <row r="509" spans="1:12" ht="14.25" customHeight="1" x14ac:dyDescent="0.45">
      <c r="A509" s="618"/>
      <c r="B509" s="215"/>
      <c r="C509" s="243"/>
      <c r="D509" s="218"/>
      <c r="E509" s="218"/>
      <c r="F509" s="218"/>
      <c r="G509" s="218"/>
      <c r="H509" s="218"/>
      <c r="I509" s="218"/>
      <c r="J509" s="266"/>
      <c r="K509" s="285"/>
      <c r="L509" s="352"/>
    </row>
    <row r="510" spans="1:12" ht="14.25" customHeight="1" x14ac:dyDescent="0.45">
      <c r="A510" s="618"/>
      <c r="B510" s="215"/>
      <c r="C510" s="243"/>
      <c r="D510" s="218"/>
      <c r="E510" s="218"/>
      <c r="F510" s="218"/>
      <c r="G510" s="218"/>
      <c r="H510" s="218"/>
      <c r="I510" s="218"/>
      <c r="J510" s="266"/>
      <c r="K510" s="285"/>
      <c r="L510" s="352"/>
    </row>
    <row r="511" spans="1:12" ht="14.25" customHeight="1" x14ac:dyDescent="0.45">
      <c r="A511" s="618"/>
      <c r="B511" s="215"/>
      <c r="C511" s="243"/>
      <c r="D511" s="218"/>
      <c r="E511" s="218"/>
      <c r="F511" s="218"/>
      <c r="G511" s="218"/>
      <c r="H511" s="218"/>
      <c r="I511" s="218"/>
      <c r="J511" s="266"/>
      <c r="K511" s="285"/>
      <c r="L511" s="352"/>
    </row>
    <row r="512" spans="1:12" ht="14.25" customHeight="1" x14ac:dyDescent="0.45">
      <c r="A512" s="618"/>
      <c r="B512" s="215"/>
      <c r="C512" s="243"/>
      <c r="D512" s="218"/>
      <c r="E512" s="218"/>
      <c r="F512" s="218"/>
      <c r="G512" s="218"/>
      <c r="H512" s="218"/>
      <c r="I512" s="218"/>
      <c r="J512" s="266"/>
      <c r="K512" s="285"/>
      <c r="L512" s="352"/>
    </row>
    <row r="513" spans="1:12" ht="14.25" customHeight="1" x14ac:dyDescent="0.45">
      <c r="A513" s="618"/>
      <c r="B513" s="215"/>
      <c r="C513" s="243"/>
      <c r="D513" s="218"/>
      <c r="E513" s="218"/>
      <c r="F513" s="218"/>
      <c r="G513" s="218"/>
      <c r="H513" s="218"/>
      <c r="I513" s="218"/>
      <c r="J513" s="266"/>
      <c r="K513" s="285"/>
      <c r="L513" s="352"/>
    </row>
    <row r="514" spans="1:12" ht="14.25" customHeight="1" x14ac:dyDescent="0.45">
      <c r="A514" s="618"/>
      <c r="B514" s="215"/>
      <c r="C514" s="243"/>
      <c r="D514" s="218"/>
      <c r="E514" s="218"/>
      <c r="F514" s="218"/>
      <c r="G514" s="218"/>
      <c r="H514" s="218"/>
      <c r="I514" s="218"/>
      <c r="J514" s="266"/>
      <c r="K514" s="285"/>
      <c r="L514" s="352"/>
    </row>
    <row r="515" spans="1:12" ht="14.25" customHeight="1" x14ac:dyDescent="0.45">
      <c r="A515" s="618"/>
      <c r="B515" s="215"/>
      <c r="C515" s="243"/>
      <c r="D515" s="218"/>
      <c r="E515" s="218"/>
      <c r="F515" s="218"/>
      <c r="G515" s="218"/>
      <c r="H515" s="218"/>
      <c r="I515" s="218"/>
      <c r="J515" s="266"/>
      <c r="K515" s="285"/>
      <c r="L515" s="352"/>
    </row>
    <row r="516" spans="1:12" ht="14.25" customHeight="1" x14ac:dyDescent="0.45">
      <c r="A516" s="618"/>
      <c r="B516" s="215"/>
      <c r="C516" s="243"/>
      <c r="D516" s="218"/>
      <c r="E516" s="218"/>
      <c r="F516" s="218"/>
      <c r="G516" s="218"/>
      <c r="H516" s="218"/>
      <c r="I516" s="218"/>
      <c r="J516" s="266"/>
      <c r="K516" s="285"/>
      <c r="L516" s="352"/>
    </row>
    <row r="517" spans="1:12" ht="14.25" customHeight="1" x14ac:dyDescent="0.45">
      <c r="A517" s="618"/>
      <c r="B517" s="215"/>
      <c r="C517" s="243"/>
      <c r="D517" s="218"/>
      <c r="E517" s="218"/>
      <c r="F517" s="218"/>
      <c r="G517" s="218"/>
      <c r="H517" s="218"/>
      <c r="I517" s="218"/>
      <c r="J517" s="266"/>
      <c r="K517" s="285"/>
      <c r="L517" s="352"/>
    </row>
    <row r="518" spans="1:12" ht="14.25" customHeight="1" x14ac:dyDescent="0.45">
      <c r="A518" s="618"/>
      <c r="B518" s="215"/>
      <c r="C518" s="243"/>
      <c r="D518" s="218"/>
      <c r="E518" s="218"/>
      <c r="F518" s="218"/>
      <c r="G518" s="218"/>
      <c r="H518" s="218"/>
      <c r="I518" s="218"/>
      <c r="J518" s="266"/>
      <c r="K518" s="285"/>
      <c r="L518" s="352"/>
    </row>
    <row r="519" spans="1:12" ht="14.25" customHeight="1" x14ac:dyDescent="0.45">
      <c r="A519" s="618"/>
      <c r="B519" s="215"/>
      <c r="C519" s="243"/>
      <c r="D519" s="218"/>
      <c r="E519" s="218"/>
      <c r="F519" s="218"/>
      <c r="G519" s="218"/>
      <c r="H519" s="218"/>
      <c r="I519" s="218"/>
      <c r="J519" s="266"/>
      <c r="K519" s="285"/>
      <c r="L519" s="352"/>
    </row>
    <row r="520" spans="1:12" ht="14.25" customHeight="1" x14ac:dyDescent="0.45">
      <c r="A520" s="618"/>
      <c r="B520" s="215"/>
      <c r="C520" s="243"/>
      <c r="D520" s="218"/>
      <c r="E520" s="218"/>
      <c r="F520" s="218"/>
      <c r="G520" s="218"/>
      <c r="H520" s="218"/>
      <c r="I520" s="218"/>
      <c r="J520" s="266"/>
      <c r="K520" s="285"/>
      <c r="L520" s="352"/>
    </row>
    <row r="521" spans="1:12" ht="14.25" customHeight="1" x14ac:dyDescent="0.45">
      <c r="A521" s="618"/>
      <c r="B521" s="215"/>
      <c r="C521" s="243"/>
      <c r="D521" s="218"/>
      <c r="E521" s="218"/>
      <c r="F521" s="218"/>
      <c r="G521" s="218"/>
      <c r="H521" s="218"/>
      <c r="I521" s="218"/>
      <c r="J521" s="266"/>
      <c r="K521" s="285"/>
      <c r="L521" s="352"/>
    </row>
    <row r="522" spans="1:12" ht="14.25" customHeight="1" x14ac:dyDescent="0.45">
      <c r="A522" s="618"/>
      <c r="B522" s="215"/>
      <c r="C522" s="353"/>
      <c r="D522" s="363"/>
      <c r="E522" s="363"/>
      <c r="F522" s="363"/>
      <c r="G522" s="363"/>
      <c r="H522" s="363"/>
      <c r="I522" s="363"/>
      <c r="J522" s="471"/>
      <c r="K522" s="220"/>
      <c r="L522" s="352"/>
    </row>
    <row r="523" spans="1:12" ht="14.25" customHeight="1" x14ac:dyDescent="0.45">
      <c r="A523" s="618"/>
      <c r="B523" s="215"/>
      <c r="C523" s="243" t="s">
        <v>823</v>
      </c>
      <c r="D523" s="218"/>
      <c r="E523" s="218"/>
      <c r="F523" s="218"/>
      <c r="G523" s="218"/>
      <c r="H523" s="218"/>
      <c r="I523" s="218"/>
      <c r="J523" s="266"/>
      <c r="K523" s="285"/>
      <c r="L523" s="352"/>
    </row>
    <row r="524" spans="1:12" ht="14.25" customHeight="1" x14ac:dyDescent="0.45">
      <c r="A524" s="618"/>
      <c r="B524" s="215"/>
      <c r="C524" s="243"/>
      <c r="D524" s="218"/>
      <c r="E524" s="218"/>
      <c r="F524" s="218"/>
      <c r="G524" s="218"/>
      <c r="H524" s="218"/>
      <c r="I524" s="218"/>
      <c r="J524" s="266"/>
      <c r="K524" s="285"/>
      <c r="L524" s="352"/>
    </row>
    <row r="525" spans="1:12" ht="14.25" customHeight="1" x14ac:dyDescent="0.45">
      <c r="A525" s="618"/>
      <c r="B525" s="215"/>
      <c r="C525" s="243"/>
      <c r="D525" s="218"/>
      <c r="E525" s="218"/>
      <c r="F525" s="218"/>
      <c r="G525" s="218"/>
      <c r="H525" s="218"/>
      <c r="I525" s="218"/>
      <c r="J525" s="266"/>
      <c r="K525" s="285"/>
      <c r="L525" s="352"/>
    </row>
    <row r="526" spans="1:12" ht="14.25" customHeight="1" x14ac:dyDescent="0.45">
      <c r="A526" s="618"/>
      <c r="B526" s="215"/>
      <c r="C526" s="243"/>
      <c r="D526" s="218"/>
      <c r="E526" s="218"/>
      <c r="F526" s="218"/>
      <c r="G526" s="218"/>
      <c r="H526" s="218"/>
      <c r="I526" s="218"/>
      <c r="J526" s="266"/>
      <c r="K526" s="285"/>
      <c r="L526" s="352"/>
    </row>
    <row r="527" spans="1:12" ht="14.25" customHeight="1" x14ac:dyDescent="0.45">
      <c r="A527" s="618"/>
      <c r="B527" s="215"/>
      <c r="C527" s="243"/>
      <c r="D527" s="218"/>
      <c r="E527" s="218"/>
      <c r="F527" s="218"/>
      <c r="G527" s="218"/>
      <c r="H527" s="218"/>
      <c r="I527" s="218"/>
      <c r="J527" s="266"/>
      <c r="K527" s="285"/>
      <c r="L527" s="352"/>
    </row>
    <row r="528" spans="1:12" ht="14.25" customHeight="1" x14ac:dyDescent="0.45">
      <c r="A528" s="618"/>
      <c r="B528" s="215"/>
      <c r="C528" s="243"/>
      <c r="D528" s="218"/>
      <c r="E528" s="218"/>
      <c r="F528" s="218"/>
      <c r="G528" s="218"/>
      <c r="H528" s="218"/>
      <c r="I528" s="218"/>
      <c r="J528" s="266"/>
      <c r="K528" s="285"/>
      <c r="L528" s="352"/>
    </row>
    <row r="529" spans="1:12" ht="14.25" customHeight="1" x14ac:dyDescent="0.45">
      <c r="A529" s="618"/>
      <c r="B529" s="215"/>
      <c r="C529" s="243"/>
      <c r="D529" s="218"/>
      <c r="E529" s="218"/>
      <c r="F529" s="218"/>
      <c r="G529" s="218"/>
      <c r="H529" s="218"/>
      <c r="I529" s="218"/>
      <c r="J529" s="266"/>
      <c r="K529" s="285"/>
      <c r="L529" s="352"/>
    </row>
    <row r="530" spans="1:12" ht="14.25" customHeight="1" x14ac:dyDescent="0.45">
      <c r="A530" s="618"/>
      <c r="B530" s="215"/>
      <c r="C530" s="243"/>
      <c r="D530" s="218"/>
      <c r="E530" s="218"/>
      <c r="F530" s="218"/>
      <c r="G530" s="218"/>
      <c r="H530" s="218"/>
      <c r="I530" s="218"/>
      <c r="J530" s="266"/>
      <c r="K530" s="285"/>
      <c r="L530" s="352"/>
    </row>
    <row r="531" spans="1:12" ht="14.25" customHeight="1" x14ac:dyDescent="0.45">
      <c r="A531" s="618"/>
      <c r="B531" s="215"/>
      <c r="C531" s="243"/>
      <c r="D531" s="218"/>
      <c r="E531" s="218"/>
      <c r="F531" s="218"/>
      <c r="G531" s="218"/>
      <c r="H531" s="218"/>
      <c r="I531" s="218"/>
      <c r="J531" s="266"/>
      <c r="K531" s="285"/>
      <c r="L531" s="352"/>
    </row>
    <row r="532" spans="1:12" ht="14.25" customHeight="1" x14ac:dyDescent="0.45">
      <c r="A532" s="618"/>
      <c r="B532" s="215"/>
      <c r="C532" s="243"/>
      <c r="D532" s="218"/>
      <c r="E532" s="218"/>
      <c r="F532" s="218"/>
      <c r="G532" s="218"/>
      <c r="H532" s="218"/>
      <c r="I532" s="218"/>
      <c r="J532" s="266"/>
      <c r="K532" s="285"/>
      <c r="L532" s="352"/>
    </row>
    <row r="533" spans="1:12" ht="14.25" customHeight="1" x14ac:dyDescent="0.45">
      <c r="A533" s="618"/>
      <c r="B533" s="215"/>
      <c r="C533" s="243"/>
      <c r="D533" s="218"/>
      <c r="E533" s="218"/>
      <c r="F533" s="218"/>
      <c r="G533" s="218"/>
      <c r="H533" s="218"/>
      <c r="I533" s="218"/>
      <c r="J533" s="266"/>
      <c r="K533" s="285"/>
      <c r="L533" s="352"/>
    </row>
    <row r="534" spans="1:12" ht="14.25" customHeight="1" x14ac:dyDescent="0.45">
      <c r="A534" s="618"/>
      <c r="B534" s="215"/>
      <c r="C534" s="243"/>
      <c r="D534" s="218"/>
      <c r="E534" s="218"/>
      <c r="F534" s="218"/>
      <c r="G534" s="218"/>
      <c r="H534" s="218"/>
      <c r="I534" s="218"/>
      <c r="J534" s="266"/>
      <c r="K534" s="285"/>
      <c r="L534" s="352"/>
    </row>
    <row r="535" spans="1:12" ht="14.25" customHeight="1" x14ac:dyDescent="0.45">
      <c r="A535" s="618"/>
      <c r="B535" s="215"/>
      <c r="C535" s="243"/>
      <c r="D535" s="218"/>
      <c r="E535" s="218"/>
      <c r="F535" s="218"/>
      <c r="G535" s="218"/>
      <c r="H535" s="218"/>
      <c r="I535" s="218"/>
      <c r="J535" s="266"/>
      <c r="K535" s="285"/>
      <c r="L535" s="352"/>
    </row>
    <row r="536" spans="1:12" ht="14.25" customHeight="1" x14ac:dyDescent="0.45">
      <c r="A536" s="618"/>
      <c r="B536" s="215"/>
      <c r="C536" s="243"/>
      <c r="D536" s="218"/>
      <c r="E536" s="218"/>
      <c r="F536" s="218"/>
      <c r="G536" s="218"/>
      <c r="H536" s="218"/>
      <c r="I536" s="218"/>
      <c r="J536" s="266"/>
      <c r="K536" s="285"/>
      <c r="L536" s="352"/>
    </row>
    <row r="537" spans="1:12" ht="14.25" customHeight="1" x14ac:dyDescent="0.45">
      <c r="A537" s="618"/>
      <c r="B537" s="215"/>
      <c r="C537" s="243"/>
      <c r="D537" s="218"/>
      <c r="E537" s="218"/>
      <c r="F537" s="218"/>
      <c r="G537" s="218"/>
      <c r="H537" s="218"/>
      <c r="I537" s="218"/>
      <c r="J537" s="266"/>
      <c r="K537" s="285"/>
      <c r="L537" s="352"/>
    </row>
    <row r="538" spans="1:12" ht="14.25" customHeight="1" x14ac:dyDescent="0.45">
      <c r="A538" s="618"/>
      <c r="B538" s="215"/>
      <c r="C538" s="243"/>
      <c r="D538" s="218"/>
      <c r="E538" s="218"/>
      <c r="F538" s="218"/>
      <c r="G538" s="218"/>
      <c r="H538" s="218"/>
      <c r="I538" s="218"/>
      <c r="J538" s="266"/>
      <c r="K538" s="285"/>
      <c r="L538" s="352"/>
    </row>
    <row r="539" spans="1:12" ht="14.25" customHeight="1" x14ac:dyDescent="0.45">
      <c r="A539" s="618"/>
      <c r="B539" s="215"/>
      <c r="C539" s="243"/>
      <c r="D539" s="218"/>
      <c r="E539" s="218"/>
      <c r="F539" s="218"/>
      <c r="G539" s="218"/>
      <c r="H539" s="218"/>
      <c r="I539" s="218"/>
      <c r="J539" s="266"/>
      <c r="K539" s="285"/>
      <c r="L539" s="352"/>
    </row>
    <row r="540" spans="1:12" ht="14.25" customHeight="1" x14ac:dyDescent="0.45">
      <c r="A540" s="618"/>
      <c r="B540" s="215"/>
      <c r="C540" s="243"/>
      <c r="D540" s="218"/>
      <c r="E540" s="218"/>
      <c r="F540" s="218"/>
      <c r="G540" s="218"/>
      <c r="H540" s="218"/>
      <c r="I540" s="218"/>
      <c r="J540" s="266"/>
      <c r="K540" s="285"/>
      <c r="L540" s="352"/>
    </row>
    <row r="541" spans="1:12" ht="14.25" customHeight="1" x14ac:dyDescent="0.45">
      <c r="A541" s="618"/>
      <c r="B541" s="215"/>
      <c r="C541" s="243"/>
      <c r="D541" s="218"/>
      <c r="E541" s="218"/>
      <c r="F541" s="218"/>
      <c r="G541" s="218"/>
      <c r="H541" s="218"/>
      <c r="I541" s="218"/>
      <c r="J541" s="266"/>
      <c r="K541" s="285"/>
      <c r="L541" s="352"/>
    </row>
    <row r="542" spans="1:12" ht="14.25" customHeight="1" x14ac:dyDescent="0.45">
      <c r="A542" s="618"/>
      <c r="B542" s="215"/>
      <c r="C542" s="243"/>
      <c r="D542" s="218"/>
      <c r="E542" s="218"/>
      <c r="F542" s="218"/>
      <c r="G542" s="218"/>
      <c r="H542" s="218"/>
      <c r="I542" s="218"/>
      <c r="J542" s="266"/>
      <c r="K542" s="285"/>
      <c r="L542" s="352"/>
    </row>
    <row r="543" spans="1:12" ht="14.25" customHeight="1" x14ac:dyDescent="0.45">
      <c r="A543" s="618"/>
      <c r="B543" s="215"/>
      <c r="C543" s="243"/>
      <c r="D543" s="218"/>
      <c r="E543" s="218"/>
      <c r="F543" s="218"/>
      <c r="G543" s="218"/>
      <c r="H543" s="218"/>
      <c r="I543" s="218"/>
      <c r="J543" s="266"/>
      <c r="K543" s="285"/>
      <c r="L543" s="352"/>
    </row>
    <row r="544" spans="1:12" ht="14.25" customHeight="1" x14ac:dyDescent="0.45">
      <c r="A544" s="618"/>
      <c r="B544" s="215"/>
      <c r="C544" s="243"/>
      <c r="D544" s="218"/>
      <c r="E544" s="218"/>
      <c r="F544" s="218"/>
      <c r="G544" s="218"/>
      <c r="H544" s="218"/>
      <c r="I544" s="218"/>
      <c r="J544" s="266"/>
      <c r="K544" s="285"/>
      <c r="L544" s="352"/>
    </row>
    <row r="545" spans="1:12" ht="14.25" customHeight="1" x14ac:dyDescent="0.45">
      <c r="A545" s="618"/>
      <c r="B545" s="215"/>
      <c r="C545" s="243"/>
      <c r="D545" s="218"/>
      <c r="E545" s="218"/>
      <c r="F545" s="218"/>
      <c r="G545" s="218"/>
      <c r="H545" s="218"/>
      <c r="I545" s="218"/>
      <c r="J545" s="266"/>
      <c r="K545" s="285"/>
      <c r="L545" s="352"/>
    </row>
    <row r="546" spans="1:12" ht="14.25" customHeight="1" x14ac:dyDescent="0.45">
      <c r="A546" s="618"/>
      <c r="B546" s="215"/>
      <c r="C546" s="243"/>
      <c r="D546" s="218"/>
      <c r="E546" s="218"/>
      <c r="F546" s="218"/>
      <c r="G546" s="218"/>
      <c r="H546" s="218"/>
      <c r="I546" s="218"/>
      <c r="J546" s="266"/>
      <c r="K546" s="285"/>
      <c r="L546" s="352"/>
    </row>
    <row r="547" spans="1:12" ht="14.25" customHeight="1" x14ac:dyDescent="0.45">
      <c r="A547" s="618"/>
      <c r="B547" s="215"/>
      <c r="C547" s="243"/>
      <c r="D547" s="218"/>
      <c r="E547" s="218"/>
      <c r="F547" s="218"/>
      <c r="G547" s="218"/>
      <c r="H547" s="218"/>
      <c r="I547" s="218"/>
      <c r="J547" s="266"/>
      <c r="K547" s="285"/>
      <c r="L547" s="352"/>
    </row>
    <row r="548" spans="1:12" ht="14.25" customHeight="1" x14ac:dyDescent="0.45">
      <c r="A548" s="618"/>
      <c r="B548" s="215"/>
      <c r="C548" s="243"/>
      <c r="D548" s="218"/>
      <c r="E548" s="218"/>
      <c r="F548" s="218"/>
      <c r="G548" s="218"/>
      <c r="H548" s="218"/>
      <c r="I548" s="218"/>
      <c r="J548" s="266"/>
      <c r="K548" s="285"/>
      <c r="L548" s="352"/>
    </row>
    <row r="549" spans="1:12" ht="14.25" customHeight="1" x14ac:dyDescent="0.45">
      <c r="A549" s="618"/>
      <c r="B549" s="215"/>
      <c r="C549" s="243"/>
      <c r="D549" s="218"/>
      <c r="E549" s="218"/>
      <c r="F549" s="218"/>
      <c r="G549" s="218"/>
      <c r="H549" s="218"/>
      <c r="I549" s="218"/>
      <c r="J549" s="266"/>
      <c r="K549" s="285"/>
      <c r="L549" s="352"/>
    </row>
    <row r="550" spans="1:12" ht="14.25" customHeight="1" x14ac:dyDescent="0.45">
      <c r="A550" s="618"/>
      <c r="B550" s="215"/>
      <c r="C550" s="243"/>
      <c r="D550" s="218"/>
      <c r="E550" s="218"/>
      <c r="F550" s="218"/>
      <c r="G550" s="218"/>
      <c r="H550" s="218"/>
      <c r="I550" s="218"/>
      <c r="J550" s="266"/>
      <c r="K550" s="285"/>
      <c r="L550" s="352"/>
    </row>
    <row r="551" spans="1:12" ht="14.25" customHeight="1" x14ac:dyDescent="0.45">
      <c r="A551" s="618"/>
      <c r="B551" s="215"/>
      <c r="C551" s="243"/>
      <c r="D551" s="218"/>
      <c r="E551" s="218"/>
      <c r="F551" s="218"/>
      <c r="G551" s="218"/>
      <c r="H551" s="218"/>
      <c r="I551" s="218"/>
      <c r="J551" s="266"/>
      <c r="K551" s="285"/>
      <c r="L551" s="352"/>
    </row>
    <row r="552" spans="1:12" ht="14.25" customHeight="1" x14ac:dyDescent="0.45">
      <c r="A552" s="618"/>
      <c r="B552" s="215"/>
      <c r="C552" s="243"/>
      <c r="D552" s="218"/>
      <c r="E552" s="218"/>
      <c r="F552" s="218"/>
      <c r="G552" s="218"/>
      <c r="H552" s="218"/>
      <c r="I552" s="218"/>
      <c r="J552" s="266"/>
      <c r="K552" s="285"/>
      <c r="L552" s="352"/>
    </row>
    <row r="553" spans="1:12" ht="14.25" customHeight="1" x14ac:dyDescent="0.45">
      <c r="A553" s="618"/>
      <c r="B553" s="215"/>
      <c r="C553" s="243"/>
      <c r="D553" s="218"/>
      <c r="E553" s="218"/>
      <c r="F553" s="218"/>
      <c r="G553" s="218"/>
      <c r="H553" s="218"/>
      <c r="I553" s="218"/>
      <c r="J553" s="266"/>
      <c r="K553" s="285"/>
      <c r="L553" s="352"/>
    </row>
    <row r="554" spans="1:12" ht="14.25" customHeight="1" x14ac:dyDescent="0.45">
      <c r="A554" s="618"/>
      <c r="B554" s="215"/>
      <c r="C554" s="243"/>
      <c r="D554" s="218"/>
      <c r="E554" s="218"/>
      <c r="F554" s="218"/>
      <c r="G554" s="218"/>
      <c r="H554" s="218"/>
      <c r="I554" s="218"/>
      <c r="J554" s="266"/>
      <c r="K554" s="285"/>
      <c r="L554" s="352"/>
    </row>
    <row r="555" spans="1:12" ht="14.25" customHeight="1" x14ac:dyDescent="0.45">
      <c r="A555" s="618"/>
      <c r="B555" s="215"/>
      <c r="C555" s="243"/>
      <c r="D555" s="218"/>
      <c r="E555" s="218"/>
      <c r="F555" s="218"/>
      <c r="G555" s="218"/>
      <c r="H555" s="218"/>
      <c r="I555" s="218"/>
      <c r="J555" s="266"/>
      <c r="K555" s="285"/>
      <c r="L555" s="352"/>
    </row>
    <row r="556" spans="1:12" ht="14.25" customHeight="1" x14ac:dyDescent="0.45">
      <c r="A556" s="618"/>
      <c r="B556" s="215"/>
      <c r="C556" s="243"/>
      <c r="D556" s="218"/>
      <c r="E556" s="218"/>
      <c r="F556" s="218"/>
      <c r="G556" s="218"/>
      <c r="H556" s="218"/>
      <c r="I556" s="218"/>
      <c r="J556" s="266"/>
      <c r="K556" s="285"/>
      <c r="L556" s="352"/>
    </row>
    <row r="557" spans="1:12" ht="14.25" customHeight="1" x14ac:dyDescent="0.45">
      <c r="A557" s="618"/>
      <c r="B557" s="215"/>
      <c r="C557" s="243"/>
      <c r="D557" s="218"/>
      <c r="E557" s="218"/>
      <c r="F557" s="218"/>
      <c r="G557" s="218"/>
      <c r="H557" s="218"/>
      <c r="I557" s="218"/>
      <c r="J557" s="266"/>
      <c r="K557" s="285"/>
      <c r="L557" s="352"/>
    </row>
    <row r="558" spans="1:12" ht="14.25" customHeight="1" x14ac:dyDescent="0.45">
      <c r="A558" s="618"/>
      <c r="B558" s="215"/>
      <c r="C558" s="243"/>
      <c r="D558" s="218"/>
      <c r="E558" s="218"/>
      <c r="F558" s="218"/>
      <c r="G558" s="218"/>
      <c r="H558" s="218"/>
      <c r="I558" s="218"/>
      <c r="J558" s="266"/>
      <c r="K558" s="285"/>
      <c r="L558" s="352"/>
    </row>
    <row r="559" spans="1:12" ht="14.25" customHeight="1" x14ac:dyDescent="0.45">
      <c r="A559" s="618"/>
      <c r="B559" s="215"/>
      <c r="C559" s="243"/>
      <c r="D559" s="218"/>
      <c r="E559" s="218"/>
      <c r="F559" s="218"/>
      <c r="G559" s="218"/>
      <c r="H559" s="218"/>
      <c r="I559" s="218"/>
      <c r="J559" s="266"/>
      <c r="K559" s="285"/>
      <c r="L559" s="352"/>
    </row>
    <row r="560" spans="1:12" ht="14.25" customHeight="1" x14ac:dyDescent="0.45">
      <c r="A560" s="618"/>
      <c r="B560" s="215"/>
      <c r="C560" s="243"/>
      <c r="D560" s="218"/>
      <c r="E560" s="218"/>
      <c r="F560" s="218"/>
      <c r="G560" s="218"/>
      <c r="H560" s="218"/>
      <c r="I560" s="218"/>
      <c r="J560" s="266"/>
      <c r="K560" s="285"/>
      <c r="L560" s="352"/>
    </row>
    <row r="561" spans="1:12" ht="14.25" customHeight="1" x14ac:dyDescent="0.45">
      <c r="A561" s="618"/>
      <c r="B561" s="215"/>
      <c r="C561" s="243"/>
      <c r="D561" s="218"/>
      <c r="E561" s="218"/>
      <c r="F561" s="218"/>
      <c r="G561" s="218"/>
      <c r="H561" s="218"/>
      <c r="I561" s="218"/>
      <c r="J561" s="266"/>
      <c r="K561" s="285"/>
      <c r="L561" s="352"/>
    </row>
    <row r="562" spans="1:12" ht="14.25" customHeight="1" x14ac:dyDescent="0.45">
      <c r="A562" s="618"/>
      <c r="B562" s="215"/>
      <c r="C562" s="243"/>
      <c r="D562" s="218"/>
      <c r="E562" s="218"/>
      <c r="F562" s="218"/>
      <c r="G562" s="218"/>
      <c r="H562" s="218"/>
      <c r="I562" s="218"/>
      <c r="J562" s="266"/>
      <c r="K562" s="285"/>
      <c r="L562" s="352"/>
    </row>
    <row r="563" spans="1:12" ht="14.25" customHeight="1" x14ac:dyDescent="0.45">
      <c r="A563" s="618"/>
      <c r="B563" s="215"/>
      <c r="C563" s="243"/>
      <c r="D563" s="218"/>
      <c r="E563" s="218"/>
      <c r="F563" s="218"/>
      <c r="G563" s="218"/>
      <c r="H563" s="218"/>
      <c r="I563" s="218"/>
      <c r="J563" s="266"/>
      <c r="K563" s="285"/>
      <c r="L563" s="352"/>
    </row>
    <row r="564" spans="1:12" ht="14.25" customHeight="1" x14ac:dyDescent="0.45">
      <c r="A564" s="618"/>
      <c r="B564" s="215"/>
      <c r="C564" s="243"/>
      <c r="D564" s="218"/>
      <c r="E564" s="218"/>
      <c r="F564" s="218"/>
      <c r="G564" s="218"/>
      <c r="H564" s="218"/>
      <c r="I564" s="218"/>
      <c r="J564" s="266"/>
      <c r="K564" s="285"/>
      <c r="L564" s="352"/>
    </row>
    <row r="565" spans="1:12" ht="14.25" customHeight="1" x14ac:dyDescent="0.45">
      <c r="A565" s="618"/>
      <c r="B565" s="215"/>
      <c r="C565" s="243"/>
      <c r="D565" s="218"/>
      <c r="E565" s="218"/>
      <c r="F565" s="218"/>
      <c r="G565" s="218"/>
      <c r="H565" s="218"/>
      <c r="I565" s="218"/>
      <c r="J565" s="266"/>
      <c r="K565" s="285"/>
      <c r="L565" s="352"/>
    </row>
    <row r="566" spans="1:12" ht="14.25" customHeight="1" x14ac:dyDescent="0.45">
      <c r="A566" s="618"/>
      <c r="B566" s="215"/>
      <c r="C566" s="243"/>
      <c r="D566" s="218"/>
      <c r="E566" s="218"/>
      <c r="F566" s="218"/>
      <c r="G566" s="218"/>
      <c r="H566" s="218"/>
      <c r="I566" s="218"/>
      <c r="J566" s="266"/>
      <c r="K566" s="285"/>
      <c r="L566" s="352"/>
    </row>
    <row r="567" spans="1:12" ht="14.25" customHeight="1" x14ac:dyDescent="0.45">
      <c r="A567" s="618"/>
      <c r="B567" s="215"/>
      <c r="C567" s="243"/>
      <c r="D567" s="218"/>
      <c r="E567" s="218"/>
      <c r="F567" s="218"/>
      <c r="G567" s="218"/>
      <c r="H567" s="218"/>
      <c r="I567" s="218"/>
      <c r="J567" s="266"/>
      <c r="K567" s="285"/>
      <c r="L567" s="352"/>
    </row>
    <row r="568" spans="1:12" ht="14.25" customHeight="1" x14ac:dyDescent="0.45">
      <c r="A568" s="618"/>
      <c r="B568" s="215"/>
      <c r="C568" s="243"/>
      <c r="D568" s="218"/>
      <c r="E568" s="218"/>
      <c r="F568" s="218"/>
      <c r="G568" s="218"/>
      <c r="H568" s="218"/>
      <c r="I568" s="218"/>
      <c r="J568" s="266"/>
      <c r="K568" s="285"/>
      <c r="L568" s="352"/>
    </row>
    <row r="569" spans="1:12" ht="14.25" customHeight="1" x14ac:dyDescent="0.45">
      <c r="A569" s="618"/>
      <c r="B569" s="215"/>
      <c r="C569" s="243"/>
      <c r="D569" s="218"/>
      <c r="E569" s="218"/>
      <c r="F569" s="218"/>
      <c r="G569" s="218"/>
      <c r="H569" s="218"/>
      <c r="I569" s="218"/>
      <c r="J569" s="266"/>
      <c r="K569" s="285"/>
      <c r="L569" s="352"/>
    </row>
    <row r="570" spans="1:12" ht="14.25" customHeight="1" x14ac:dyDescent="0.45">
      <c r="A570" s="618"/>
      <c r="B570" s="215"/>
      <c r="C570" s="243"/>
      <c r="D570" s="218"/>
      <c r="E570" s="218"/>
      <c r="F570" s="218"/>
      <c r="G570" s="218"/>
      <c r="H570" s="218"/>
      <c r="I570" s="218"/>
      <c r="J570" s="266"/>
      <c r="K570" s="285"/>
      <c r="L570" s="352"/>
    </row>
    <row r="571" spans="1:12" ht="14.25" customHeight="1" x14ac:dyDescent="0.45">
      <c r="A571" s="618"/>
      <c r="B571" s="215"/>
      <c r="C571" s="243"/>
      <c r="D571" s="218"/>
      <c r="E571" s="218"/>
      <c r="F571" s="218"/>
      <c r="G571" s="218"/>
      <c r="H571" s="218"/>
      <c r="I571" s="218"/>
      <c r="J571" s="266"/>
      <c r="K571" s="285"/>
      <c r="L571" s="352"/>
    </row>
    <row r="572" spans="1:12" ht="14.25" customHeight="1" x14ac:dyDescent="0.45">
      <c r="A572" s="618"/>
      <c r="B572" s="215"/>
      <c r="C572" s="243"/>
      <c r="D572" s="218"/>
      <c r="E572" s="218"/>
      <c r="F572" s="218"/>
      <c r="G572" s="218"/>
      <c r="H572" s="218"/>
      <c r="I572" s="218"/>
      <c r="J572" s="266"/>
      <c r="K572" s="285"/>
      <c r="L572" s="352"/>
    </row>
    <row r="573" spans="1:12" ht="14.25" customHeight="1" x14ac:dyDescent="0.45">
      <c r="A573" s="618"/>
      <c r="B573" s="215"/>
      <c r="C573" s="243"/>
      <c r="D573" s="218"/>
      <c r="E573" s="218"/>
      <c r="F573" s="218"/>
      <c r="G573" s="218"/>
      <c r="H573" s="218"/>
      <c r="I573" s="218"/>
      <c r="J573" s="266"/>
      <c r="K573" s="285"/>
      <c r="L573" s="352"/>
    </row>
    <row r="574" spans="1:12" ht="14.25" customHeight="1" x14ac:dyDescent="0.45">
      <c r="A574" s="618"/>
      <c r="B574" s="215"/>
      <c r="C574" s="243"/>
      <c r="D574" s="218"/>
      <c r="E574" s="218"/>
      <c r="F574" s="218"/>
      <c r="G574" s="218"/>
      <c r="H574" s="218"/>
      <c r="I574" s="218"/>
      <c r="J574" s="266"/>
      <c r="K574" s="285"/>
      <c r="L574" s="352"/>
    </row>
    <row r="575" spans="1:12" ht="14.25" customHeight="1" x14ac:dyDescent="0.45">
      <c r="A575" s="618"/>
      <c r="B575" s="215"/>
      <c r="C575" s="243"/>
      <c r="D575" s="218"/>
      <c r="E575" s="218"/>
      <c r="F575" s="218"/>
      <c r="G575" s="218"/>
      <c r="H575" s="218"/>
      <c r="I575" s="218"/>
      <c r="J575" s="266"/>
      <c r="K575" s="285"/>
      <c r="L575" s="352"/>
    </row>
    <row r="576" spans="1:12" ht="14.25" customHeight="1" x14ac:dyDescent="0.45">
      <c r="A576" s="618"/>
      <c r="B576" s="215"/>
      <c r="C576" s="243"/>
      <c r="D576" s="218"/>
      <c r="E576" s="218"/>
      <c r="F576" s="218"/>
      <c r="G576" s="218"/>
      <c r="H576" s="218"/>
      <c r="I576" s="218"/>
      <c r="J576" s="266"/>
      <c r="K576" s="285"/>
      <c r="L576" s="352"/>
    </row>
    <row r="577" spans="1:12" ht="14.25" customHeight="1" x14ac:dyDescent="0.45">
      <c r="A577" s="618"/>
      <c r="B577" s="215"/>
      <c r="C577" s="243"/>
      <c r="D577" s="218"/>
      <c r="E577" s="218"/>
      <c r="F577" s="218"/>
      <c r="G577" s="218"/>
      <c r="H577" s="218"/>
      <c r="I577" s="218"/>
      <c r="J577" s="266"/>
      <c r="K577" s="285"/>
      <c r="L577" s="352"/>
    </row>
    <row r="578" spans="1:12" ht="14.25" customHeight="1" x14ac:dyDescent="0.45">
      <c r="A578" s="618"/>
      <c r="B578" s="215"/>
      <c r="C578" s="243"/>
      <c r="D578" s="218"/>
      <c r="E578" s="218"/>
      <c r="F578" s="218"/>
      <c r="G578" s="218"/>
      <c r="H578" s="218"/>
      <c r="I578" s="218"/>
      <c r="J578" s="266"/>
      <c r="K578" s="285"/>
      <c r="L578" s="352"/>
    </row>
    <row r="579" spans="1:12" ht="14.25" customHeight="1" x14ac:dyDescent="0.45">
      <c r="A579" s="618"/>
      <c r="B579" s="215"/>
      <c r="C579" s="243"/>
      <c r="D579" s="218"/>
      <c r="E579" s="218"/>
      <c r="F579" s="218"/>
      <c r="G579" s="218"/>
      <c r="H579" s="218"/>
      <c r="I579" s="218"/>
      <c r="J579" s="266"/>
      <c r="K579" s="285"/>
      <c r="L579" s="352"/>
    </row>
    <row r="580" spans="1:12" ht="14.25" customHeight="1" x14ac:dyDescent="0.45">
      <c r="A580" s="618"/>
      <c r="B580" s="215"/>
      <c r="C580" s="243"/>
      <c r="D580" s="218"/>
      <c r="E580" s="218"/>
      <c r="F580" s="218"/>
      <c r="G580" s="218"/>
      <c r="H580" s="218"/>
      <c r="I580" s="218"/>
      <c r="J580" s="266"/>
      <c r="K580" s="285"/>
      <c r="L580" s="352"/>
    </row>
    <row r="581" spans="1:12" ht="14.25" customHeight="1" x14ac:dyDescent="0.45">
      <c r="A581" s="618"/>
      <c r="B581" s="215"/>
      <c r="C581" s="243"/>
      <c r="D581" s="218"/>
      <c r="E581" s="218"/>
      <c r="F581" s="218"/>
      <c r="G581" s="218"/>
      <c r="H581" s="218"/>
      <c r="I581" s="218"/>
      <c r="J581" s="266"/>
      <c r="K581" s="285"/>
      <c r="L581" s="352"/>
    </row>
    <row r="582" spans="1:12" ht="14.25" customHeight="1" x14ac:dyDescent="0.45">
      <c r="A582" s="618"/>
      <c r="B582" s="215"/>
      <c r="C582" s="243"/>
      <c r="D582" s="218"/>
      <c r="E582" s="218"/>
      <c r="F582" s="218"/>
      <c r="G582" s="218"/>
      <c r="H582" s="218"/>
      <c r="I582" s="218"/>
      <c r="J582" s="266"/>
      <c r="K582" s="285"/>
      <c r="L582" s="352"/>
    </row>
    <row r="583" spans="1:12" ht="14.25" customHeight="1" x14ac:dyDescent="0.45">
      <c r="A583" s="618"/>
      <c r="B583" s="215"/>
      <c r="C583" s="243"/>
      <c r="D583" s="218"/>
      <c r="E583" s="218"/>
      <c r="F583" s="218"/>
      <c r="G583" s="218"/>
      <c r="H583" s="218"/>
      <c r="I583" s="218"/>
      <c r="J583" s="266"/>
      <c r="K583" s="285"/>
      <c r="L583" s="352"/>
    </row>
    <row r="584" spans="1:12" ht="14.25" customHeight="1" x14ac:dyDescent="0.45">
      <c r="A584" s="618"/>
      <c r="B584" s="215"/>
      <c r="C584" s="243"/>
      <c r="D584" s="218"/>
      <c r="E584" s="218"/>
      <c r="F584" s="218"/>
      <c r="G584" s="218"/>
      <c r="H584" s="218"/>
      <c r="I584" s="218"/>
      <c r="J584" s="266"/>
      <c r="K584" s="285"/>
      <c r="L584" s="352"/>
    </row>
    <row r="585" spans="1:12" ht="14.25" customHeight="1" x14ac:dyDescent="0.45">
      <c r="A585" s="618"/>
      <c r="B585" s="215"/>
      <c r="C585" s="243"/>
      <c r="D585" s="218"/>
      <c r="E585" s="218"/>
      <c r="F585" s="218"/>
      <c r="G585" s="218"/>
      <c r="H585" s="218"/>
      <c r="I585" s="218"/>
      <c r="J585" s="266"/>
      <c r="K585" s="285"/>
      <c r="L585" s="352"/>
    </row>
    <row r="586" spans="1:12" ht="14.25" customHeight="1" x14ac:dyDescent="0.45">
      <c r="A586" s="618"/>
      <c r="B586" s="215"/>
      <c r="C586" s="243"/>
      <c r="D586" s="218"/>
      <c r="E586" s="218"/>
      <c r="F586" s="218"/>
      <c r="G586" s="218"/>
      <c r="H586" s="218"/>
      <c r="I586" s="218"/>
      <c r="J586" s="266"/>
      <c r="K586" s="285"/>
      <c r="L586" s="352"/>
    </row>
    <row r="587" spans="1:12" ht="14.25" customHeight="1" x14ac:dyDescent="0.45">
      <c r="A587" s="618"/>
      <c r="B587" s="215"/>
      <c r="C587" s="243"/>
      <c r="D587" s="218"/>
      <c r="E587" s="218"/>
      <c r="F587" s="218"/>
      <c r="G587" s="218"/>
      <c r="H587" s="218"/>
      <c r="I587" s="218"/>
      <c r="J587" s="266"/>
      <c r="K587" s="285"/>
      <c r="L587" s="352"/>
    </row>
    <row r="588" spans="1:12" ht="14.25" customHeight="1" x14ac:dyDescent="0.45">
      <c r="A588" s="618"/>
      <c r="B588" s="215"/>
      <c r="C588" s="243"/>
      <c r="D588" s="218"/>
      <c r="E588" s="218"/>
      <c r="F588" s="218"/>
      <c r="G588" s="218"/>
      <c r="H588" s="218"/>
      <c r="I588" s="218"/>
      <c r="J588" s="266"/>
      <c r="K588" s="285"/>
      <c r="L588" s="352"/>
    </row>
    <row r="589" spans="1:12" ht="14.25" customHeight="1" x14ac:dyDescent="0.45">
      <c r="A589" s="618"/>
      <c r="B589" s="215"/>
      <c r="C589" s="243"/>
      <c r="D589" s="218"/>
      <c r="E589" s="218"/>
      <c r="F589" s="218"/>
      <c r="G589" s="218"/>
      <c r="H589" s="218"/>
      <c r="I589" s="218"/>
      <c r="J589" s="266"/>
      <c r="K589" s="285"/>
      <c r="L589" s="352"/>
    </row>
    <row r="590" spans="1:12" ht="14.25" customHeight="1" x14ac:dyDescent="0.45">
      <c r="A590" s="618"/>
      <c r="B590" s="215"/>
      <c r="C590" s="243"/>
      <c r="D590" s="218"/>
      <c r="E590" s="218"/>
      <c r="F590" s="218"/>
      <c r="G590" s="218"/>
      <c r="H590" s="218"/>
      <c r="I590" s="218"/>
      <c r="J590" s="266"/>
      <c r="K590" s="285"/>
      <c r="L590" s="352"/>
    </row>
    <row r="591" spans="1:12" ht="14.25" customHeight="1" x14ac:dyDescent="0.45">
      <c r="A591" s="618"/>
      <c r="B591" s="215"/>
      <c r="C591" s="243"/>
      <c r="D591" s="218"/>
      <c r="E591" s="218"/>
      <c r="F591" s="218"/>
      <c r="G591" s="218"/>
      <c r="H591" s="218"/>
      <c r="I591" s="218"/>
      <c r="J591" s="266"/>
      <c r="K591" s="285"/>
      <c r="L591" s="352"/>
    </row>
    <row r="592" spans="1:12" ht="14.25" customHeight="1" x14ac:dyDescent="0.45">
      <c r="A592" s="618"/>
      <c r="B592" s="215"/>
      <c r="C592" s="243"/>
      <c r="D592" s="218"/>
      <c r="E592" s="218"/>
      <c r="F592" s="218"/>
      <c r="G592" s="218"/>
      <c r="H592" s="218"/>
      <c r="I592" s="218"/>
      <c r="J592" s="266"/>
      <c r="K592" s="285"/>
      <c r="L592" s="352"/>
    </row>
    <row r="593" spans="1:12" ht="14.25" customHeight="1" x14ac:dyDescent="0.45">
      <c r="A593" s="618"/>
      <c r="B593" s="215"/>
      <c r="C593" s="243"/>
      <c r="D593" s="218"/>
      <c r="E593" s="218"/>
      <c r="F593" s="218"/>
      <c r="G593" s="218"/>
      <c r="H593" s="218"/>
      <c r="I593" s="218"/>
      <c r="J593" s="266"/>
      <c r="K593" s="285"/>
      <c r="L593" s="352"/>
    </row>
    <row r="594" spans="1:12" ht="14.25" customHeight="1" x14ac:dyDescent="0.45">
      <c r="A594" s="618"/>
      <c r="B594" s="215"/>
      <c r="C594" s="243"/>
      <c r="D594" s="218"/>
      <c r="E594" s="218"/>
      <c r="F594" s="218"/>
      <c r="G594" s="218"/>
      <c r="H594" s="218"/>
      <c r="I594" s="218"/>
      <c r="J594" s="266"/>
      <c r="K594" s="285"/>
      <c r="L594" s="352"/>
    </row>
    <row r="595" spans="1:12" ht="14.25" customHeight="1" x14ac:dyDescent="0.45">
      <c r="A595" s="618"/>
      <c r="B595" s="215"/>
      <c r="C595" s="243"/>
      <c r="D595" s="218"/>
      <c r="E595" s="218"/>
      <c r="F595" s="218"/>
      <c r="G595" s="218"/>
      <c r="H595" s="218"/>
      <c r="I595" s="218"/>
      <c r="J595" s="266"/>
      <c r="K595" s="285"/>
      <c r="L595" s="352"/>
    </row>
    <row r="596" spans="1:12" ht="14.25" customHeight="1" x14ac:dyDescent="0.45">
      <c r="A596" s="618"/>
      <c r="B596" s="215"/>
      <c r="C596" s="243"/>
      <c r="D596" s="218"/>
      <c r="E596" s="218"/>
      <c r="F596" s="218"/>
      <c r="G596" s="218"/>
      <c r="H596" s="218"/>
      <c r="I596" s="218"/>
      <c r="J596" s="266"/>
      <c r="K596" s="285"/>
      <c r="L596" s="352"/>
    </row>
    <row r="597" spans="1:12" ht="14.25" customHeight="1" x14ac:dyDescent="0.45">
      <c r="A597" s="618"/>
      <c r="B597" s="215"/>
      <c r="C597" s="243"/>
      <c r="D597" s="218"/>
      <c r="E597" s="218"/>
      <c r="F597" s="218"/>
      <c r="G597" s="218"/>
      <c r="H597" s="218"/>
      <c r="I597" s="218"/>
      <c r="J597" s="266"/>
      <c r="K597" s="285"/>
      <c r="L597" s="352"/>
    </row>
    <row r="598" spans="1:12" ht="14.25" customHeight="1" x14ac:dyDescent="0.45">
      <c r="A598" s="618"/>
      <c r="B598" s="215"/>
      <c r="C598" s="243"/>
      <c r="D598" s="218"/>
      <c r="E598" s="218"/>
      <c r="F598" s="218"/>
      <c r="G598" s="218"/>
      <c r="H598" s="218"/>
      <c r="I598" s="218"/>
      <c r="J598" s="266"/>
      <c r="K598" s="285"/>
      <c r="L598" s="352"/>
    </row>
    <row r="599" spans="1:12" ht="14.25" customHeight="1" x14ac:dyDescent="0.45">
      <c r="A599" s="618"/>
      <c r="B599" s="215"/>
      <c r="C599" s="243"/>
      <c r="D599" s="218"/>
      <c r="E599" s="218"/>
      <c r="F599" s="218"/>
      <c r="G599" s="218"/>
      <c r="H599" s="218"/>
      <c r="I599" s="218"/>
      <c r="J599" s="266"/>
      <c r="K599" s="285"/>
      <c r="L599" s="352"/>
    </row>
    <row r="600" spans="1:12" ht="14.25" customHeight="1" x14ac:dyDescent="0.45">
      <c r="A600" s="618"/>
      <c r="B600" s="215"/>
      <c r="C600" s="243"/>
      <c r="D600" s="218"/>
      <c r="E600" s="218"/>
      <c r="F600" s="218"/>
      <c r="G600" s="218"/>
      <c r="H600" s="218"/>
      <c r="I600" s="218"/>
      <c r="J600" s="266"/>
      <c r="K600" s="285"/>
      <c r="L600" s="352"/>
    </row>
    <row r="601" spans="1:12" ht="14.25" customHeight="1" x14ac:dyDescent="0.45">
      <c r="A601" s="618"/>
      <c r="B601" s="215"/>
      <c r="C601" s="243"/>
      <c r="D601" s="218"/>
      <c r="E601" s="218"/>
      <c r="F601" s="218"/>
      <c r="G601" s="218"/>
      <c r="H601" s="218"/>
      <c r="I601" s="218"/>
      <c r="J601" s="266"/>
      <c r="K601" s="285"/>
      <c r="L601" s="352"/>
    </row>
    <row r="602" spans="1:12" ht="14.25" customHeight="1" x14ac:dyDescent="0.45">
      <c r="A602" s="618"/>
      <c r="B602" s="215"/>
      <c r="C602" s="243"/>
      <c r="D602" s="218"/>
      <c r="E602" s="218"/>
      <c r="F602" s="218"/>
      <c r="G602" s="218"/>
      <c r="H602" s="218"/>
      <c r="I602" s="218"/>
      <c r="J602" s="266"/>
      <c r="K602" s="285"/>
      <c r="L602" s="352"/>
    </row>
    <row r="603" spans="1:12" ht="14.25" customHeight="1" x14ac:dyDescent="0.45">
      <c r="A603" s="618"/>
      <c r="B603" s="215"/>
      <c r="C603" s="243"/>
      <c r="D603" s="218"/>
      <c r="E603" s="218"/>
      <c r="F603" s="218"/>
      <c r="G603" s="218"/>
      <c r="H603" s="218"/>
      <c r="I603" s="218"/>
      <c r="J603" s="266"/>
      <c r="K603" s="285"/>
      <c r="L603" s="352"/>
    </row>
    <row r="604" spans="1:12" ht="14.25" customHeight="1" x14ac:dyDescent="0.45">
      <c r="A604" s="618"/>
      <c r="B604" s="215"/>
      <c r="C604" s="243"/>
      <c r="D604" s="218"/>
      <c r="E604" s="218"/>
      <c r="F604" s="218"/>
      <c r="G604" s="218"/>
      <c r="H604" s="218"/>
      <c r="I604" s="218"/>
      <c r="J604" s="266"/>
      <c r="K604" s="285"/>
      <c r="L604" s="352"/>
    </row>
    <row r="605" spans="1:12" ht="14.25" customHeight="1" x14ac:dyDescent="0.45">
      <c r="A605" s="618"/>
      <c r="B605" s="215"/>
      <c r="C605" s="243"/>
      <c r="D605" s="218"/>
      <c r="E605" s="218"/>
      <c r="F605" s="218"/>
      <c r="G605" s="218"/>
      <c r="H605" s="218"/>
      <c r="I605" s="218"/>
      <c r="J605" s="266"/>
      <c r="K605" s="285"/>
      <c r="L605" s="352"/>
    </row>
    <row r="606" spans="1:12" ht="14.25" customHeight="1" x14ac:dyDescent="0.45">
      <c r="A606" s="618"/>
      <c r="B606" s="215"/>
      <c r="C606" s="243"/>
      <c r="D606" s="218"/>
      <c r="E606" s="218"/>
      <c r="F606" s="218"/>
      <c r="G606" s="218"/>
      <c r="H606" s="218"/>
      <c r="I606" s="218"/>
      <c r="J606" s="266"/>
      <c r="K606" s="285"/>
      <c r="L606" s="352"/>
    </row>
    <row r="607" spans="1:12" ht="14.25" customHeight="1" x14ac:dyDescent="0.45">
      <c r="A607" s="618"/>
      <c r="B607" s="215"/>
      <c r="C607" s="243"/>
      <c r="D607" s="218"/>
      <c r="E607" s="218"/>
      <c r="F607" s="218"/>
      <c r="G607" s="218"/>
      <c r="H607" s="218"/>
      <c r="I607" s="218"/>
      <c r="J607" s="266"/>
      <c r="K607" s="285"/>
      <c r="L607" s="352"/>
    </row>
    <row r="608" spans="1:12" ht="14.25" customHeight="1" x14ac:dyDescent="0.45">
      <c r="A608" s="618"/>
      <c r="B608" s="215"/>
      <c r="C608" s="243"/>
      <c r="D608" s="218"/>
      <c r="E608" s="218"/>
      <c r="F608" s="218"/>
      <c r="G608" s="218"/>
      <c r="H608" s="218"/>
      <c r="I608" s="218"/>
      <c r="J608" s="266"/>
      <c r="K608" s="285"/>
      <c r="L608" s="352"/>
    </row>
    <row r="609" spans="1:12" ht="14.25" customHeight="1" x14ac:dyDescent="0.45">
      <c r="A609" s="618"/>
      <c r="B609" s="215"/>
      <c r="C609" s="243"/>
      <c r="D609" s="218"/>
      <c r="E609" s="218"/>
      <c r="F609" s="218"/>
      <c r="G609" s="218"/>
      <c r="H609" s="218"/>
      <c r="I609" s="218"/>
      <c r="J609" s="266"/>
      <c r="K609" s="285"/>
      <c r="L609" s="352"/>
    </row>
    <row r="610" spans="1:12" ht="14.25" customHeight="1" x14ac:dyDescent="0.45">
      <c r="A610" s="618"/>
      <c r="B610" s="215"/>
      <c r="C610" s="243"/>
      <c r="D610" s="218"/>
      <c r="E610" s="218"/>
      <c r="F610" s="218"/>
      <c r="G610" s="218"/>
      <c r="H610" s="218"/>
      <c r="I610" s="218"/>
      <c r="J610" s="266"/>
      <c r="K610" s="285"/>
      <c r="L610" s="352"/>
    </row>
    <row r="611" spans="1:12" ht="14.25" customHeight="1" x14ac:dyDescent="0.45">
      <c r="A611" s="618"/>
      <c r="B611" s="215"/>
      <c r="C611" s="243"/>
      <c r="D611" s="218"/>
      <c r="E611" s="218"/>
      <c r="F611" s="218"/>
      <c r="G611" s="218"/>
      <c r="H611" s="218"/>
      <c r="I611" s="218"/>
      <c r="J611" s="266"/>
      <c r="K611" s="285"/>
      <c r="L611" s="352"/>
    </row>
    <row r="612" spans="1:12" ht="14.25" customHeight="1" x14ac:dyDescent="0.45">
      <c r="A612" s="618"/>
      <c r="B612" s="215"/>
      <c r="C612" s="243"/>
      <c r="D612" s="218"/>
      <c r="E612" s="218"/>
      <c r="F612" s="218"/>
      <c r="G612" s="218"/>
      <c r="H612" s="218"/>
      <c r="I612" s="218"/>
      <c r="J612" s="266"/>
      <c r="K612" s="285"/>
      <c r="L612" s="352"/>
    </row>
    <row r="613" spans="1:12" ht="14.25" customHeight="1" x14ac:dyDescent="0.45">
      <c r="A613" s="618"/>
      <c r="B613" s="215"/>
      <c r="C613" s="243"/>
      <c r="D613" s="218"/>
      <c r="E613" s="218"/>
      <c r="F613" s="218"/>
      <c r="G613" s="218"/>
      <c r="H613" s="218"/>
      <c r="I613" s="218"/>
      <c r="J613" s="266"/>
      <c r="K613" s="285"/>
      <c r="L613" s="352"/>
    </row>
    <row r="614" spans="1:12" ht="14.25" customHeight="1" x14ac:dyDescent="0.45">
      <c r="A614" s="618"/>
      <c r="B614" s="215"/>
      <c r="C614" s="243"/>
      <c r="D614" s="218"/>
      <c r="E614" s="218"/>
      <c r="F614" s="218"/>
      <c r="G614" s="218"/>
      <c r="H614" s="218"/>
      <c r="I614" s="218"/>
      <c r="J614" s="266"/>
      <c r="K614" s="285"/>
      <c r="L614" s="352"/>
    </row>
    <row r="615" spans="1:12" ht="14.25" customHeight="1" x14ac:dyDescent="0.45">
      <c r="A615" s="618"/>
      <c r="B615" s="215"/>
      <c r="C615" s="243"/>
      <c r="D615" s="218"/>
      <c r="E615" s="218"/>
      <c r="F615" s="218"/>
      <c r="G615" s="218"/>
      <c r="H615" s="218"/>
      <c r="I615" s="218"/>
      <c r="J615" s="266"/>
      <c r="K615" s="285"/>
      <c r="L615" s="352"/>
    </row>
    <row r="616" spans="1:12" ht="14.25" customHeight="1" x14ac:dyDescent="0.45">
      <c r="A616" s="618"/>
      <c r="B616" s="215"/>
      <c r="C616" s="243"/>
      <c r="D616" s="218"/>
      <c r="E616" s="218"/>
      <c r="F616" s="218"/>
      <c r="G616" s="218"/>
      <c r="H616" s="218"/>
      <c r="I616" s="218"/>
      <c r="J616" s="266"/>
      <c r="K616" s="285"/>
      <c r="L616" s="352"/>
    </row>
    <row r="617" spans="1:12" ht="14.25" customHeight="1" x14ac:dyDescent="0.45">
      <c r="A617" s="618"/>
      <c r="B617" s="215"/>
      <c r="C617" s="243"/>
      <c r="D617" s="218"/>
      <c r="E617" s="218"/>
      <c r="F617" s="218"/>
      <c r="G617" s="218"/>
      <c r="H617" s="218"/>
      <c r="I617" s="218"/>
      <c r="J617" s="266"/>
      <c r="K617" s="285"/>
      <c r="L617" s="352"/>
    </row>
    <row r="618" spans="1:12" ht="14.25" customHeight="1" x14ac:dyDescent="0.45">
      <c r="A618" s="618"/>
      <c r="B618" s="215"/>
      <c r="C618" s="243"/>
      <c r="D618" s="218"/>
      <c r="E618" s="218"/>
      <c r="F618" s="218"/>
      <c r="G618" s="218"/>
      <c r="H618" s="218"/>
      <c r="I618" s="218"/>
      <c r="J618" s="266"/>
      <c r="K618" s="285"/>
      <c r="L618" s="352"/>
    </row>
    <row r="619" spans="1:12" ht="14.25" customHeight="1" x14ac:dyDescent="0.45">
      <c r="A619" s="618"/>
      <c r="B619" s="215"/>
      <c r="C619" s="243"/>
      <c r="D619" s="218"/>
      <c r="E619" s="218"/>
      <c r="F619" s="218"/>
      <c r="G619" s="218"/>
      <c r="H619" s="218"/>
      <c r="I619" s="218"/>
      <c r="J619" s="266"/>
      <c r="K619" s="285"/>
      <c r="L619" s="352"/>
    </row>
    <row r="620" spans="1:12" ht="14.25" customHeight="1" x14ac:dyDescent="0.45">
      <c r="A620" s="618"/>
      <c r="B620" s="215"/>
      <c r="C620" s="243"/>
      <c r="D620" s="218"/>
      <c r="E620" s="218"/>
      <c r="F620" s="218"/>
      <c r="G620" s="218"/>
      <c r="H620" s="218"/>
      <c r="I620" s="218"/>
      <c r="J620" s="266"/>
      <c r="K620" s="285"/>
      <c r="L620" s="352"/>
    </row>
    <row r="621" spans="1:12" ht="14.25" customHeight="1" x14ac:dyDescent="0.45">
      <c r="A621" s="618"/>
      <c r="B621" s="215"/>
      <c r="C621" s="243"/>
      <c r="D621" s="218"/>
      <c r="E621" s="218"/>
      <c r="F621" s="218"/>
      <c r="G621" s="218"/>
      <c r="H621" s="218"/>
      <c r="I621" s="218"/>
      <c r="J621" s="266"/>
      <c r="K621" s="285"/>
      <c r="L621" s="352"/>
    </row>
    <row r="622" spans="1:12" ht="14.25" customHeight="1" x14ac:dyDescent="0.45">
      <c r="A622" s="618"/>
      <c r="B622" s="215"/>
      <c r="C622" s="243"/>
      <c r="D622" s="218"/>
      <c r="E622" s="218"/>
      <c r="F622" s="218"/>
      <c r="G622" s="218"/>
      <c r="H622" s="218"/>
      <c r="I622" s="218"/>
      <c r="J622" s="266"/>
      <c r="K622" s="285"/>
      <c r="L622" s="352"/>
    </row>
    <row r="623" spans="1:12" ht="14.25" customHeight="1" x14ac:dyDescent="0.45">
      <c r="A623" s="96"/>
      <c r="B623" s="343"/>
      <c r="C623" s="343"/>
      <c r="D623" s="344"/>
      <c r="E623" s="344"/>
      <c r="F623" s="344"/>
      <c r="G623" s="344"/>
      <c r="H623" s="344"/>
      <c r="I623" s="344"/>
      <c r="J623" s="472"/>
      <c r="K623" s="343"/>
      <c r="L623" s="473"/>
    </row>
    <row r="624" spans="1:12" ht="14.25" customHeight="1" x14ac:dyDescent="0.45">
      <c r="A624" s="618"/>
      <c r="B624" s="618"/>
      <c r="C624" s="5"/>
      <c r="D624" s="24"/>
      <c r="E624" s="24"/>
      <c r="F624" s="24"/>
      <c r="G624" s="24"/>
      <c r="H624" s="24"/>
      <c r="I624" s="24"/>
      <c r="J624" s="25"/>
      <c r="K624" s="618"/>
      <c r="L624" s="618"/>
    </row>
    <row r="625" spans="1:12" ht="14.25" customHeight="1" x14ac:dyDescent="0.45">
      <c r="A625" s="618"/>
      <c r="B625" s="618"/>
      <c r="C625" s="5"/>
      <c r="D625" s="24"/>
      <c r="E625" s="24"/>
      <c r="F625" s="24"/>
      <c r="G625" s="24"/>
      <c r="H625" s="24"/>
      <c r="I625" s="24"/>
      <c r="J625" s="25"/>
      <c r="K625" s="618"/>
      <c r="L625" s="618"/>
    </row>
    <row r="626" spans="1:12" ht="14.25" customHeight="1" x14ac:dyDescent="0.45">
      <c r="A626" s="618"/>
      <c r="B626" s="618"/>
      <c r="C626" s="5"/>
      <c r="D626" s="24"/>
      <c r="E626" s="24"/>
      <c r="F626" s="24"/>
      <c r="G626" s="24"/>
      <c r="H626" s="24"/>
      <c r="I626" s="24"/>
      <c r="J626" s="25"/>
      <c r="K626" s="618"/>
      <c r="L626" s="618"/>
    </row>
    <row r="627" spans="1:12" ht="14.25" customHeight="1" x14ac:dyDescent="0.45">
      <c r="A627" s="618"/>
      <c r="B627" s="618"/>
      <c r="C627" s="5"/>
      <c r="D627" s="24"/>
      <c r="E627" s="24"/>
      <c r="F627" s="24"/>
      <c r="G627" s="24"/>
      <c r="H627" s="24"/>
      <c r="I627" s="24"/>
      <c r="J627" s="25"/>
      <c r="K627" s="618"/>
      <c r="L627" s="618"/>
    </row>
    <row r="628" spans="1:12" ht="14.25" customHeight="1" x14ac:dyDescent="0.45">
      <c r="A628" s="618"/>
      <c r="B628" s="618"/>
      <c r="C628" s="5"/>
      <c r="D628" s="24"/>
      <c r="E628" s="24"/>
      <c r="F628" s="24"/>
      <c r="G628" s="24"/>
      <c r="H628" s="24"/>
      <c r="I628" s="24"/>
      <c r="J628" s="25"/>
      <c r="K628" s="618"/>
      <c r="L628" s="618"/>
    </row>
    <row r="629" spans="1:12" ht="14.25" customHeight="1" x14ac:dyDescent="0.45">
      <c r="A629" s="618"/>
      <c r="B629" s="618"/>
      <c r="C629" s="5"/>
      <c r="D629" s="24"/>
      <c r="E629" s="24"/>
      <c r="F629" s="24"/>
      <c r="G629" s="24"/>
      <c r="H629" s="24"/>
      <c r="I629" s="24"/>
      <c r="J629" s="25"/>
      <c r="K629" s="618"/>
      <c r="L629" s="618"/>
    </row>
    <row r="630" spans="1:12" ht="14.25" customHeight="1" x14ac:dyDescent="0.45">
      <c r="A630" s="618"/>
      <c r="B630" s="618"/>
      <c r="C630" s="5"/>
      <c r="D630" s="24"/>
      <c r="E630" s="24"/>
      <c r="F630" s="24"/>
      <c r="G630" s="24"/>
      <c r="H630" s="24"/>
      <c r="I630" s="24"/>
      <c r="J630" s="25"/>
      <c r="K630" s="618"/>
      <c r="L630" s="618"/>
    </row>
    <row r="631" spans="1:12" ht="14.25" customHeight="1" x14ac:dyDescent="0.45">
      <c r="A631" s="618"/>
      <c r="B631" s="618"/>
      <c r="C631" s="5"/>
      <c r="D631" s="24"/>
      <c r="E631" s="24"/>
      <c r="F631" s="24"/>
      <c r="G631" s="24"/>
      <c r="H631" s="24"/>
      <c r="I631" s="24"/>
      <c r="J631" s="25"/>
      <c r="K631" s="618"/>
      <c r="L631" s="618"/>
    </row>
    <row r="632" spans="1:12" ht="14.25" customHeight="1" x14ac:dyDescent="0.45">
      <c r="A632" s="618"/>
      <c r="B632" s="618"/>
      <c r="C632" s="5"/>
      <c r="D632" s="24"/>
      <c r="E632" s="24"/>
      <c r="F632" s="24"/>
      <c r="G632" s="24"/>
      <c r="H632" s="24"/>
      <c r="I632" s="24"/>
      <c r="J632" s="25"/>
      <c r="K632" s="618"/>
      <c r="L632" s="618"/>
    </row>
    <row r="633" spans="1:12" ht="14.25" customHeight="1" x14ac:dyDescent="0.45">
      <c r="A633" s="618"/>
      <c r="B633" s="618"/>
      <c r="C633" s="5"/>
      <c r="D633" s="24"/>
      <c r="E633" s="24"/>
      <c r="F633" s="24"/>
      <c r="G633" s="24"/>
      <c r="H633" s="24"/>
      <c r="I633" s="24"/>
      <c r="J633" s="25"/>
      <c r="K633" s="618"/>
      <c r="L633" s="618"/>
    </row>
    <row r="634" spans="1:12" ht="14.25" customHeight="1" x14ac:dyDescent="0.45">
      <c r="A634" s="618"/>
      <c r="B634" s="618"/>
      <c r="C634" s="5"/>
      <c r="D634" s="24"/>
      <c r="E634" s="24"/>
      <c r="F634" s="24"/>
      <c r="G634" s="24"/>
      <c r="H634" s="24"/>
      <c r="I634" s="24"/>
      <c r="J634" s="25"/>
      <c r="K634" s="618"/>
      <c r="L634" s="618"/>
    </row>
    <row r="635" spans="1:12" ht="14.25" customHeight="1" x14ac:dyDescent="0.45">
      <c r="A635" s="618"/>
      <c r="B635" s="618"/>
      <c r="C635" s="5"/>
      <c r="D635" s="24"/>
      <c r="E635" s="24"/>
      <c r="F635" s="24"/>
      <c r="G635" s="24"/>
      <c r="H635" s="24"/>
      <c r="I635" s="24"/>
      <c r="J635" s="25"/>
      <c r="K635" s="618"/>
      <c r="L635" s="618"/>
    </row>
    <row r="636" spans="1:12" ht="14.25" customHeight="1" x14ac:dyDescent="0.45">
      <c r="A636" s="618"/>
      <c r="B636" s="618"/>
      <c r="C636" s="5"/>
      <c r="D636" s="24"/>
      <c r="E636" s="24"/>
      <c r="F636" s="24"/>
      <c r="G636" s="24"/>
      <c r="H636" s="24"/>
      <c r="I636" s="24"/>
      <c r="J636" s="25"/>
      <c r="K636" s="618"/>
      <c r="L636" s="618"/>
    </row>
    <row r="637" spans="1:12" ht="14.25" customHeight="1" x14ac:dyDescent="0.45">
      <c r="A637" s="618"/>
      <c r="B637" s="618"/>
      <c r="C637" s="5"/>
      <c r="D637" s="24"/>
      <c r="E637" s="24"/>
      <c r="F637" s="24"/>
      <c r="G637" s="24"/>
      <c r="H637" s="24"/>
      <c r="I637" s="24"/>
      <c r="J637" s="25"/>
      <c r="K637" s="618"/>
      <c r="L637" s="618"/>
    </row>
    <row r="638" spans="1:12" ht="14.25" customHeight="1" x14ac:dyDescent="0.45">
      <c r="A638" s="618"/>
      <c r="B638" s="618"/>
      <c r="C638" s="5"/>
      <c r="D638" s="24"/>
      <c r="E638" s="24"/>
      <c r="F638" s="24"/>
      <c r="G638" s="24"/>
      <c r="H638" s="24"/>
      <c r="I638" s="24"/>
      <c r="J638" s="25"/>
      <c r="K638" s="618"/>
      <c r="L638" s="618"/>
    </row>
    <row r="639" spans="1:12" ht="14.25" customHeight="1" x14ac:dyDescent="0.45">
      <c r="A639" s="618"/>
      <c r="B639" s="618"/>
      <c r="C639" s="5"/>
      <c r="D639" s="24"/>
      <c r="E639" s="24"/>
      <c r="F639" s="24"/>
      <c r="G639" s="24"/>
      <c r="H639" s="24"/>
      <c r="I639" s="24"/>
      <c r="J639" s="25"/>
      <c r="K639" s="618"/>
      <c r="L639" s="618"/>
    </row>
    <row r="640" spans="1:12" ht="14.25" customHeight="1" x14ac:dyDescent="0.45">
      <c r="A640" s="618"/>
      <c r="B640" s="618"/>
      <c r="C640" s="5"/>
      <c r="D640" s="24"/>
      <c r="E640" s="24"/>
      <c r="F640" s="24"/>
      <c r="G640" s="24"/>
      <c r="H640" s="24"/>
      <c r="I640" s="24"/>
      <c r="J640" s="25"/>
      <c r="K640" s="618"/>
      <c r="L640" s="618"/>
    </row>
    <row r="641" spans="1:12" ht="14.25" customHeight="1" x14ac:dyDescent="0.45">
      <c r="A641" s="618"/>
      <c r="B641" s="618"/>
      <c r="C641" s="5"/>
      <c r="D641" s="24"/>
      <c r="E641" s="24"/>
      <c r="F641" s="24"/>
      <c r="G641" s="24"/>
      <c r="H641" s="24"/>
      <c r="I641" s="24"/>
      <c r="J641" s="25"/>
      <c r="K641" s="618"/>
      <c r="L641" s="618"/>
    </row>
    <row r="642" spans="1:12" ht="14.25" customHeight="1" x14ac:dyDescent="0.45">
      <c r="A642" s="618"/>
      <c r="B642" s="618"/>
      <c r="C642" s="5"/>
      <c r="D642" s="24"/>
      <c r="E642" s="24"/>
      <c r="F642" s="24"/>
      <c r="G642" s="24"/>
      <c r="H642" s="24"/>
      <c r="I642" s="24"/>
      <c r="J642" s="25"/>
      <c r="K642" s="618"/>
      <c r="L642" s="618"/>
    </row>
    <row r="643" spans="1:12" ht="14.25" customHeight="1" x14ac:dyDescent="0.45">
      <c r="A643" s="618"/>
      <c r="B643" s="618"/>
      <c r="C643" s="5"/>
      <c r="D643" s="24"/>
      <c r="E643" s="24"/>
      <c r="F643" s="24"/>
      <c r="G643" s="24"/>
      <c r="H643" s="24"/>
      <c r="I643" s="24"/>
      <c r="J643" s="25"/>
      <c r="K643" s="618"/>
      <c r="L643" s="618"/>
    </row>
    <row r="644" spans="1:12" ht="14.25" customHeight="1" x14ac:dyDescent="0.45">
      <c r="A644" s="618"/>
      <c r="B644" s="618"/>
      <c r="C644" s="5"/>
      <c r="D644" s="24"/>
      <c r="E644" s="24"/>
      <c r="F644" s="24"/>
      <c r="G644" s="24"/>
      <c r="H644" s="24"/>
      <c r="I644" s="24"/>
      <c r="J644" s="25"/>
      <c r="K644" s="618"/>
      <c r="L644" s="618"/>
    </row>
    <row r="645" spans="1:12" ht="14.25" customHeight="1" x14ac:dyDescent="0.45">
      <c r="A645" s="618"/>
      <c r="B645" s="618"/>
      <c r="C645" s="5"/>
      <c r="D645" s="24"/>
      <c r="E645" s="24"/>
      <c r="F645" s="24"/>
      <c r="G645" s="24"/>
      <c r="H645" s="24"/>
      <c r="I645" s="24"/>
      <c r="J645" s="25"/>
      <c r="K645" s="618"/>
      <c r="L645" s="618"/>
    </row>
    <row r="646" spans="1:12" ht="14.25" customHeight="1" x14ac:dyDescent="0.45">
      <c r="A646" s="618"/>
      <c r="B646" s="618"/>
      <c r="C646" s="5"/>
      <c r="D646" s="24"/>
      <c r="E646" s="24"/>
      <c r="F646" s="24"/>
      <c r="G646" s="24"/>
      <c r="H646" s="24"/>
      <c r="I646" s="24"/>
      <c r="J646" s="25"/>
      <c r="K646" s="618"/>
      <c r="L646" s="618"/>
    </row>
    <row r="647" spans="1:12" ht="14.25" customHeight="1" x14ac:dyDescent="0.45">
      <c r="A647" s="618"/>
      <c r="B647" s="618"/>
      <c r="C647" s="5"/>
      <c r="D647" s="24"/>
      <c r="E647" s="24"/>
      <c r="F647" s="24"/>
      <c r="G647" s="24"/>
      <c r="H647" s="24"/>
      <c r="I647" s="24"/>
      <c r="J647" s="25"/>
      <c r="K647" s="618"/>
      <c r="L647" s="618"/>
    </row>
    <row r="648" spans="1:12" ht="14.25" customHeight="1" x14ac:dyDescent="0.45">
      <c r="A648" s="618"/>
      <c r="B648" s="618"/>
      <c r="C648" s="5"/>
      <c r="D648" s="24"/>
      <c r="E648" s="24"/>
      <c r="F648" s="24"/>
      <c r="G648" s="24"/>
      <c r="H648" s="24"/>
      <c r="I648" s="24"/>
      <c r="J648" s="25"/>
      <c r="K648" s="618"/>
      <c r="L648" s="618"/>
    </row>
    <row r="649" spans="1:12" ht="14.25" customHeight="1" x14ac:dyDescent="0.45">
      <c r="A649" s="618"/>
      <c r="B649" s="618"/>
      <c r="C649" s="5"/>
      <c r="D649" s="24"/>
      <c r="E649" s="24"/>
      <c r="F649" s="24"/>
      <c r="G649" s="24"/>
      <c r="H649" s="24"/>
      <c r="I649" s="24"/>
      <c r="J649" s="25"/>
      <c r="K649" s="618"/>
      <c r="L649" s="618"/>
    </row>
    <row r="650" spans="1:12" ht="14.25" customHeight="1" x14ac:dyDescent="0.45">
      <c r="A650" s="618"/>
      <c r="B650" s="618"/>
      <c r="C650" s="5"/>
      <c r="D650" s="24"/>
      <c r="E650" s="24"/>
      <c r="F650" s="24"/>
      <c r="G650" s="24"/>
      <c r="H650" s="24"/>
      <c r="I650" s="24"/>
      <c r="J650" s="25"/>
      <c r="K650" s="618"/>
      <c r="L650" s="618"/>
    </row>
    <row r="651" spans="1:12" ht="14.25" customHeight="1" x14ac:dyDescent="0.45">
      <c r="A651" s="618"/>
      <c r="B651" s="618"/>
      <c r="C651" s="5"/>
      <c r="D651" s="24"/>
      <c r="E651" s="24"/>
      <c r="F651" s="24"/>
      <c r="G651" s="24"/>
      <c r="H651" s="24"/>
      <c r="I651" s="24"/>
      <c r="J651" s="25"/>
      <c r="K651" s="618"/>
      <c r="L651" s="618"/>
    </row>
    <row r="652" spans="1:12" ht="14.25" customHeight="1" x14ac:dyDescent="0.45">
      <c r="A652" s="618"/>
      <c r="B652" s="618"/>
      <c r="C652" s="5"/>
      <c r="D652" s="24"/>
      <c r="E652" s="24"/>
      <c r="F652" s="24"/>
      <c r="G652" s="24"/>
      <c r="H652" s="24"/>
      <c r="I652" s="24"/>
      <c r="J652" s="25"/>
      <c r="K652" s="618"/>
      <c r="L652" s="618"/>
    </row>
    <row r="653" spans="1:12" ht="14.25" customHeight="1" x14ac:dyDescent="0.45">
      <c r="A653" s="618"/>
      <c r="B653" s="618"/>
      <c r="C653" s="5"/>
      <c r="D653" s="24"/>
      <c r="E653" s="24"/>
      <c r="F653" s="24"/>
      <c r="G653" s="24"/>
      <c r="H653" s="24"/>
      <c r="I653" s="24"/>
      <c r="J653" s="25"/>
      <c r="K653" s="618"/>
      <c r="L653" s="618"/>
    </row>
    <row r="654" spans="1:12" ht="14.25" customHeight="1" x14ac:dyDescent="0.45">
      <c r="A654" s="618"/>
      <c r="B654" s="618"/>
      <c r="C654" s="5"/>
      <c r="D654" s="24"/>
      <c r="E654" s="24"/>
      <c r="F654" s="24"/>
      <c r="G654" s="24"/>
      <c r="H654" s="24"/>
      <c r="I654" s="24"/>
      <c r="J654" s="25"/>
      <c r="K654" s="618"/>
      <c r="L654" s="618"/>
    </row>
    <row r="655" spans="1:12" ht="14.25" customHeight="1" x14ac:dyDescent="0.45">
      <c r="A655" s="618"/>
      <c r="B655" s="618"/>
      <c r="C655" s="5"/>
      <c r="D655" s="24"/>
      <c r="E655" s="24"/>
      <c r="F655" s="24"/>
      <c r="G655" s="24"/>
      <c r="H655" s="24"/>
      <c r="I655" s="24"/>
      <c r="J655" s="25"/>
      <c r="K655" s="618"/>
      <c r="L655" s="618"/>
    </row>
    <row r="656" spans="1:12" ht="14.25" customHeight="1" x14ac:dyDescent="0.45">
      <c r="A656" s="618"/>
      <c r="B656" s="618"/>
      <c r="C656" s="5"/>
      <c r="D656" s="24"/>
      <c r="E656" s="24"/>
      <c r="F656" s="24"/>
      <c r="G656" s="24"/>
      <c r="H656" s="24"/>
      <c r="I656" s="24"/>
      <c r="J656" s="25"/>
      <c r="K656" s="618"/>
      <c r="L656" s="618"/>
    </row>
    <row r="657" spans="1:12" ht="14.25" customHeight="1" x14ac:dyDescent="0.45">
      <c r="A657" s="618"/>
      <c r="B657" s="618"/>
      <c r="C657" s="5"/>
      <c r="D657" s="24"/>
      <c r="E657" s="24"/>
      <c r="F657" s="24"/>
      <c r="G657" s="24"/>
      <c r="H657" s="24"/>
      <c r="I657" s="24"/>
      <c r="J657" s="25"/>
      <c r="K657" s="618"/>
      <c r="L657" s="618"/>
    </row>
    <row r="658" spans="1:12" ht="14.25" customHeight="1" x14ac:dyDescent="0.45">
      <c r="A658" s="618"/>
      <c r="B658" s="618"/>
      <c r="C658" s="5"/>
      <c r="D658" s="24"/>
      <c r="E658" s="24"/>
      <c r="F658" s="24"/>
      <c r="G658" s="24"/>
      <c r="H658" s="24"/>
      <c r="I658" s="24"/>
      <c r="J658" s="25"/>
      <c r="K658" s="618"/>
      <c r="L658" s="618"/>
    </row>
    <row r="659" spans="1:12" ht="14.25" customHeight="1" x14ac:dyDescent="0.45">
      <c r="A659" s="618"/>
      <c r="B659" s="618"/>
      <c r="C659" s="5"/>
      <c r="D659" s="24"/>
      <c r="E659" s="24"/>
      <c r="F659" s="24"/>
      <c r="G659" s="24"/>
      <c r="H659" s="24"/>
      <c r="I659" s="24"/>
      <c r="J659" s="25"/>
      <c r="K659" s="618"/>
      <c r="L659" s="618"/>
    </row>
    <row r="660" spans="1:12" ht="14.25" customHeight="1" x14ac:dyDescent="0.45">
      <c r="A660" s="618"/>
      <c r="B660" s="618"/>
      <c r="C660" s="5"/>
      <c r="D660" s="24"/>
      <c r="E660" s="24"/>
      <c r="F660" s="24"/>
      <c r="G660" s="24"/>
      <c r="H660" s="24"/>
      <c r="I660" s="24"/>
      <c r="J660" s="25"/>
      <c r="K660" s="618"/>
      <c r="L660" s="618"/>
    </row>
    <row r="661" spans="1:12" ht="14.25" customHeight="1" x14ac:dyDescent="0.45">
      <c r="A661" s="618"/>
      <c r="B661" s="618"/>
      <c r="C661" s="5"/>
      <c r="D661" s="24"/>
      <c r="E661" s="24"/>
      <c r="F661" s="24"/>
      <c r="G661" s="24"/>
      <c r="H661" s="24"/>
      <c r="I661" s="24"/>
      <c r="J661" s="25"/>
      <c r="K661" s="618"/>
      <c r="L661" s="618"/>
    </row>
    <row r="662" spans="1:12" ht="14.25" customHeight="1" x14ac:dyDescent="0.45">
      <c r="A662" s="618"/>
      <c r="B662" s="618"/>
      <c r="C662" s="5"/>
      <c r="D662" s="24"/>
      <c r="E662" s="24"/>
      <c r="F662" s="24"/>
      <c r="G662" s="24"/>
      <c r="H662" s="24"/>
      <c r="I662" s="24"/>
      <c r="J662" s="25"/>
      <c r="K662" s="618"/>
      <c r="L662" s="618"/>
    </row>
    <row r="663" spans="1:12" ht="14.25" customHeight="1" x14ac:dyDescent="0.45">
      <c r="A663" s="618"/>
      <c r="B663" s="618"/>
      <c r="C663" s="5"/>
      <c r="D663" s="24"/>
      <c r="E663" s="24"/>
      <c r="F663" s="24"/>
      <c r="G663" s="24"/>
      <c r="H663" s="24"/>
      <c r="I663" s="24"/>
      <c r="J663" s="25"/>
      <c r="K663" s="618"/>
      <c r="L663" s="618"/>
    </row>
    <row r="664" spans="1:12" ht="14.25" customHeight="1" x14ac:dyDescent="0.45">
      <c r="A664" s="618"/>
      <c r="B664" s="618"/>
      <c r="C664" s="5"/>
      <c r="D664" s="24"/>
      <c r="E664" s="24"/>
      <c r="F664" s="24"/>
      <c r="G664" s="24"/>
      <c r="H664" s="24"/>
      <c r="I664" s="24"/>
      <c r="J664" s="25"/>
      <c r="K664" s="618"/>
      <c r="L664" s="618"/>
    </row>
    <row r="665" spans="1:12" ht="14.25" customHeight="1" x14ac:dyDescent="0.45">
      <c r="A665" s="618"/>
      <c r="B665" s="618"/>
      <c r="C665" s="5"/>
      <c r="D665" s="24"/>
      <c r="E665" s="24"/>
      <c r="F665" s="24"/>
      <c r="G665" s="24"/>
      <c r="H665" s="24"/>
      <c r="I665" s="24"/>
      <c r="J665" s="25"/>
      <c r="K665" s="618"/>
      <c r="L665" s="618"/>
    </row>
    <row r="666" spans="1:12" ht="14.25" customHeight="1" x14ac:dyDescent="0.45">
      <c r="A666" s="618"/>
      <c r="B666" s="618"/>
      <c r="C666" s="5"/>
      <c r="D666" s="24"/>
      <c r="E666" s="24"/>
      <c r="F666" s="24"/>
      <c r="G666" s="24"/>
      <c r="H666" s="24"/>
      <c r="I666" s="24"/>
      <c r="J666" s="25"/>
      <c r="K666" s="618"/>
      <c r="L666" s="618"/>
    </row>
    <row r="667" spans="1:12" ht="14.25" customHeight="1" x14ac:dyDescent="0.45">
      <c r="A667" s="618"/>
      <c r="B667" s="618"/>
      <c r="C667" s="5"/>
      <c r="D667" s="24"/>
      <c r="E667" s="24"/>
      <c r="F667" s="24"/>
      <c r="G667" s="24"/>
      <c r="H667" s="24"/>
      <c r="I667" s="24"/>
      <c r="J667" s="25"/>
      <c r="K667" s="618"/>
      <c r="L667" s="618"/>
    </row>
    <row r="668" spans="1:12" ht="14.25" customHeight="1" x14ac:dyDescent="0.45">
      <c r="A668" s="618"/>
      <c r="B668" s="618"/>
      <c r="C668" s="5"/>
      <c r="D668" s="24"/>
      <c r="E668" s="24"/>
      <c r="F668" s="24"/>
      <c r="G668" s="24"/>
      <c r="H668" s="24"/>
      <c r="I668" s="24"/>
      <c r="J668" s="25"/>
      <c r="K668" s="618"/>
      <c r="L668" s="618"/>
    </row>
    <row r="669" spans="1:12" ht="14.25" customHeight="1" x14ac:dyDescent="0.45">
      <c r="A669" s="618"/>
      <c r="B669" s="618"/>
      <c r="C669" s="5"/>
      <c r="D669" s="24"/>
      <c r="E669" s="24"/>
      <c r="F669" s="24"/>
      <c r="G669" s="24"/>
      <c r="H669" s="24"/>
      <c r="I669" s="24"/>
      <c r="J669" s="25"/>
      <c r="K669" s="618"/>
      <c r="L669" s="618"/>
    </row>
    <row r="670" spans="1:12" ht="14.25" customHeight="1" x14ac:dyDescent="0.45">
      <c r="A670" s="618"/>
      <c r="B670" s="618"/>
      <c r="C670" s="5"/>
      <c r="D670" s="24"/>
      <c r="E670" s="24"/>
      <c r="F670" s="24"/>
      <c r="G670" s="24"/>
      <c r="H670" s="24"/>
      <c r="I670" s="24"/>
      <c r="J670" s="25"/>
      <c r="K670" s="618"/>
      <c r="L670" s="618"/>
    </row>
    <row r="671" spans="1:12" ht="14.25" customHeight="1" x14ac:dyDescent="0.45">
      <c r="A671" s="618"/>
      <c r="B671" s="618"/>
      <c r="C671" s="5"/>
      <c r="D671" s="24"/>
      <c r="E671" s="24"/>
      <c r="F671" s="24"/>
      <c r="G671" s="24"/>
      <c r="H671" s="24"/>
      <c r="I671" s="24"/>
      <c r="J671" s="25"/>
      <c r="K671" s="618"/>
      <c r="L671" s="618"/>
    </row>
    <row r="672" spans="1:12" ht="14.25" customHeight="1" x14ac:dyDescent="0.45">
      <c r="A672" s="618"/>
      <c r="B672" s="618"/>
      <c r="C672" s="5"/>
      <c r="D672" s="24"/>
      <c r="E672" s="24"/>
      <c r="F672" s="24"/>
      <c r="G672" s="24"/>
      <c r="H672" s="24"/>
      <c r="I672" s="24"/>
      <c r="J672" s="25"/>
      <c r="K672" s="618"/>
      <c r="L672" s="618"/>
    </row>
    <row r="673" spans="1:12" ht="14.25" customHeight="1" x14ac:dyDescent="0.45">
      <c r="A673" s="618"/>
      <c r="B673" s="618"/>
      <c r="C673" s="5"/>
      <c r="D673" s="24"/>
      <c r="E673" s="24"/>
      <c r="F673" s="24"/>
      <c r="G673" s="24"/>
      <c r="H673" s="24"/>
      <c r="I673" s="24"/>
      <c r="J673" s="25"/>
      <c r="K673" s="618"/>
      <c r="L673" s="618"/>
    </row>
    <row r="674" spans="1:12" ht="14.25" customHeight="1" x14ac:dyDescent="0.45">
      <c r="A674" s="618"/>
      <c r="B674" s="618"/>
      <c r="C674" s="5"/>
      <c r="D674" s="24"/>
      <c r="E674" s="24"/>
      <c r="F674" s="24"/>
      <c r="G674" s="24"/>
      <c r="H674" s="24"/>
      <c r="I674" s="24"/>
      <c r="J674" s="25"/>
      <c r="K674" s="618"/>
      <c r="L674" s="618"/>
    </row>
    <row r="675" spans="1:12" ht="14.25" customHeight="1" x14ac:dyDescent="0.45">
      <c r="A675" s="618"/>
      <c r="B675" s="618"/>
      <c r="C675" s="5"/>
      <c r="D675" s="24"/>
      <c r="E675" s="24"/>
      <c r="F675" s="24"/>
      <c r="G675" s="24"/>
      <c r="H675" s="24"/>
      <c r="I675" s="24"/>
      <c r="J675" s="25"/>
      <c r="K675" s="618"/>
      <c r="L675" s="618"/>
    </row>
    <row r="676" spans="1:12" ht="14.25" customHeight="1" x14ac:dyDescent="0.45">
      <c r="A676" s="618"/>
      <c r="B676" s="618"/>
      <c r="C676" s="5"/>
      <c r="D676" s="24"/>
      <c r="E676" s="24"/>
      <c r="F676" s="24"/>
      <c r="G676" s="24"/>
      <c r="H676" s="24"/>
      <c r="I676" s="24"/>
      <c r="J676" s="25"/>
      <c r="K676" s="618"/>
      <c r="L676" s="618"/>
    </row>
    <row r="677" spans="1:12" ht="14.25" customHeight="1" x14ac:dyDescent="0.45">
      <c r="A677" s="618"/>
      <c r="B677" s="618"/>
      <c r="C677" s="5"/>
      <c r="D677" s="24"/>
      <c r="E677" s="24"/>
      <c r="F677" s="24"/>
      <c r="G677" s="24"/>
      <c r="H677" s="24"/>
      <c r="I677" s="24"/>
      <c r="J677" s="25"/>
      <c r="K677" s="618"/>
      <c r="L677" s="618"/>
    </row>
    <row r="678" spans="1:12" ht="14.25" customHeight="1" x14ac:dyDescent="0.45">
      <c r="A678" s="618"/>
      <c r="B678" s="618"/>
      <c r="C678" s="5"/>
      <c r="D678" s="24"/>
      <c r="E678" s="24"/>
      <c r="F678" s="24"/>
      <c r="G678" s="24"/>
      <c r="H678" s="24"/>
      <c r="I678" s="24"/>
      <c r="J678" s="25"/>
      <c r="K678" s="618"/>
      <c r="L678" s="618"/>
    </row>
    <row r="679" spans="1:12" ht="14.25" customHeight="1" x14ac:dyDescent="0.45">
      <c r="A679" s="618"/>
      <c r="B679" s="618"/>
      <c r="C679" s="5"/>
      <c r="D679" s="24"/>
      <c r="E679" s="24"/>
      <c r="F679" s="24"/>
      <c r="G679" s="24"/>
      <c r="H679" s="24"/>
      <c r="I679" s="24"/>
      <c r="J679" s="25"/>
      <c r="K679" s="618"/>
      <c r="L679" s="618"/>
    </row>
    <row r="680" spans="1:12" ht="14.25" customHeight="1" x14ac:dyDescent="0.45">
      <c r="A680" s="618"/>
      <c r="B680" s="618"/>
      <c r="C680" s="5"/>
      <c r="D680" s="24"/>
      <c r="E680" s="24"/>
      <c r="F680" s="24"/>
      <c r="G680" s="24"/>
      <c r="H680" s="24"/>
      <c r="I680" s="24"/>
      <c r="J680" s="25"/>
      <c r="K680" s="618"/>
      <c r="L680" s="618"/>
    </row>
    <row r="681" spans="1:12" ht="14.25" customHeight="1" x14ac:dyDescent="0.45">
      <c r="A681" s="618"/>
      <c r="B681" s="618"/>
      <c r="C681" s="5"/>
      <c r="D681" s="24"/>
      <c r="E681" s="24"/>
      <c r="F681" s="24"/>
      <c r="G681" s="24"/>
      <c r="H681" s="24"/>
      <c r="I681" s="24"/>
      <c r="J681" s="25"/>
      <c r="K681" s="618"/>
      <c r="L681" s="618"/>
    </row>
    <row r="682" spans="1:12" ht="14.25" customHeight="1" x14ac:dyDescent="0.45">
      <c r="A682" s="618"/>
      <c r="B682" s="618"/>
      <c r="C682" s="5"/>
      <c r="D682" s="24"/>
      <c r="E682" s="24"/>
      <c r="F682" s="24"/>
      <c r="G682" s="24"/>
      <c r="H682" s="24"/>
      <c r="I682" s="24"/>
      <c r="J682" s="25"/>
      <c r="K682" s="618"/>
      <c r="L682" s="618"/>
    </row>
    <row r="683" spans="1:12" ht="14.25" customHeight="1" x14ac:dyDescent="0.45">
      <c r="A683" s="618"/>
      <c r="B683" s="618"/>
      <c r="C683" s="5"/>
      <c r="D683" s="24"/>
      <c r="E683" s="24"/>
      <c r="F683" s="24"/>
      <c r="G683" s="24"/>
      <c r="H683" s="24"/>
      <c r="I683" s="24"/>
      <c r="J683" s="25"/>
      <c r="K683" s="618"/>
      <c r="L683" s="618"/>
    </row>
    <row r="684" spans="1:12" ht="14.25" customHeight="1" x14ac:dyDescent="0.45">
      <c r="A684" s="618"/>
      <c r="B684" s="618"/>
      <c r="C684" s="5"/>
      <c r="D684" s="24"/>
      <c r="E684" s="24"/>
      <c r="F684" s="24"/>
      <c r="G684" s="24"/>
      <c r="H684" s="24"/>
      <c r="I684" s="24"/>
      <c r="J684" s="25"/>
      <c r="K684" s="618"/>
      <c r="L684" s="618"/>
    </row>
    <row r="685" spans="1:12" ht="14.25" customHeight="1" x14ac:dyDescent="0.45">
      <c r="A685" s="618"/>
      <c r="B685" s="618"/>
      <c r="C685" s="5"/>
      <c r="D685" s="24"/>
      <c r="E685" s="24"/>
      <c r="F685" s="24"/>
      <c r="G685" s="24"/>
      <c r="H685" s="24"/>
      <c r="I685" s="24"/>
      <c r="J685" s="25"/>
      <c r="K685" s="618"/>
      <c r="L685" s="618"/>
    </row>
    <row r="686" spans="1:12" ht="14.25" customHeight="1" x14ac:dyDescent="0.45">
      <c r="A686" s="618"/>
      <c r="B686" s="618"/>
      <c r="C686" s="5"/>
      <c r="D686" s="24"/>
      <c r="E686" s="24"/>
      <c r="F686" s="24"/>
      <c r="G686" s="24"/>
      <c r="H686" s="24"/>
      <c r="I686" s="24"/>
      <c r="J686" s="25"/>
      <c r="K686" s="618"/>
      <c r="L686" s="618"/>
    </row>
    <row r="687" spans="1:12" ht="14.25" customHeight="1" x14ac:dyDescent="0.45">
      <c r="A687" s="618"/>
      <c r="B687" s="618"/>
      <c r="C687" s="5"/>
      <c r="D687" s="24"/>
      <c r="E687" s="24"/>
      <c r="F687" s="24"/>
      <c r="G687" s="24"/>
      <c r="H687" s="24"/>
      <c r="I687" s="24"/>
      <c r="J687" s="25"/>
      <c r="K687" s="618"/>
      <c r="L687" s="618"/>
    </row>
    <row r="688" spans="1:12" ht="14.25" customHeight="1" x14ac:dyDescent="0.45">
      <c r="A688" s="618"/>
      <c r="B688" s="618"/>
      <c r="C688" s="5"/>
      <c r="D688" s="24"/>
      <c r="E688" s="24"/>
      <c r="F688" s="24"/>
      <c r="G688" s="24"/>
      <c r="H688" s="24"/>
      <c r="I688" s="24"/>
      <c r="J688" s="25"/>
      <c r="K688" s="618"/>
      <c r="L688" s="618"/>
    </row>
    <row r="689" spans="1:12" ht="14.25" customHeight="1" x14ac:dyDescent="0.45">
      <c r="A689" s="618"/>
      <c r="B689" s="618"/>
      <c r="C689" s="5"/>
      <c r="D689" s="24"/>
      <c r="E689" s="24"/>
      <c r="F689" s="24"/>
      <c r="G689" s="24"/>
      <c r="H689" s="24"/>
      <c r="I689" s="24"/>
      <c r="J689" s="25"/>
      <c r="K689" s="618"/>
      <c r="L689" s="618"/>
    </row>
    <row r="690" spans="1:12" ht="14.25" customHeight="1" x14ac:dyDescent="0.45">
      <c r="A690" s="618"/>
      <c r="B690" s="618"/>
      <c r="C690" s="5"/>
      <c r="D690" s="24"/>
      <c r="E690" s="24"/>
      <c r="F690" s="24"/>
      <c r="G690" s="24"/>
      <c r="H690" s="24"/>
      <c r="I690" s="24"/>
      <c r="J690" s="25"/>
      <c r="K690" s="618"/>
      <c r="L690" s="618"/>
    </row>
    <row r="691" spans="1:12" ht="14.25" customHeight="1" x14ac:dyDescent="0.45">
      <c r="A691" s="618"/>
      <c r="B691" s="618"/>
      <c r="C691" s="5"/>
      <c r="D691" s="24"/>
      <c r="E691" s="24"/>
      <c r="F691" s="24"/>
      <c r="G691" s="24"/>
      <c r="H691" s="24"/>
      <c r="I691" s="24"/>
      <c r="J691" s="25"/>
      <c r="K691" s="618"/>
      <c r="L691" s="618"/>
    </row>
    <row r="692" spans="1:12" ht="14.25" customHeight="1" x14ac:dyDescent="0.45">
      <c r="A692" s="618"/>
      <c r="B692" s="618"/>
      <c r="C692" s="5"/>
      <c r="D692" s="24"/>
      <c r="E692" s="24"/>
      <c r="F692" s="24"/>
      <c r="G692" s="24"/>
      <c r="H692" s="24"/>
      <c r="I692" s="24"/>
      <c r="J692" s="25"/>
      <c r="K692" s="618"/>
      <c r="L692" s="618"/>
    </row>
    <row r="693" spans="1:12" ht="14.25" customHeight="1" x14ac:dyDescent="0.45">
      <c r="A693" s="618"/>
      <c r="B693" s="618"/>
      <c r="C693" s="5"/>
      <c r="D693" s="24"/>
      <c r="E693" s="24"/>
      <c r="F693" s="24"/>
      <c r="G693" s="24"/>
      <c r="H693" s="24"/>
      <c r="I693" s="24"/>
      <c r="J693" s="25"/>
      <c r="K693" s="618"/>
      <c r="L693" s="618"/>
    </row>
    <row r="694" spans="1:12" ht="14.25" customHeight="1" x14ac:dyDescent="0.45">
      <c r="A694" s="618"/>
      <c r="B694" s="618"/>
      <c r="C694" s="5"/>
      <c r="D694" s="24"/>
      <c r="E694" s="24"/>
      <c r="F694" s="24"/>
      <c r="G694" s="24"/>
      <c r="H694" s="24"/>
      <c r="I694" s="24"/>
      <c r="J694" s="25"/>
      <c r="K694" s="618"/>
      <c r="L694" s="618"/>
    </row>
    <row r="695" spans="1:12" ht="14.25" customHeight="1" x14ac:dyDescent="0.45">
      <c r="A695" s="618"/>
      <c r="B695" s="618"/>
      <c r="C695" s="5"/>
      <c r="D695" s="24"/>
      <c r="E695" s="24"/>
      <c r="F695" s="24"/>
      <c r="G695" s="24"/>
      <c r="H695" s="24"/>
      <c r="I695" s="24"/>
      <c r="J695" s="25"/>
      <c r="K695" s="618"/>
      <c r="L695" s="618"/>
    </row>
    <row r="696" spans="1:12" ht="14.25" customHeight="1" x14ac:dyDescent="0.45">
      <c r="A696" s="618"/>
      <c r="B696" s="618"/>
      <c r="C696" s="5"/>
      <c r="D696" s="24"/>
      <c r="E696" s="24"/>
      <c r="F696" s="24"/>
      <c r="G696" s="24"/>
      <c r="H696" s="24"/>
      <c r="I696" s="24"/>
      <c r="J696" s="25"/>
      <c r="K696" s="618"/>
      <c r="L696" s="618"/>
    </row>
    <row r="697" spans="1:12" ht="14.25" customHeight="1" x14ac:dyDescent="0.45">
      <c r="A697" s="618"/>
      <c r="B697" s="618"/>
      <c r="C697" s="5"/>
      <c r="D697" s="24"/>
      <c r="E697" s="24"/>
      <c r="F697" s="24"/>
      <c r="G697" s="24"/>
      <c r="H697" s="24"/>
      <c r="I697" s="24"/>
      <c r="J697" s="25"/>
      <c r="K697" s="618"/>
      <c r="L697" s="618"/>
    </row>
    <row r="698" spans="1:12" ht="14.25" customHeight="1" x14ac:dyDescent="0.45">
      <c r="A698" s="618"/>
      <c r="B698" s="618"/>
      <c r="C698" s="5"/>
      <c r="D698" s="24"/>
      <c r="E698" s="24"/>
      <c r="F698" s="24"/>
      <c r="G698" s="24"/>
      <c r="H698" s="24"/>
      <c r="I698" s="24"/>
      <c r="J698" s="25"/>
      <c r="K698" s="618"/>
      <c r="L698" s="618"/>
    </row>
    <row r="699" spans="1:12" ht="14.25" customHeight="1" x14ac:dyDescent="0.45">
      <c r="A699" s="618"/>
      <c r="B699" s="618"/>
      <c r="C699" s="5"/>
      <c r="D699" s="24"/>
      <c r="E699" s="24"/>
      <c r="F699" s="24"/>
      <c r="G699" s="24"/>
      <c r="H699" s="24"/>
      <c r="I699" s="24"/>
      <c r="J699" s="25"/>
      <c r="K699" s="618"/>
      <c r="L699" s="618"/>
    </row>
    <row r="700" spans="1:12" ht="14.25" customHeight="1" x14ac:dyDescent="0.45">
      <c r="A700" s="618"/>
      <c r="B700" s="618"/>
      <c r="C700" s="5"/>
      <c r="D700" s="24"/>
      <c r="E700" s="24"/>
      <c r="F700" s="24"/>
      <c r="G700" s="24"/>
      <c r="H700" s="24"/>
      <c r="I700" s="24"/>
      <c r="J700" s="25"/>
      <c r="K700" s="618"/>
      <c r="L700" s="618"/>
    </row>
    <row r="701" spans="1:12" ht="14.25" customHeight="1" x14ac:dyDescent="0.45">
      <c r="A701" s="618"/>
      <c r="B701" s="618"/>
      <c r="C701" s="5"/>
      <c r="D701" s="24"/>
      <c r="E701" s="24"/>
      <c r="F701" s="24"/>
      <c r="G701" s="24"/>
      <c r="H701" s="24"/>
      <c r="I701" s="24"/>
      <c r="J701" s="25"/>
      <c r="K701" s="618"/>
      <c r="L701" s="618"/>
    </row>
    <row r="702" spans="1:12" ht="14.25" customHeight="1" x14ac:dyDescent="0.45">
      <c r="A702" s="618"/>
      <c r="B702" s="618"/>
      <c r="C702" s="5"/>
      <c r="D702" s="24"/>
      <c r="E702" s="24"/>
      <c r="F702" s="24"/>
      <c r="G702" s="24"/>
      <c r="H702" s="24"/>
      <c r="I702" s="24"/>
      <c r="J702" s="25"/>
      <c r="K702" s="618"/>
      <c r="L702" s="618"/>
    </row>
    <row r="703" spans="1:12" ht="14.25" customHeight="1" x14ac:dyDescent="0.45">
      <c r="A703" s="618"/>
      <c r="B703" s="618"/>
      <c r="C703" s="5"/>
      <c r="D703" s="24"/>
      <c r="E703" s="24"/>
      <c r="F703" s="24"/>
      <c r="G703" s="24"/>
      <c r="H703" s="24"/>
      <c r="I703" s="24"/>
      <c r="J703" s="25"/>
      <c r="K703" s="618"/>
      <c r="L703" s="618"/>
    </row>
    <row r="704" spans="1:12" ht="14.25" customHeight="1" x14ac:dyDescent="0.45">
      <c r="A704" s="618"/>
      <c r="B704" s="618"/>
      <c r="C704" s="5"/>
      <c r="D704" s="24"/>
      <c r="E704" s="24"/>
      <c r="F704" s="24"/>
      <c r="G704" s="24"/>
      <c r="H704" s="24"/>
      <c r="I704" s="24"/>
      <c r="J704" s="25"/>
      <c r="K704" s="618"/>
      <c r="L704" s="618"/>
    </row>
    <row r="705" spans="1:12" ht="14.25" customHeight="1" x14ac:dyDescent="0.45">
      <c r="A705" s="618"/>
      <c r="B705" s="618"/>
      <c r="C705" s="5"/>
      <c r="D705" s="24"/>
      <c r="E705" s="24"/>
      <c r="F705" s="24"/>
      <c r="G705" s="24"/>
      <c r="H705" s="24"/>
      <c r="I705" s="24"/>
      <c r="J705" s="25"/>
      <c r="K705" s="618"/>
      <c r="L705" s="618"/>
    </row>
    <row r="706" spans="1:12" ht="14.25" customHeight="1" x14ac:dyDescent="0.45">
      <c r="A706" s="618"/>
      <c r="B706" s="618"/>
      <c r="C706" s="5"/>
      <c r="D706" s="24"/>
      <c r="E706" s="24"/>
      <c r="F706" s="24"/>
      <c r="G706" s="24"/>
      <c r="H706" s="24"/>
      <c r="I706" s="24"/>
      <c r="J706" s="25"/>
      <c r="K706" s="618"/>
      <c r="L706" s="618"/>
    </row>
    <row r="707" spans="1:12" ht="14.25" customHeight="1" x14ac:dyDescent="0.45">
      <c r="A707" s="618"/>
      <c r="B707" s="618"/>
      <c r="C707" s="5"/>
      <c r="D707" s="24"/>
      <c r="E707" s="24"/>
      <c r="F707" s="24"/>
      <c r="G707" s="24"/>
      <c r="H707" s="24"/>
      <c r="I707" s="24"/>
      <c r="J707" s="25"/>
      <c r="K707" s="618"/>
      <c r="L707" s="618"/>
    </row>
    <row r="708" spans="1:12" ht="14.25" customHeight="1" x14ac:dyDescent="0.45">
      <c r="A708" s="618"/>
      <c r="B708" s="618"/>
      <c r="C708" s="5"/>
      <c r="D708" s="24"/>
      <c r="E708" s="24"/>
      <c r="F708" s="24"/>
      <c r="G708" s="24"/>
      <c r="H708" s="24"/>
      <c r="I708" s="24"/>
      <c r="J708" s="25"/>
      <c r="K708" s="618"/>
      <c r="L708" s="618"/>
    </row>
    <row r="709" spans="1:12" ht="14.25" customHeight="1" x14ac:dyDescent="0.45">
      <c r="A709" s="618"/>
      <c r="B709" s="618"/>
      <c r="C709" s="5"/>
      <c r="D709" s="24"/>
      <c r="E709" s="24"/>
      <c r="F709" s="24"/>
      <c r="G709" s="24"/>
      <c r="H709" s="24"/>
      <c r="I709" s="24"/>
      <c r="J709" s="25"/>
      <c r="K709" s="618"/>
      <c r="L709" s="618"/>
    </row>
    <row r="710" spans="1:12" ht="14.25" customHeight="1" x14ac:dyDescent="0.45">
      <c r="A710" s="618"/>
      <c r="B710" s="618"/>
      <c r="C710" s="5"/>
      <c r="D710" s="24"/>
      <c r="E710" s="24"/>
      <c r="F710" s="24"/>
      <c r="G710" s="24"/>
      <c r="H710" s="24"/>
      <c r="I710" s="24"/>
      <c r="J710" s="25"/>
      <c r="K710" s="618"/>
      <c r="L710" s="618"/>
    </row>
    <row r="711" spans="1:12" ht="14.25" customHeight="1" x14ac:dyDescent="0.45">
      <c r="A711" s="618"/>
      <c r="B711" s="618"/>
      <c r="C711" s="5"/>
      <c r="D711" s="24"/>
      <c r="E711" s="24"/>
      <c r="F711" s="24"/>
      <c r="G711" s="24"/>
      <c r="H711" s="24"/>
      <c r="I711" s="24"/>
      <c r="J711" s="25"/>
      <c r="K711" s="618"/>
      <c r="L711" s="618"/>
    </row>
    <row r="712" spans="1:12" ht="14.25" customHeight="1" x14ac:dyDescent="0.45">
      <c r="A712" s="618"/>
      <c r="B712" s="618"/>
      <c r="C712" s="5"/>
      <c r="D712" s="24"/>
      <c r="E712" s="24"/>
      <c r="F712" s="24"/>
      <c r="G712" s="24"/>
      <c r="H712" s="24"/>
      <c r="I712" s="24"/>
      <c r="J712" s="25"/>
      <c r="K712" s="618"/>
      <c r="L712" s="618"/>
    </row>
    <row r="713" spans="1:12" ht="14.25" customHeight="1" x14ac:dyDescent="0.45">
      <c r="A713" s="618"/>
      <c r="B713" s="618"/>
      <c r="C713" s="5"/>
      <c r="D713" s="24"/>
      <c r="E713" s="24"/>
      <c r="F713" s="24"/>
      <c r="G713" s="24"/>
      <c r="H713" s="24"/>
      <c r="I713" s="24"/>
      <c r="J713" s="25"/>
      <c r="K713" s="618"/>
      <c r="L713" s="618"/>
    </row>
    <row r="714" spans="1:12" ht="14.25" customHeight="1" x14ac:dyDescent="0.45">
      <c r="A714" s="618"/>
      <c r="B714" s="618"/>
      <c r="C714" s="5"/>
      <c r="D714" s="24"/>
      <c r="E714" s="24"/>
      <c r="F714" s="24"/>
      <c r="G714" s="24"/>
      <c r="H714" s="24"/>
      <c r="I714" s="24"/>
      <c r="J714" s="25"/>
      <c r="K714" s="618"/>
      <c r="L714" s="618"/>
    </row>
    <row r="715" spans="1:12" ht="14.25" customHeight="1" x14ac:dyDescent="0.45">
      <c r="A715" s="618"/>
      <c r="B715" s="618"/>
      <c r="C715" s="5"/>
      <c r="D715" s="24"/>
      <c r="E715" s="24"/>
      <c r="F715" s="24"/>
      <c r="G715" s="24"/>
      <c r="H715" s="24"/>
      <c r="I715" s="24"/>
      <c r="J715" s="25"/>
      <c r="K715" s="618"/>
      <c r="L715" s="618"/>
    </row>
    <row r="716" spans="1:12" ht="14.25" customHeight="1" x14ac:dyDescent="0.45">
      <c r="A716" s="618"/>
      <c r="B716" s="618"/>
      <c r="C716" s="5"/>
      <c r="D716" s="24"/>
      <c r="E716" s="24"/>
      <c r="F716" s="24"/>
      <c r="G716" s="24"/>
      <c r="H716" s="24"/>
      <c r="I716" s="24"/>
      <c r="J716" s="25"/>
      <c r="K716" s="618"/>
      <c r="L716" s="618"/>
    </row>
    <row r="717" spans="1:12" ht="14.25" customHeight="1" x14ac:dyDescent="0.45">
      <c r="A717" s="618"/>
      <c r="B717" s="618"/>
      <c r="C717" s="5"/>
      <c r="D717" s="24"/>
      <c r="E717" s="24"/>
      <c r="F717" s="24"/>
      <c r="G717" s="24"/>
      <c r="H717" s="24"/>
      <c r="I717" s="24"/>
      <c r="J717" s="25"/>
      <c r="K717" s="618"/>
      <c r="L717" s="618"/>
    </row>
    <row r="718" spans="1:12" ht="14.25" customHeight="1" x14ac:dyDescent="0.45">
      <c r="A718" s="618"/>
      <c r="B718" s="618"/>
      <c r="C718" s="5"/>
      <c r="D718" s="24"/>
      <c r="E718" s="24"/>
      <c r="F718" s="24"/>
      <c r="G718" s="24"/>
      <c r="H718" s="24"/>
      <c r="I718" s="24"/>
      <c r="J718" s="25"/>
      <c r="K718" s="618"/>
      <c r="L718" s="618"/>
    </row>
    <row r="719" spans="1:12" ht="14.25" customHeight="1" x14ac:dyDescent="0.45">
      <c r="A719" s="618"/>
      <c r="B719" s="618"/>
      <c r="C719" s="5"/>
      <c r="D719" s="24"/>
      <c r="E719" s="24"/>
      <c r="F719" s="24"/>
      <c r="G719" s="24"/>
      <c r="H719" s="24"/>
      <c r="I719" s="24"/>
      <c r="J719" s="25"/>
      <c r="K719" s="618"/>
      <c r="L719" s="618"/>
    </row>
    <row r="720" spans="1:12" ht="14.25" customHeight="1" x14ac:dyDescent="0.45">
      <c r="A720" s="618"/>
      <c r="B720" s="618"/>
      <c r="C720" s="5"/>
      <c r="D720" s="24"/>
      <c r="E720" s="24"/>
      <c r="F720" s="24"/>
      <c r="G720" s="24"/>
      <c r="H720" s="24"/>
      <c r="I720" s="24"/>
      <c r="J720" s="25"/>
      <c r="K720" s="618"/>
      <c r="L720" s="618"/>
    </row>
    <row r="721" spans="1:12" ht="14.25" customHeight="1" x14ac:dyDescent="0.45">
      <c r="A721" s="618"/>
      <c r="B721" s="618"/>
      <c r="C721" s="5"/>
      <c r="D721" s="24"/>
      <c r="E721" s="24"/>
      <c r="F721" s="24"/>
      <c r="G721" s="24"/>
      <c r="H721" s="24"/>
      <c r="I721" s="24"/>
      <c r="J721" s="25"/>
      <c r="K721" s="618"/>
      <c r="L721" s="618"/>
    </row>
    <row r="722" spans="1:12" ht="14.25" customHeight="1" x14ac:dyDescent="0.45">
      <c r="A722" s="618"/>
      <c r="B722" s="618"/>
      <c r="C722" s="5"/>
      <c r="D722" s="24"/>
      <c r="E722" s="24"/>
      <c r="F722" s="24"/>
      <c r="G722" s="24"/>
      <c r="H722" s="24"/>
      <c r="I722" s="24"/>
      <c r="J722" s="25"/>
      <c r="K722" s="618"/>
      <c r="L722" s="618"/>
    </row>
    <row r="723" spans="1:12" ht="14.25" customHeight="1" x14ac:dyDescent="0.45">
      <c r="A723" s="618"/>
      <c r="B723" s="618"/>
      <c r="C723" s="5"/>
      <c r="D723" s="24"/>
      <c r="E723" s="24"/>
      <c r="F723" s="24"/>
      <c r="G723" s="24"/>
      <c r="H723" s="24"/>
      <c r="I723" s="24"/>
      <c r="J723" s="25"/>
      <c r="K723" s="618"/>
      <c r="L723" s="618"/>
    </row>
    <row r="724" spans="1:12" ht="15.75" customHeight="1" x14ac:dyDescent="0.45">
      <c r="A724" s="3"/>
      <c r="B724" s="3"/>
      <c r="C724" s="3"/>
      <c r="D724" s="3"/>
      <c r="E724" s="3"/>
      <c r="F724" s="3"/>
      <c r="G724" s="3"/>
      <c r="H724" s="3"/>
      <c r="I724" s="3"/>
      <c r="J724" s="3"/>
      <c r="K724" s="3"/>
      <c r="L724" s="3"/>
    </row>
    <row r="725" spans="1:12" ht="15.75" customHeight="1" x14ac:dyDescent="0.45">
      <c r="A725" s="3"/>
      <c r="B725" s="3"/>
      <c r="C725" s="3"/>
      <c r="D725" s="3"/>
      <c r="E725" s="3"/>
      <c r="F725" s="3"/>
      <c r="G725" s="3"/>
      <c r="H725" s="3"/>
      <c r="I725" s="3"/>
      <c r="J725" s="3"/>
      <c r="K725" s="3"/>
      <c r="L725" s="3"/>
    </row>
    <row r="726" spans="1:12" ht="15.75" customHeight="1" x14ac:dyDescent="0.45">
      <c r="A726" s="3"/>
      <c r="B726" s="3"/>
      <c r="C726" s="3"/>
      <c r="D726" s="3"/>
      <c r="E726" s="3"/>
      <c r="F726" s="3"/>
      <c r="G726" s="3"/>
      <c r="H726" s="3"/>
      <c r="I726" s="3"/>
      <c r="J726" s="3"/>
      <c r="K726" s="3"/>
      <c r="L726" s="3"/>
    </row>
    <row r="727" spans="1:12" ht="15.75" customHeight="1" x14ac:dyDescent="0.45">
      <c r="A727" s="3"/>
      <c r="B727" s="3"/>
      <c r="C727" s="3"/>
      <c r="D727" s="3"/>
      <c r="E727" s="3"/>
      <c r="F727" s="3"/>
      <c r="G727" s="3"/>
      <c r="H727" s="3"/>
      <c r="I727" s="3"/>
      <c r="J727" s="3"/>
      <c r="K727" s="3"/>
      <c r="L727" s="3"/>
    </row>
    <row r="728" spans="1:12" ht="15.75" customHeight="1" x14ac:dyDescent="0.45">
      <c r="A728" s="3"/>
      <c r="B728" s="3"/>
      <c r="C728" s="3"/>
      <c r="D728" s="3"/>
      <c r="E728" s="3"/>
      <c r="F728" s="3"/>
      <c r="G728" s="3"/>
      <c r="H728" s="3"/>
      <c r="I728" s="3"/>
      <c r="J728" s="3"/>
      <c r="K728" s="3"/>
      <c r="L728" s="3"/>
    </row>
    <row r="729" spans="1:12" ht="15.75" customHeight="1" x14ac:dyDescent="0.45">
      <c r="A729" s="3"/>
      <c r="B729" s="3"/>
      <c r="C729" s="3"/>
      <c r="D729" s="3"/>
      <c r="E729" s="3"/>
      <c r="F729" s="3"/>
      <c r="G729" s="3"/>
      <c r="H729" s="3"/>
      <c r="I729" s="3"/>
      <c r="J729" s="3"/>
      <c r="K729" s="3"/>
      <c r="L729" s="3"/>
    </row>
    <row r="730" spans="1:12" ht="15.75" customHeight="1" x14ac:dyDescent="0.45">
      <c r="A730" s="3"/>
      <c r="B730" s="3"/>
      <c r="C730" s="3"/>
      <c r="D730" s="3"/>
      <c r="E730" s="3"/>
      <c r="F730" s="3"/>
      <c r="G730" s="3"/>
      <c r="H730" s="3"/>
      <c r="I730" s="3"/>
      <c r="J730" s="3"/>
      <c r="K730" s="3"/>
      <c r="L730" s="3"/>
    </row>
    <row r="731" spans="1:12" ht="15.75" customHeight="1" x14ac:dyDescent="0.45">
      <c r="A731" s="3"/>
      <c r="B731" s="3"/>
      <c r="C731" s="3"/>
      <c r="D731" s="3"/>
      <c r="E731" s="3"/>
      <c r="F731" s="3"/>
      <c r="G731" s="3"/>
      <c r="H731" s="3"/>
      <c r="I731" s="3"/>
      <c r="J731" s="3"/>
      <c r="K731" s="3"/>
      <c r="L731" s="3"/>
    </row>
    <row r="732" spans="1:12" ht="15.75" customHeight="1" x14ac:dyDescent="0.45">
      <c r="A732" s="3"/>
      <c r="B732" s="3"/>
      <c r="C732" s="3"/>
      <c r="D732" s="3"/>
      <c r="E732" s="3"/>
      <c r="F732" s="3"/>
      <c r="G732" s="3"/>
      <c r="H732" s="3"/>
      <c r="I732" s="3"/>
      <c r="J732" s="3"/>
      <c r="K732" s="3"/>
      <c r="L732" s="3"/>
    </row>
    <row r="733" spans="1:12" ht="15.75" customHeight="1" x14ac:dyDescent="0.45">
      <c r="A733" s="3"/>
      <c r="B733" s="3"/>
      <c r="C733" s="3"/>
      <c r="D733" s="3"/>
      <c r="E733" s="3"/>
      <c r="F733" s="3"/>
      <c r="G733" s="3"/>
      <c r="H733" s="3"/>
      <c r="I733" s="3"/>
      <c r="J733" s="3"/>
      <c r="K733" s="3"/>
      <c r="L733" s="3"/>
    </row>
    <row r="734" spans="1:12" ht="15.75" customHeight="1" x14ac:dyDescent="0.45">
      <c r="A734" s="3"/>
      <c r="B734" s="3"/>
      <c r="C734" s="3"/>
      <c r="D734" s="3"/>
      <c r="E734" s="3"/>
      <c r="F734" s="3"/>
      <c r="G734" s="3"/>
      <c r="H734" s="3"/>
      <c r="I734" s="3"/>
      <c r="J734" s="3"/>
      <c r="K734" s="3"/>
      <c r="L734" s="3"/>
    </row>
    <row r="735" spans="1:12" ht="15.75" customHeight="1" x14ac:dyDescent="0.45">
      <c r="A735" s="3"/>
      <c r="B735" s="3"/>
      <c r="C735" s="3"/>
      <c r="D735" s="3"/>
      <c r="E735" s="3"/>
      <c r="F735" s="3"/>
      <c r="G735" s="3"/>
      <c r="H735" s="3"/>
      <c r="I735" s="3"/>
      <c r="J735" s="3"/>
      <c r="K735" s="3"/>
      <c r="L735" s="3"/>
    </row>
    <row r="736" spans="1:12" ht="15.75" customHeight="1" x14ac:dyDescent="0.45">
      <c r="A736" s="3"/>
      <c r="B736" s="3"/>
      <c r="C736" s="3"/>
      <c r="D736" s="3"/>
      <c r="E736" s="3"/>
      <c r="F736" s="3"/>
      <c r="G736" s="3"/>
      <c r="H736" s="3"/>
      <c r="I736" s="3"/>
      <c r="J736" s="3"/>
      <c r="K736" s="3"/>
      <c r="L736" s="3"/>
    </row>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C1:L1"/>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FC5E8"/>
  </sheetPr>
  <dimension ref="A1:X1000"/>
  <sheetViews>
    <sheetView workbookViewId="0"/>
  </sheetViews>
  <sheetFormatPr defaultColWidth="12.69140625" defaultRowHeight="15" customHeight="1" x14ac:dyDescent="0.45"/>
  <cols>
    <col min="1" max="1" width="3" customWidth="1"/>
    <col min="2" max="2" width="1.3828125" customWidth="1"/>
    <col min="3" max="3" width="3.3046875" customWidth="1"/>
    <col min="4" max="4" width="43.3828125" customWidth="1"/>
    <col min="5" max="5" width="9.765625" customWidth="1"/>
    <col min="6" max="6" width="9.3828125" customWidth="1"/>
    <col min="7" max="8" width="5.3828125" customWidth="1"/>
    <col min="9" max="14" width="6.23046875" customWidth="1"/>
    <col min="15" max="15" width="8.3828125" customWidth="1"/>
    <col min="16" max="24" width="12.3828125" customWidth="1"/>
  </cols>
  <sheetData>
    <row r="1" spans="1:24" ht="14.25" customHeight="1" x14ac:dyDescent="0.45">
      <c r="A1" s="618"/>
      <c r="B1" s="54"/>
      <c r="C1" s="349"/>
      <c r="D1" s="645" t="s">
        <v>19</v>
      </c>
      <c r="E1" s="627"/>
      <c r="F1" s="627"/>
      <c r="G1" s="627"/>
      <c r="H1" s="627"/>
      <c r="I1" s="627"/>
      <c r="J1" s="627"/>
      <c r="K1" s="627"/>
      <c r="L1" s="627"/>
      <c r="M1" s="627"/>
      <c r="N1" s="627"/>
      <c r="O1" s="628"/>
      <c r="P1" s="1"/>
      <c r="Q1" s="1"/>
      <c r="R1" s="1"/>
      <c r="S1" s="1"/>
      <c r="T1" s="1"/>
      <c r="U1" s="1"/>
      <c r="V1" s="1"/>
      <c r="W1" s="1"/>
      <c r="X1" s="1"/>
    </row>
    <row r="2" spans="1:24" ht="14.25" customHeight="1" x14ac:dyDescent="0.45">
      <c r="A2" s="1"/>
      <c r="B2" s="1"/>
      <c r="C2" s="1"/>
      <c r="D2" s="1"/>
      <c r="E2" s="1"/>
      <c r="F2" s="1"/>
      <c r="G2" s="1"/>
      <c r="H2" s="1"/>
      <c r="I2" s="1"/>
      <c r="J2" s="1"/>
      <c r="K2" s="1"/>
      <c r="L2" s="1"/>
      <c r="M2" s="1"/>
      <c r="N2" s="1"/>
      <c r="O2" s="1"/>
      <c r="P2" s="1"/>
      <c r="Q2" s="1"/>
      <c r="R2" s="1"/>
      <c r="S2" s="1"/>
      <c r="T2" s="1"/>
      <c r="U2" s="1"/>
      <c r="V2" s="1"/>
      <c r="W2" s="1"/>
      <c r="X2" s="1"/>
    </row>
    <row r="3" spans="1:24" ht="14.25" customHeight="1" x14ac:dyDescent="0.45">
      <c r="A3" s="618"/>
      <c r="B3" s="63"/>
      <c r="C3" s="398"/>
      <c r="D3" s="399"/>
      <c r="E3" s="398"/>
      <c r="F3" s="398"/>
      <c r="G3" s="398"/>
      <c r="H3" s="398"/>
      <c r="I3" s="398"/>
      <c r="J3" s="398"/>
      <c r="K3" s="398"/>
      <c r="L3" s="398"/>
      <c r="M3" s="398"/>
      <c r="N3" s="398"/>
      <c r="O3" s="449"/>
      <c r="P3" s="1"/>
      <c r="Q3" s="1"/>
      <c r="R3" s="1"/>
      <c r="S3" s="1"/>
      <c r="T3" s="1"/>
      <c r="U3" s="1"/>
      <c r="V3" s="1"/>
      <c r="W3" s="1"/>
      <c r="X3" s="1"/>
    </row>
    <row r="4" spans="1:24" ht="14.25" customHeight="1" x14ac:dyDescent="0.45">
      <c r="A4" s="618"/>
      <c r="B4" s="400"/>
      <c r="C4" s="401"/>
      <c r="D4" s="402" t="s">
        <v>478</v>
      </c>
      <c r="E4" s="403"/>
      <c r="F4" s="403"/>
      <c r="G4" s="403"/>
      <c r="H4" s="403"/>
      <c r="I4" s="403"/>
      <c r="J4" s="403"/>
      <c r="K4" s="403"/>
      <c r="L4" s="403"/>
      <c r="M4" s="403"/>
      <c r="N4" s="403"/>
      <c r="O4" s="450"/>
      <c r="P4" s="1"/>
      <c r="Q4" s="1"/>
      <c r="R4" s="1"/>
      <c r="S4" s="1"/>
      <c r="T4" s="1"/>
      <c r="U4" s="1"/>
      <c r="V4" s="1"/>
      <c r="W4" s="1"/>
      <c r="X4" s="1"/>
    </row>
    <row r="5" spans="1:24" ht="14.25" customHeight="1" x14ac:dyDescent="0.45">
      <c r="A5" s="618"/>
      <c r="B5" s="400"/>
      <c r="C5" s="401"/>
      <c r="D5" s="402"/>
      <c r="E5" s="403"/>
      <c r="F5" s="403"/>
      <c r="G5" s="403"/>
      <c r="H5" s="403"/>
      <c r="I5" s="403"/>
      <c r="J5" s="403"/>
      <c r="K5" s="403"/>
      <c r="L5" s="403"/>
      <c r="M5" s="403"/>
      <c r="N5" s="403"/>
      <c r="O5" s="450"/>
      <c r="P5" s="1"/>
      <c r="Q5" s="1"/>
      <c r="R5" s="1"/>
      <c r="S5" s="1"/>
      <c r="T5" s="1"/>
      <c r="U5" s="1"/>
      <c r="V5" s="1"/>
      <c r="W5" s="1"/>
      <c r="X5" s="1"/>
    </row>
    <row r="6" spans="1:24" ht="14.25" customHeight="1" x14ac:dyDescent="0.45">
      <c r="A6" s="618"/>
      <c r="B6" s="400"/>
      <c r="C6" s="401"/>
      <c r="D6" s="402"/>
      <c r="E6" s="403"/>
      <c r="F6" s="403"/>
      <c r="G6" s="403"/>
      <c r="H6" s="403"/>
      <c r="I6" s="403"/>
      <c r="J6" s="403"/>
      <c r="K6" s="403"/>
      <c r="L6" s="403"/>
      <c r="M6" s="403"/>
      <c r="N6" s="403"/>
      <c r="O6" s="450"/>
      <c r="P6" s="1"/>
      <c r="Q6" s="1"/>
      <c r="R6" s="1"/>
      <c r="S6" s="1"/>
      <c r="T6" s="1"/>
      <c r="U6" s="1"/>
      <c r="V6" s="1"/>
      <c r="W6" s="1"/>
      <c r="X6" s="1"/>
    </row>
    <row r="7" spans="1:24" ht="14.25" customHeight="1" x14ac:dyDescent="0.45">
      <c r="A7" s="618"/>
      <c r="B7" s="400"/>
      <c r="C7" s="401"/>
      <c r="D7" s="402"/>
      <c r="E7" s="403"/>
      <c r="F7" s="403"/>
      <c r="G7" s="403"/>
      <c r="H7" s="403"/>
      <c r="I7" s="403"/>
      <c r="J7" s="403"/>
      <c r="K7" s="403"/>
      <c r="L7" s="403"/>
      <c r="M7" s="403"/>
      <c r="N7" s="403"/>
      <c r="O7" s="450"/>
      <c r="P7" s="1"/>
      <c r="Q7" s="1"/>
      <c r="R7" s="1"/>
      <c r="S7" s="1"/>
      <c r="T7" s="1"/>
      <c r="U7" s="1"/>
      <c r="V7" s="1"/>
      <c r="W7" s="1"/>
      <c r="X7" s="1"/>
    </row>
    <row r="8" spans="1:24" ht="14.25" customHeight="1" x14ac:dyDescent="0.45">
      <c r="A8" s="618"/>
      <c r="B8" s="400"/>
      <c r="C8" s="401"/>
      <c r="D8" s="402"/>
      <c r="E8" s="403"/>
      <c r="F8" s="403"/>
      <c r="G8" s="403"/>
      <c r="H8" s="403"/>
      <c r="I8" s="403"/>
      <c r="J8" s="403"/>
      <c r="K8" s="403"/>
      <c r="L8" s="403"/>
      <c r="M8" s="403"/>
      <c r="N8" s="403"/>
      <c r="O8" s="450"/>
      <c r="P8" s="1"/>
      <c r="Q8" s="1"/>
      <c r="R8" s="1"/>
      <c r="S8" s="1"/>
      <c r="T8" s="1"/>
      <c r="U8" s="1"/>
      <c r="V8" s="1"/>
      <c r="W8" s="1"/>
      <c r="X8" s="1"/>
    </row>
    <row r="9" spans="1:24" ht="14.25" customHeight="1" x14ac:dyDescent="0.45">
      <c r="A9" s="618"/>
      <c r="B9" s="400"/>
      <c r="C9" s="401"/>
      <c r="D9" s="402"/>
      <c r="E9" s="403"/>
      <c r="F9" s="403"/>
      <c r="G9" s="403"/>
      <c r="H9" s="403"/>
      <c r="I9" s="403"/>
      <c r="J9" s="403"/>
      <c r="K9" s="403"/>
      <c r="L9" s="403"/>
      <c r="M9" s="403"/>
      <c r="N9" s="403"/>
      <c r="O9" s="450"/>
      <c r="P9" s="1"/>
      <c r="Q9" s="1"/>
      <c r="R9" s="1"/>
      <c r="S9" s="1"/>
      <c r="T9" s="1"/>
      <c r="U9" s="1"/>
      <c r="V9" s="1"/>
      <c r="W9" s="1"/>
      <c r="X9" s="1"/>
    </row>
    <row r="10" spans="1:24" ht="14.25" customHeight="1" x14ac:dyDescent="0.45">
      <c r="A10" s="618"/>
      <c r="B10" s="400"/>
      <c r="C10" s="401"/>
      <c r="D10" s="402"/>
      <c r="E10" s="403"/>
      <c r="F10" s="403"/>
      <c r="G10" s="403"/>
      <c r="H10" s="403"/>
      <c r="I10" s="403"/>
      <c r="J10" s="403"/>
      <c r="K10" s="403"/>
      <c r="L10" s="403"/>
      <c r="M10" s="403"/>
      <c r="N10" s="403"/>
      <c r="O10" s="450"/>
      <c r="P10" s="1"/>
      <c r="Q10" s="1"/>
      <c r="R10" s="1"/>
      <c r="S10" s="1"/>
      <c r="T10" s="1"/>
      <c r="U10" s="1"/>
      <c r="V10" s="1"/>
      <c r="W10" s="1"/>
      <c r="X10" s="1"/>
    </row>
    <row r="11" spans="1:24" ht="14.25" customHeight="1" x14ac:dyDescent="0.45">
      <c r="A11" s="618"/>
      <c r="B11" s="400"/>
      <c r="C11" s="401"/>
      <c r="D11" s="402"/>
      <c r="E11" s="403"/>
      <c r="F11" s="403"/>
      <c r="G11" s="403"/>
      <c r="H11" s="403"/>
      <c r="I11" s="403"/>
      <c r="J11" s="403"/>
      <c r="K11" s="403"/>
      <c r="L11" s="403"/>
      <c r="M11" s="403"/>
      <c r="N11" s="403"/>
      <c r="O11" s="450"/>
      <c r="P11" s="1"/>
      <c r="Q11" s="1"/>
      <c r="R11" s="1"/>
      <c r="S11" s="1"/>
      <c r="T11" s="1"/>
      <c r="U11" s="1"/>
      <c r="V11" s="1"/>
      <c r="W11" s="1"/>
      <c r="X11" s="1"/>
    </row>
    <row r="12" spans="1:24" ht="14.25" customHeight="1" x14ac:dyDescent="0.45">
      <c r="A12" s="618"/>
      <c r="B12" s="400"/>
      <c r="C12" s="401"/>
      <c r="D12" s="402"/>
      <c r="E12" s="403"/>
      <c r="F12" s="403"/>
      <c r="G12" s="403"/>
      <c r="H12" s="403"/>
      <c r="I12" s="403"/>
      <c r="J12" s="403"/>
      <c r="K12" s="403"/>
      <c r="L12" s="403"/>
      <c r="M12" s="403"/>
      <c r="N12" s="403"/>
      <c r="O12" s="450"/>
      <c r="P12" s="1"/>
      <c r="Q12" s="1"/>
      <c r="R12" s="1"/>
      <c r="S12" s="1"/>
      <c r="T12" s="1"/>
      <c r="U12" s="1"/>
      <c r="V12" s="1"/>
      <c r="W12" s="1"/>
      <c r="X12" s="1"/>
    </row>
    <row r="13" spans="1:24" ht="14.25" customHeight="1" x14ac:dyDescent="0.45">
      <c r="A13" s="618"/>
      <c r="B13" s="400"/>
      <c r="C13" s="401"/>
      <c r="D13" s="402"/>
      <c r="E13" s="403"/>
      <c r="F13" s="403"/>
      <c r="G13" s="403"/>
      <c r="H13" s="403"/>
      <c r="I13" s="403"/>
      <c r="J13" s="403"/>
      <c r="K13" s="403"/>
      <c r="L13" s="403"/>
      <c r="M13" s="403"/>
      <c r="N13" s="403"/>
      <c r="O13" s="450"/>
      <c r="P13" s="1"/>
      <c r="Q13" s="1"/>
      <c r="R13" s="1"/>
      <c r="S13" s="1"/>
      <c r="T13" s="1"/>
      <c r="U13" s="1"/>
      <c r="V13" s="1"/>
      <c r="W13" s="1"/>
      <c r="X13" s="1"/>
    </row>
    <row r="14" spans="1:24" ht="14.25" customHeight="1" x14ac:dyDescent="0.45">
      <c r="A14" s="618"/>
      <c r="B14" s="400"/>
      <c r="C14" s="401"/>
      <c r="D14" s="402"/>
      <c r="E14" s="403"/>
      <c r="F14" s="403"/>
      <c r="G14" s="403"/>
      <c r="H14" s="403"/>
      <c r="I14" s="403"/>
      <c r="J14" s="403"/>
      <c r="K14" s="403"/>
      <c r="L14" s="403"/>
      <c r="M14" s="403"/>
      <c r="N14" s="403"/>
      <c r="O14" s="450"/>
      <c r="P14" s="1"/>
      <c r="Q14" s="1"/>
      <c r="R14" s="1"/>
      <c r="S14" s="1"/>
      <c r="T14" s="1"/>
      <c r="U14" s="1"/>
      <c r="V14" s="1"/>
      <c r="W14" s="1"/>
      <c r="X14" s="1"/>
    </row>
    <row r="15" spans="1:24" ht="14.25" customHeight="1" x14ac:dyDescent="0.45">
      <c r="A15" s="618"/>
      <c r="B15" s="400"/>
      <c r="C15" s="401"/>
      <c r="D15" s="402"/>
      <c r="E15" s="403"/>
      <c r="F15" s="403"/>
      <c r="G15" s="403"/>
      <c r="H15" s="403"/>
      <c r="I15" s="403"/>
      <c r="J15" s="403"/>
      <c r="K15" s="403"/>
      <c r="L15" s="403"/>
      <c r="M15" s="403"/>
      <c r="N15" s="403"/>
      <c r="O15" s="450"/>
      <c r="P15" s="1"/>
      <c r="Q15" s="1"/>
      <c r="R15" s="1"/>
      <c r="S15" s="1"/>
      <c r="T15" s="1"/>
      <c r="U15" s="1"/>
      <c r="V15" s="1"/>
      <c r="W15" s="1"/>
      <c r="X15" s="1"/>
    </row>
    <row r="16" spans="1:24" ht="14.25" customHeight="1" x14ac:dyDescent="0.45">
      <c r="A16" s="618"/>
      <c r="B16" s="400"/>
      <c r="C16" s="401"/>
      <c r="D16" s="402"/>
      <c r="E16" s="403"/>
      <c r="F16" s="403"/>
      <c r="G16" s="403"/>
      <c r="H16" s="403"/>
      <c r="I16" s="403"/>
      <c r="J16" s="403"/>
      <c r="K16" s="403"/>
      <c r="L16" s="403"/>
      <c r="M16" s="403"/>
      <c r="N16" s="403"/>
      <c r="O16" s="450"/>
      <c r="P16" s="1"/>
      <c r="Q16" s="1"/>
      <c r="R16" s="1"/>
      <c r="S16" s="1"/>
      <c r="T16" s="1"/>
      <c r="U16" s="1"/>
      <c r="V16" s="1"/>
      <c r="W16" s="1"/>
      <c r="X16" s="1"/>
    </row>
    <row r="17" spans="1:24" ht="14.25" customHeight="1" x14ac:dyDescent="0.45">
      <c r="A17" s="618"/>
      <c r="B17" s="400"/>
      <c r="C17" s="401"/>
      <c r="D17" s="402"/>
      <c r="E17" s="403"/>
      <c r="F17" s="403"/>
      <c r="G17" s="403"/>
      <c r="H17" s="403"/>
      <c r="I17" s="403"/>
      <c r="J17" s="403"/>
      <c r="K17" s="403"/>
      <c r="L17" s="403"/>
      <c r="M17" s="403"/>
      <c r="N17" s="403"/>
      <c r="O17" s="450"/>
      <c r="P17" s="1"/>
      <c r="Q17" s="1"/>
      <c r="R17" s="1"/>
      <c r="S17" s="1"/>
      <c r="T17" s="1"/>
      <c r="U17" s="1"/>
      <c r="V17" s="1"/>
      <c r="W17" s="1"/>
      <c r="X17" s="1"/>
    </row>
    <row r="18" spans="1:24" ht="14.25" customHeight="1" x14ac:dyDescent="0.45">
      <c r="A18" s="618"/>
      <c r="B18" s="400"/>
      <c r="C18" s="401"/>
      <c r="D18" s="402"/>
      <c r="E18" s="403"/>
      <c r="F18" s="403"/>
      <c r="G18" s="403"/>
      <c r="H18" s="403"/>
      <c r="I18" s="403"/>
      <c r="J18" s="403"/>
      <c r="K18" s="403"/>
      <c r="L18" s="403"/>
      <c r="M18" s="403"/>
      <c r="N18" s="403"/>
      <c r="O18" s="450"/>
      <c r="P18" s="1"/>
      <c r="Q18" s="1"/>
      <c r="R18" s="1"/>
      <c r="S18" s="1"/>
      <c r="T18" s="1"/>
      <c r="U18" s="1"/>
      <c r="V18" s="1"/>
      <c r="W18" s="1"/>
      <c r="X18" s="1"/>
    </row>
    <row r="19" spans="1:24" ht="14.25" customHeight="1" x14ac:dyDescent="0.45">
      <c r="A19" s="618"/>
      <c r="B19" s="400"/>
      <c r="C19" s="401"/>
      <c r="D19" s="402"/>
      <c r="E19" s="403"/>
      <c r="F19" s="403"/>
      <c r="G19" s="403"/>
      <c r="H19" s="403"/>
      <c r="I19" s="403"/>
      <c r="J19" s="403"/>
      <c r="K19" s="403"/>
      <c r="L19" s="403"/>
      <c r="M19" s="403"/>
      <c r="N19" s="403"/>
      <c r="O19" s="450"/>
      <c r="P19" s="1"/>
      <c r="Q19" s="1"/>
      <c r="R19" s="1"/>
      <c r="S19" s="1"/>
      <c r="T19" s="1"/>
      <c r="U19" s="1"/>
      <c r="V19" s="1"/>
      <c r="W19" s="1"/>
      <c r="X19" s="1"/>
    </row>
    <row r="20" spans="1:24" ht="14.25" customHeight="1" x14ac:dyDescent="0.45">
      <c r="A20" s="618"/>
      <c r="B20" s="400"/>
      <c r="C20" s="401"/>
      <c r="D20" s="402"/>
      <c r="E20" s="403"/>
      <c r="F20" s="403"/>
      <c r="G20" s="403"/>
      <c r="H20" s="403"/>
      <c r="I20" s="403"/>
      <c r="J20" s="403"/>
      <c r="K20" s="403"/>
      <c r="L20" s="403"/>
      <c r="M20" s="403"/>
      <c r="N20" s="403"/>
      <c r="O20" s="450"/>
      <c r="P20" s="1"/>
      <c r="Q20" s="1"/>
      <c r="R20" s="1"/>
      <c r="S20" s="1"/>
      <c r="T20" s="1"/>
      <c r="U20" s="1"/>
      <c r="V20" s="1"/>
      <c r="W20" s="1"/>
      <c r="X20" s="1"/>
    </row>
    <row r="21" spans="1:24" ht="14.25" customHeight="1" x14ac:dyDescent="0.45">
      <c r="A21" s="618"/>
      <c r="B21" s="400"/>
      <c r="C21" s="401"/>
      <c r="D21" s="402"/>
      <c r="E21" s="403"/>
      <c r="F21" s="403"/>
      <c r="G21" s="403"/>
      <c r="H21" s="403"/>
      <c r="I21" s="403"/>
      <c r="J21" s="403"/>
      <c r="K21" s="403"/>
      <c r="L21" s="403"/>
      <c r="M21" s="403"/>
      <c r="N21" s="403"/>
      <c r="O21" s="450"/>
      <c r="P21" s="1"/>
      <c r="Q21" s="1"/>
      <c r="R21" s="1"/>
      <c r="S21" s="1"/>
      <c r="T21" s="1"/>
      <c r="U21" s="1"/>
      <c r="V21" s="1"/>
      <c r="W21" s="1"/>
      <c r="X21" s="1"/>
    </row>
    <row r="22" spans="1:24" ht="14.25" customHeight="1" x14ac:dyDescent="0.45">
      <c r="A22" s="618"/>
      <c r="B22" s="400"/>
      <c r="C22" s="401"/>
      <c r="D22" s="402"/>
      <c r="E22" s="403"/>
      <c r="F22" s="403"/>
      <c r="G22" s="403"/>
      <c r="H22" s="403"/>
      <c r="I22" s="403"/>
      <c r="J22" s="403"/>
      <c r="K22" s="403"/>
      <c r="L22" s="403"/>
      <c r="M22" s="403"/>
      <c r="N22" s="403"/>
      <c r="O22" s="450"/>
      <c r="P22" s="1"/>
      <c r="Q22" s="1"/>
      <c r="R22" s="1"/>
      <c r="S22" s="1"/>
      <c r="T22" s="1"/>
      <c r="U22" s="1"/>
      <c r="V22" s="1"/>
      <c r="W22" s="1"/>
      <c r="X22" s="1"/>
    </row>
    <row r="23" spans="1:24" ht="14.25" customHeight="1" x14ac:dyDescent="0.45">
      <c r="A23" s="618"/>
      <c r="B23" s="400"/>
      <c r="C23" s="401"/>
      <c r="D23" s="402"/>
      <c r="E23" s="403"/>
      <c r="F23" s="403"/>
      <c r="G23" s="403"/>
      <c r="H23" s="403"/>
      <c r="I23" s="403"/>
      <c r="J23" s="403"/>
      <c r="K23" s="403"/>
      <c r="L23" s="403"/>
      <c r="M23" s="403"/>
      <c r="N23" s="403"/>
      <c r="O23" s="450"/>
      <c r="P23" s="1"/>
      <c r="Q23" s="1"/>
      <c r="R23" s="1"/>
      <c r="S23" s="1"/>
      <c r="T23" s="1"/>
      <c r="U23" s="1"/>
      <c r="V23" s="1"/>
      <c r="W23" s="1"/>
      <c r="X23" s="1"/>
    </row>
    <row r="24" spans="1:24" ht="14.25" customHeight="1" x14ac:dyDescent="0.45">
      <c r="A24" s="618"/>
      <c r="B24" s="400"/>
      <c r="C24" s="401"/>
      <c r="D24" s="402"/>
      <c r="E24" s="403"/>
      <c r="F24" s="403"/>
      <c r="G24" s="403"/>
      <c r="H24" s="403"/>
      <c r="I24" s="403"/>
      <c r="J24" s="403"/>
      <c r="K24" s="403"/>
      <c r="L24" s="403"/>
      <c r="M24" s="403"/>
      <c r="N24" s="403"/>
      <c r="O24" s="450"/>
      <c r="P24" s="1"/>
      <c r="Q24" s="1"/>
      <c r="R24" s="1"/>
      <c r="S24" s="1"/>
      <c r="T24" s="1"/>
      <c r="U24" s="1"/>
      <c r="V24" s="1"/>
      <c r="W24" s="1"/>
      <c r="X24" s="1"/>
    </row>
    <row r="25" spans="1:24" ht="14.25" customHeight="1" x14ac:dyDescent="0.45">
      <c r="A25" s="618"/>
      <c r="B25" s="400"/>
      <c r="C25" s="401"/>
      <c r="D25" s="402"/>
      <c r="E25" s="403"/>
      <c r="F25" s="403"/>
      <c r="G25" s="403"/>
      <c r="H25" s="403"/>
      <c r="I25" s="403"/>
      <c r="J25" s="403"/>
      <c r="K25" s="403"/>
      <c r="L25" s="403"/>
      <c r="M25" s="403"/>
      <c r="N25" s="403"/>
      <c r="O25" s="450"/>
      <c r="P25" s="1"/>
      <c r="Q25" s="1"/>
      <c r="R25" s="1"/>
      <c r="S25" s="1"/>
      <c r="T25" s="1"/>
      <c r="U25" s="1"/>
      <c r="V25" s="1"/>
      <c r="W25" s="1"/>
      <c r="X25" s="1"/>
    </row>
    <row r="26" spans="1:24" ht="14.25" customHeight="1" x14ac:dyDescent="0.45">
      <c r="A26" s="618"/>
      <c r="B26" s="400"/>
      <c r="C26" s="401"/>
      <c r="D26" s="402"/>
      <c r="E26" s="403"/>
      <c r="F26" s="403"/>
      <c r="G26" s="403"/>
      <c r="H26" s="403"/>
      <c r="I26" s="403"/>
      <c r="J26" s="403"/>
      <c r="K26" s="403"/>
      <c r="L26" s="403"/>
      <c r="M26" s="403"/>
      <c r="N26" s="403"/>
      <c r="O26" s="450"/>
      <c r="P26" s="1"/>
      <c r="Q26" s="1"/>
      <c r="R26" s="1"/>
      <c r="S26" s="1"/>
      <c r="T26" s="1"/>
      <c r="U26" s="1"/>
      <c r="V26" s="1"/>
      <c r="W26" s="1"/>
      <c r="X26" s="1"/>
    </row>
    <row r="27" spans="1:24" ht="14.25" customHeight="1" x14ac:dyDescent="0.45">
      <c r="A27" s="618"/>
      <c r="B27" s="400"/>
      <c r="C27" s="401"/>
      <c r="D27" s="402"/>
      <c r="E27" s="403"/>
      <c r="F27" s="403"/>
      <c r="G27" s="403"/>
      <c r="H27" s="403"/>
      <c r="I27" s="403"/>
      <c r="J27" s="403"/>
      <c r="K27" s="403"/>
      <c r="L27" s="403"/>
      <c r="M27" s="403"/>
      <c r="N27" s="403"/>
      <c r="O27" s="450"/>
      <c r="P27" s="1"/>
      <c r="Q27" s="1"/>
      <c r="R27" s="1"/>
      <c r="S27" s="1"/>
      <c r="T27" s="1"/>
      <c r="U27" s="1"/>
      <c r="V27" s="1"/>
      <c r="W27" s="1"/>
      <c r="X27" s="1"/>
    </row>
    <row r="28" spans="1:24" ht="14.25" customHeight="1" x14ac:dyDescent="0.45">
      <c r="A28" s="618"/>
      <c r="B28" s="400"/>
      <c r="C28" s="401"/>
      <c r="D28" s="402"/>
      <c r="E28" s="403"/>
      <c r="F28" s="403"/>
      <c r="G28" s="403"/>
      <c r="H28" s="403"/>
      <c r="I28" s="403"/>
      <c r="J28" s="403"/>
      <c r="K28" s="403"/>
      <c r="L28" s="403"/>
      <c r="M28" s="403"/>
      <c r="N28" s="403"/>
      <c r="O28" s="450"/>
      <c r="P28" s="1"/>
      <c r="Q28" s="1"/>
      <c r="R28" s="1"/>
      <c r="S28" s="1"/>
      <c r="T28" s="1"/>
      <c r="U28" s="1"/>
      <c r="V28" s="1"/>
      <c r="W28" s="1"/>
      <c r="X28" s="1"/>
    </row>
    <row r="29" spans="1:24" ht="14.25" customHeight="1" x14ac:dyDescent="0.45">
      <c r="A29" s="618"/>
      <c r="B29" s="400"/>
      <c r="C29" s="401"/>
      <c r="D29" s="402"/>
      <c r="E29" s="403"/>
      <c r="F29" s="403"/>
      <c r="G29" s="403"/>
      <c r="H29" s="403"/>
      <c r="I29" s="403"/>
      <c r="J29" s="403"/>
      <c r="K29" s="403"/>
      <c r="L29" s="403"/>
      <c r="M29" s="403"/>
      <c r="N29" s="403"/>
      <c r="O29" s="450"/>
      <c r="P29" s="1"/>
      <c r="Q29" s="1"/>
      <c r="R29" s="1"/>
      <c r="S29" s="1"/>
      <c r="T29" s="1"/>
      <c r="U29" s="1"/>
      <c r="V29" s="1"/>
      <c r="W29" s="1"/>
      <c r="X29" s="1"/>
    </row>
    <row r="30" spans="1:24" ht="14.25" customHeight="1" x14ac:dyDescent="0.45">
      <c r="A30" s="618"/>
      <c r="B30" s="400"/>
      <c r="C30" s="401"/>
      <c r="D30" s="402"/>
      <c r="E30" s="403"/>
      <c r="F30" s="403"/>
      <c r="G30" s="403"/>
      <c r="H30" s="403"/>
      <c r="I30" s="403"/>
      <c r="J30" s="403"/>
      <c r="K30" s="403"/>
      <c r="L30" s="403"/>
      <c r="M30" s="403"/>
      <c r="N30" s="403"/>
      <c r="O30" s="450"/>
      <c r="P30" s="1"/>
      <c r="Q30" s="1"/>
      <c r="R30" s="1"/>
      <c r="S30" s="1"/>
      <c r="T30" s="1"/>
      <c r="U30" s="1"/>
      <c r="V30" s="1"/>
      <c r="W30" s="1"/>
      <c r="X30" s="1"/>
    </row>
    <row r="31" spans="1:24" ht="14.25" customHeight="1" x14ac:dyDescent="0.45">
      <c r="A31" s="618"/>
      <c r="B31" s="400"/>
      <c r="C31" s="401"/>
      <c r="D31" s="402"/>
      <c r="E31" s="403"/>
      <c r="F31" s="403"/>
      <c r="G31" s="403"/>
      <c r="H31" s="403"/>
      <c r="I31" s="403"/>
      <c r="J31" s="403"/>
      <c r="K31" s="403"/>
      <c r="L31" s="403"/>
      <c r="M31" s="403"/>
      <c r="N31" s="403"/>
      <c r="O31" s="450"/>
      <c r="P31" s="1"/>
      <c r="Q31" s="1"/>
      <c r="R31" s="1"/>
      <c r="S31" s="1"/>
      <c r="T31" s="1"/>
      <c r="U31" s="1"/>
      <c r="V31" s="1"/>
      <c r="W31" s="1"/>
      <c r="X31" s="1"/>
    </row>
    <row r="32" spans="1:24" ht="14.25" customHeight="1" x14ac:dyDescent="0.45">
      <c r="A32" s="618"/>
      <c r="B32" s="400"/>
      <c r="C32" s="401"/>
      <c r="D32" s="402"/>
      <c r="E32" s="403"/>
      <c r="F32" s="403"/>
      <c r="G32" s="403"/>
      <c r="H32" s="403"/>
      <c r="I32" s="403"/>
      <c r="J32" s="403"/>
      <c r="K32" s="403"/>
      <c r="L32" s="403"/>
      <c r="M32" s="403"/>
      <c r="N32" s="403"/>
      <c r="O32" s="450"/>
      <c r="P32" s="1"/>
      <c r="Q32" s="1"/>
      <c r="R32" s="1"/>
      <c r="S32" s="1"/>
      <c r="T32" s="1"/>
      <c r="U32" s="1"/>
      <c r="V32" s="1"/>
      <c r="W32" s="1"/>
      <c r="X32" s="1"/>
    </row>
    <row r="33" spans="1:24" ht="14.25" customHeight="1" x14ac:dyDescent="0.45">
      <c r="A33" s="618"/>
      <c r="B33" s="400"/>
      <c r="C33" s="401"/>
      <c r="D33" s="402"/>
      <c r="E33" s="403"/>
      <c r="F33" s="403"/>
      <c r="G33" s="403"/>
      <c r="H33" s="403"/>
      <c r="I33" s="403"/>
      <c r="J33" s="403"/>
      <c r="K33" s="403"/>
      <c r="L33" s="403"/>
      <c r="M33" s="403"/>
      <c r="N33" s="403"/>
      <c r="O33" s="450"/>
      <c r="P33" s="1"/>
      <c r="Q33" s="1"/>
      <c r="R33" s="1"/>
      <c r="S33" s="1"/>
      <c r="T33" s="1"/>
      <c r="U33" s="1"/>
      <c r="V33" s="1"/>
      <c r="W33" s="1"/>
      <c r="X33" s="1"/>
    </row>
    <row r="34" spans="1:24" ht="14.25" customHeight="1" x14ac:dyDescent="0.45">
      <c r="A34" s="618"/>
      <c r="B34" s="400"/>
      <c r="C34" s="401"/>
      <c r="D34" s="402"/>
      <c r="E34" s="403"/>
      <c r="F34" s="403"/>
      <c r="G34" s="403"/>
      <c r="H34" s="403"/>
      <c r="I34" s="403"/>
      <c r="J34" s="403"/>
      <c r="K34" s="403"/>
      <c r="L34" s="403"/>
      <c r="M34" s="403"/>
      <c r="N34" s="403"/>
      <c r="O34" s="450"/>
      <c r="P34" s="1"/>
      <c r="Q34" s="1"/>
      <c r="R34" s="1"/>
      <c r="S34" s="1"/>
      <c r="T34" s="1"/>
      <c r="U34" s="1"/>
      <c r="V34" s="1"/>
      <c r="W34" s="1"/>
      <c r="X34" s="1"/>
    </row>
    <row r="35" spans="1:24" ht="14.25" customHeight="1" x14ac:dyDescent="0.45">
      <c r="A35" s="618"/>
      <c r="B35" s="400"/>
      <c r="C35" s="401"/>
      <c r="D35" s="402"/>
      <c r="E35" s="403"/>
      <c r="F35" s="403"/>
      <c r="G35" s="403"/>
      <c r="H35" s="403"/>
      <c r="I35" s="403"/>
      <c r="J35" s="403"/>
      <c r="K35" s="403"/>
      <c r="L35" s="403"/>
      <c r="M35" s="403"/>
      <c r="N35" s="403"/>
      <c r="O35" s="450"/>
      <c r="P35" s="1"/>
      <c r="Q35" s="1"/>
      <c r="R35" s="1"/>
      <c r="S35" s="1"/>
      <c r="T35" s="1"/>
      <c r="U35" s="1"/>
      <c r="V35" s="1"/>
      <c r="W35" s="1"/>
      <c r="X35" s="1"/>
    </row>
    <row r="36" spans="1:24" ht="14.25" customHeight="1" x14ac:dyDescent="0.45">
      <c r="A36" s="618"/>
      <c r="B36" s="400"/>
      <c r="C36" s="401"/>
      <c r="D36" s="402"/>
      <c r="E36" s="403"/>
      <c r="F36" s="403"/>
      <c r="G36" s="403"/>
      <c r="H36" s="403"/>
      <c r="I36" s="403"/>
      <c r="J36" s="403"/>
      <c r="K36" s="403"/>
      <c r="L36" s="403"/>
      <c r="M36" s="403"/>
      <c r="N36" s="403"/>
      <c r="O36" s="450"/>
      <c r="P36" s="1"/>
      <c r="Q36" s="1"/>
      <c r="R36" s="1"/>
      <c r="S36" s="1"/>
      <c r="T36" s="1"/>
      <c r="U36" s="1"/>
      <c r="V36" s="1"/>
      <c r="W36" s="1"/>
      <c r="X36" s="1"/>
    </row>
    <row r="37" spans="1:24" ht="14.25" customHeight="1" x14ac:dyDescent="0.45">
      <c r="A37" s="618"/>
      <c r="B37" s="400"/>
      <c r="C37" s="401"/>
      <c r="D37" s="402"/>
      <c r="E37" s="403"/>
      <c r="F37" s="403"/>
      <c r="G37" s="403"/>
      <c r="H37" s="403"/>
      <c r="I37" s="403"/>
      <c r="J37" s="403"/>
      <c r="K37" s="403"/>
      <c r="L37" s="403"/>
      <c r="M37" s="403"/>
      <c r="N37" s="403"/>
      <c r="O37" s="450"/>
      <c r="P37" s="1"/>
      <c r="Q37" s="1"/>
      <c r="R37" s="1"/>
      <c r="S37" s="1"/>
      <c r="T37" s="1"/>
      <c r="U37" s="1"/>
      <c r="V37" s="1"/>
      <c r="W37" s="1"/>
      <c r="X37" s="1"/>
    </row>
    <row r="38" spans="1:24" ht="14.25" customHeight="1" x14ac:dyDescent="0.45">
      <c r="A38" s="618"/>
      <c r="B38" s="400"/>
      <c r="C38" s="401"/>
      <c r="D38" s="402"/>
      <c r="E38" s="403"/>
      <c r="F38" s="403"/>
      <c r="G38" s="403"/>
      <c r="H38" s="403"/>
      <c r="I38" s="403"/>
      <c r="J38" s="403"/>
      <c r="K38" s="403"/>
      <c r="L38" s="403"/>
      <c r="M38" s="403"/>
      <c r="N38" s="403"/>
      <c r="O38" s="450"/>
      <c r="P38" s="1"/>
      <c r="Q38" s="1"/>
      <c r="R38" s="1"/>
      <c r="S38" s="1"/>
      <c r="T38" s="1"/>
      <c r="U38" s="1"/>
      <c r="V38" s="1"/>
      <c r="W38" s="1"/>
      <c r="X38" s="1"/>
    </row>
    <row r="39" spans="1:24" ht="14.25" customHeight="1" x14ac:dyDescent="0.45">
      <c r="A39" s="618"/>
      <c r="B39" s="400"/>
      <c r="C39" s="401"/>
      <c r="D39" s="402"/>
      <c r="E39" s="403"/>
      <c r="F39" s="403"/>
      <c r="G39" s="403"/>
      <c r="H39" s="403"/>
      <c r="I39" s="403"/>
      <c r="J39" s="403"/>
      <c r="K39" s="403"/>
      <c r="L39" s="403"/>
      <c r="M39" s="403"/>
      <c r="N39" s="403"/>
      <c r="O39" s="450"/>
      <c r="P39" s="1"/>
      <c r="Q39" s="1"/>
      <c r="R39" s="1"/>
      <c r="S39" s="1"/>
      <c r="T39" s="1"/>
      <c r="U39" s="1"/>
      <c r="V39" s="1"/>
      <c r="W39" s="1"/>
      <c r="X39" s="1"/>
    </row>
    <row r="40" spans="1:24" ht="14.25" customHeight="1" x14ac:dyDescent="0.45">
      <c r="A40" s="618"/>
      <c r="B40" s="400"/>
      <c r="C40" s="401"/>
      <c r="D40" s="402"/>
      <c r="E40" s="403"/>
      <c r="F40" s="403"/>
      <c r="G40" s="403"/>
      <c r="H40" s="403"/>
      <c r="I40" s="403"/>
      <c r="J40" s="403"/>
      <c r="K40" s="403"/>
      <c r="L40" s="403"/>
      <c r="M40" s="403"/>
      <c r="N40" s="403"/>
      <c r="O40" s="450"/>
      <c r="P40" s="1"/>
      <c r="Q40" s="1"/>
      <c r="R40" s="1"/>
      <c r="S40" s="1"/>
      <c r="T40" s="1"/>
      <c r="U40" s="1"/>
      <c r="V40" s="1"/>
      <c r="W40" s="1"/>
      <c r="X40" s="1"/>
    </row>
    <row r="41" spans="1:24" ht="14.25" customHeight="1" x14ac:dyDescent="0.45">
      <c r="A41" s="618"/>
      <c r="B41" s="400"/>
      <c r="C41" s="401"/>
      <c r="D41" s="402"/>
      <c r="E41" s="403"/>
      <c r="F41" s="403"/>
      <c r="G41" s="403"/>
      <c r="H41" s="403"/>
      <c r="I41" s="403"/>
      <c r="J41" s="403"/>
      <c r="K41" s="403"/>
      <c r="L41" s="403"/>
      <c r="M41" s="403"/>
      <c r="N41" s="403"/>
      <c r="O41" s="450"/>
      <c r="P41" s="1"/>
      <c r="Q41" s="1"/>
      <c r="R41" s="1"/>
      <c r="S41" s="1"/>
      <c r="T41" s="1"/>
      <c r="U41" s="1"/>
      <c r="V41" s="1"/>
      <c r="W41" s="1"/>
      <c r="X41" s="1"/>
    </row>
    <row r="42" spans="1:24" ht="14.25" customHeight="1" x14ac:dyDescent="0.45">
      <c r="A42" s="618"/>
      <c r="B42" s="400"/>
      <c r="C42" s="401"/>
      <c r="D42" s="402"/>
      <c r="E42" s="403"/>
      <c r="F42" s="403"/>
      <c r="G42" s="403"/>
      <c r="H42" s="403"/>
      <c r="I42" s="403"/>
      <c r="J42" s="403"/>
      <c r="K42" s="403"/>
      <c r="L42" s="403"/>
      <c r="M42" s="403"/>
      <c r="N42" s="403"/>
      <c r="O42" s="450"/>
      <c r="P42" s="1"/>
      <c r="Q42" s="1"/>
      <c r="R42" s="1"/>
      <c r="S42" s="1"/>
      <c r="T42" s="1"/>
      <c r="U42" s="1"/>
      <c r="V42" s="1"/>
      <c r="W42" s="1"/>
      <c r="X42" s="1"/>
    </row>
    <row r="43" spans="1:24" ht="14.25" customHeight="1" x14ac:dyDescent="0.45">
      <c r="A43" s="618"/>
      <c r="B43" s="400"/>
      <c r="C43" s="401"/>
      <c r="D43" s="402"/>
      <c r="E43" s="403"/>
      <c r="F43" s="403"/>
      <c r="G43" s="403"/>
      <c r="H43" s="403"/>
      <c r="I43" s="403"/>
      <c r="J43" s="403"/>
      <c r="K43" s="403"/>
      <c r="L43" s="403"/>
      <c r="M43" s="403"/>
      <c r="N43" s="403"/>
      <c r="O43" s="450"/>
      <c r="P43" s="1"/>
      <c r="Q43" s="1"/>
      <c r="R43" s="1"/>
      <c r="S43" s="1"/>
      <c r="T43" s="1"/>
      <c r="U43" s="1"/>
      <c r="V43" s="1"/>
      <c r="W43" s="1"/>
      <c r="X43" s="1"/>
    </row>
    <row r="44" spans="1:24" ht="14.25" customHeight="1" x14ac:dyDescent="0.45">
      <c r="A44" s="618"/>
      <c r="B44" s="400"/>
      <c r="C44" s="401"/>
      <c r="D44" s="402"/>
      <c r="E44" s="403"/>
      <c r="F44" s="403"/>
      <c r="G44" s="403"/>
      <c r="H44" s="403"/>
      <c r="I44" s="403"/>
      <c r="J44" s="403"/>
      <c r="K44" s="403"/>
      <c r="L44" s="403"/>
      <c r="M44" s="403"/>
      <c r="N44" s="403"/>
      <c r="O44" s="450"/>
      <c r="P44" s="1"/>
      <c r="Q44" s="1"/>
      <c r="R44" s="1"/>
      <c r="S44" s="1"/>
      <c r="T44" s="1"/>
      <c r="U44" s="1"/>
      <c r="V44" s="1"/>
      <c r="W44" s="1"/>
      <c r="X44" s="1"/>
    </row>
    <row r="45" spans="1:24" ht="14.25" customHeight="1" x14ac:dyDescent="0.45">
      <c r="A45" s="618"/>
      <c r="B45" s="400"/>
      <c r="C45" s="401"/>
      <c r="D45" s="402"/>
      <c r="E45" s="403"/>
      <c r="F45" s="403"/>
      <c r="G45" s="403"/>
      <c r="H45" s="403"/>
      <c r="I45" s="403"/>
      <c r="J45" s="403"/>
      <c r="K45" s="403"/>
      <c r="L45" s="403"/>
      <c r="M45" s="403"/>
      <c r="N45" s="403"/>
      <c r="O45" s="450"/>
      <c r="P45" s="1"/>
      <c r="Q45" s="1"/>
      <c r="R45" s="1"/>
      <c r="S45" s="1"/>
      <c r="T45" s="1"/>
      <c r="U45" s="1"/>
      <c r="V45" s="1"/>
      <c r="W45" s="1"/>
      <c r="X45" s="1"/>
    </row>
    <row r="46" spans="1:24" ht="14.25" customHeight="1" x14ac:dyDescent="0.45">
      <c r="A46" s="618"/>
      <c r="B46" s="400"/>
      <c r="C46" s="401"/>
      <c r="D46" s="402"/>
      <c r="E46" s="403"/>
      <c r="F46" s="403"/>
      <c r="G46" s="403"/>
      <c r="H46" s="403"/>
      <c r="I46" s="403"/>
      <c r="J46" s="403"/>
      <c r="K46" s="403"/>
      <c r="L46" s="403"/>
      <c r="M46" s="403"/>
      <c r="N46" s="403"/>
      <c r="O46" s="450"/>
      <c r="P46" s="1"/>
      <c r="Q46" s="1"/>
      <c r="R46" s="1"/>
      <c r="S46" s="1"/>
      <c r="T46" s="1"/>
      <c r="U46" s="1"/>
      <c r="V46" s="1"/>
      <c r="W46" s="1"/>
      <c r="X46" s="1"/>
    </row>
    <row r="47" spans="1:24" ht="14.25" customHeight="1" x14ac:dyDescent="0.45">
      <c r="A47" s="618"/>
      <c r="B47" s="400"/>
      <c r="C47" s="401"/>
      <c r="D47" s="402"/>
      <c r="E47" s="403"/>
      <c r="F47" s="403"/>
      <c r="G47" s="403"/>
      <c r="H47" s="403"/>
      <c r="I47" s="403"/>
      <c r="J47" s="403"/>
      <c r="K47" s="403"/>
      <c r="L47" s="403"/>
      <c r="M47" s="403"/>
      <c r="N47" s="403"/>
      <c r="O47" s="450"/>
      <c r="P47" s="1"/>
      <c r="Q47" s="1"/>
      <c r="R47" s="1"/>
      <c r="S47" s="1"/>
      <c r="T47" s="1"/>
      <c r="U47" s="1"/>
      <c r="V47" s="1"/>
      <c r="W47" s="1"/>
      <c r="X47" s="1"/>
    </row>
    <row r="48" spans="1:24" ht="14.25" customHeight="1" x14ac:dyDescent="0.45">
      <c r="A48" s="618"/>
      <c r="B48" s="400"/>
      <c r="C48" s="401"/>
      <c r="D48" s="402"/>
      <c r="E48" s="403"/>
      <c r="F48" s="403"/>
      <c r="G48" s="403"/>
      <c r="H48" s="403"/>
      <c r="I48" s="403"/>
      <c r="J48" s="403"/>
      <c r="K48" s="403"/>
      <c r="L48" s="403"/>
      <c r="M48" s="403"/>
      <c r="N48" s="403"/>
      <c r="O48" s="450"/>
      <c r="P48" s="1"/>
      <c r="Q48" s="1"/>
      <c r="R48" s="1"/>
      <c r="S48" s="1"/>
      <c r="T48" s="1"/>
      <c r="U48" s="1"/>
      <c r="V48" s="1"/>
      <c r="W48" s="1"/>
      <c r="X48" s="1"/>
    </row>
    <row r="49" spans="1:24" ht="14.25" customHeight="1" x14ac:dyDescent="0.45">
      <c r="A49" s="618"/>
      <c r="B49" s="400"/>
      <c r="C49" s="401"/>
      <c r="D49" s="402"/>
      <c r="E49" s="403"/>
      <c r="F49" s="403"/>
      <c r="G49" s="403"/>
      <c r="H49" s="403"/>
      <c r="I49" s="403"/>
      <c r="J49" s="403"/>
      <c r="K49" s="403"/>
      <c r="L49" s="403"/>
      <c r="M49" s="403"/>
      <c r="N49" s="403"/>
      <c r="O49" s="450"/>
      <c r="P49" s="1"/>
      <c r="Q49" s="1"/>
      <c r="R49" s="1"/>
      <c r="S49" s="1"/>
      <c r="T49" s="1"/>
      <c r="U49" s="1"/>
      <c r="V49" s="1"/>
      <c r="W49" s="1"/>
      <c r="X49" s="1"/>
    </row>
    <row r="50" spans="1:24" ht="14.25" customHeight="1" x14ac:dyDescent="0.45">
      <c r="A50" s="618"/>
      <c r="B50" s="400"/>
      <c r="C50" s="401"/>
      <c r="D50" s="402"/>
      <c r="E50" s="403"/>
      <c r="F50" s="403"/>
      <c r="G50" s="403"/>
      <c r="H50" s="403"/>
      <c r="I50" s="403"/>
      <c r="J50" s="403"/>
      <c r="K50" s="403"/>
      <c r="L50" s="403"/>
      <c r="M50" s="403"/>
      <c r="N50" s="403"/>
      <c r="O50" s="450"/>
      <c r="P50" s="1"/>
      <c r="Q50" s="1"/>
      <c r="R50" s="1"/>
      <c r="S50" s="1"/>
      <c r="T50" s="1"/>
      <c r="U50" s="1"/>
      <c r="V50" s="1"/>
      <c r="W50" s="1"/>
      <c r="X50" s="1"/>
    </row>
    <row r="51" spans="1:24" ht="14.25" customHeight="1" x14ac:dyDescent="0.45">
      <c r="A51" s="618"/>
      <c r="B51" s="400"/>
      <c r="C51" s="401"/>
      <c r="D51" s="402"/>
      <c r="E51" s="403"/>
      <c r="F51" s="403"/>
      <c r="G51" s="403"/>
      <c r="H51" s="403"/>
      <c r="I51" s="403"/>
      <c r="J51" s="403"/>
      <c r="K51" s="403"/>
      <c r="L51" s="403"/>
      <c r="M51" s="403"/>
      <c r="N51" s="403"/>
      <c r="O51" s="450"/>
      <c r="P51" s="1"/>
      <c r="Q51" s="1"/>
      <c r="R51" s="1"/>
      <c r="S51" s="1"/>
      <c r="T51" s="1"/>
      <c r="U51" s="1"/>
      <c r="V51" s="1"/>
      <c r="W51" s="1"/>
      <c r="X51" s="1"/>
    </row>
    <row r="52" spans="1:24" ht="14.25" customHeight="1" x14ac:dyDescent="0.45">
      <c r="A52" s="618"/>
      <c r="B52" s="400"/>
      <c r="C52" s="401"/>
      <c r="D52" s="402"/>
      <c r="E52" s="403"/>
      <c r="F52" s="403"/>
      <c r="G52" s="403"/>
      <c r="H52" s="403"/>
      <c r="I52" s="403"/>
      <c r="J52" s="403"/>
      <c r="K52" s="403"/>
      <c r="L52" s="403"/>
      <c r="M52" s="403"/>
      <c r="N52" s="403"/>
      <c r="O52" s="450"/>
      <c r="P52" s="1"/>
      <c r="Q52" s="1"/>
      <c r="R52" s="1"/>
      <c r="S52" s="1"/>
      <c r="T52" s="1"/>
      <c r="U52" s="1"/>
      <c r="V52" s="1"/>
      <c r="W52" s="1"/>
      <c r="X52" s="1"/>
    </row>
    <row r="53" spans="1:24" ht="14.25" customHeight="1" x14ac:dyDescent="0.45">
      <c r="A53" s="618"/>
      <c r="B53" s="400"/>
      <c r="C53" s="401"/>
      <c r="D53" s="402"/>
      <c r="E53" s="403"/>
      <c r="F53" s="403"/>
      <c r="G53" s="403"/>
      <c r="H53" s="403"/>
      <c r="I53" s="403"/>
      <c r="J53" s="403"/>
      <c r="K53" s="403"/>
      <c r="L53" s="403"/>
      <c r="M53" s="403"/>
      <c r="N53" s="403"/>
      <c r="O53" s="450"/>
      <c r="P53" s="1"/>
      <c r="Q53" s="1"/>
      <c r="R53" s="1"/>
      <c r="S53" s="1"/>
      <c r="T53" s="1"/>
      <c r="U53" s="1"/>
      <c r="V53" s="1"/>
      <c r="W53" s="1"/>
      <c r="X53" s="1"/>
    </row>
    <row r="54" spans="1:24" ht="14.25" customHeight="1" x14ac:dyDescent="0.45">
      <c r="A54" s="618"/>
      <c r="B54" s="400"/>
      <c r="C54" s="401"/>
      <c r="D54" s="402"/>
      <c r="E54" s="403"/>
      <c r="F54" s="403"/>
      <c r="G54" s="403"/>
      <c r="H54" s="403"/>
      <c r="I54" s="403"/>
      <c r="J54" s="403"/>
      <c r="K54" s="403"/>
      <c r="L54" s="403"/>
      <c r="M54" s="403"/>
      <c r="N54" s="403"/>
      <c r="O54" s="450"/>
      <c r="P54" s="1"/>
      <c r="Q54" s="1"/>
      <c r="R54" s="1"/>
      <c r="S54" s="1"/>
      <c r="T54" s="1"/>
      <c r="U54" s="1"/>
      <c r="V54" s="1"/>
      <c r="W54" s="1"/>
      <c r="X54" s="1"/>
    </row>
    <row r="55" spans="1:24" ht="14.25" customHeight="1" x14ac:dyDescent="0.45">
      <c r="A55" s="618"/>
      <c r="B55" s="400"/>
      <c r="C55" s="401"/>
      <c r="D55" s="402"/>
      <c r="E55" s="403"/>
      <c r="F55" s="403"/>
      <c r="G55" s="403"/>
      <c r="H55" s="403"/>
      <c r="I55" s="403"/>
      <c r="J55" s="403"/>
      <c r="K55" s="403"/>
      <c r="L55" s="403"/>
      <c r="M55" s="403"/>
      <c r="N55" s="403"/>
      <c r="O55" s="450"/>
      <c r="P55" s="1"/>
      <c r="Q55" s="1"/>
      <c r="R55" s="1"/>
      <c r="S55" s="1"/>
      <c r="T55" s="1"/>
      <c r="U55" s="1"/>
      <c r="V55" s="1"/>
      <c r="W55" s="1"/>
      <c r="X55" s="1"/>
    </row>
    <row r="56" spans="1:24" ht="14.25" customHeight="1" x14ac:dyDescent="0.45">
      <c r="A56" s="618"/>
      <c r="B56" s="400"/>
      <c r="C56" s="401"/>
      <c r="D56" s="402"/>
      <c r="E56" s="403"/>
      <c r="F56" s="403"/>
      <c r="G56" s="403"/>
      <c r="H56" s="403"/>
      <c r="I56" s="403"/>
      <c r="J56" s="403"/>
      <c r="K56" s="403"/>
      <c r="L56" s="403"/>
      <c r="M56" s="403"/>
      <c r="N56" s="403"/>
      <c r="O56" s="450"/>
      <c r="P56" s="1"/>
      <c r="Q56" s="1"/>
      <c r="R56" s="1"/>
      <c r="S56" s="1"/>
      <c r="T56" s="1"/>
      <c r="U56" s="1"/>
      <c r="V56" s="1"/>
      <c r="W56" s="1"/>
      <c r="X56" s="1"/>
    </row>
    <row r="57" spans="1:24" ht="14.25" customHeight="1" x14ac:dyDescent="0.45">
      <c r="A57" s="618"/>
      <c r="B57" s="400"/>
      <c r="C57" s="401"/>
      <c r="D57" s="402"/>
      <c r="E57" s="403"/>
      <c r="F57" s="403"/>
      <c r="G57" s="403"/>
      <c r="H57" s="403"/>
      <c r="I57" s="403"/>
      <c r="J57" s="403"/>
      <c r="K57" s="403"/>
      <c r="L57" s="403"/>
      <c r="M57" s="403"/>
      <c r="N57" s="403"/>
      <c r="O57" s="450"/>
      <c r="P57" s="1"/>
      <c r="Q57" s="1"/>
      <c r="R57" s="1"/>
      <c r="S57" s="1"/>
      <c r="T57" s="1"/>
      <c r="U57" s="1"/>
      <c r="V57" s="1"/>
      <c r="W57" s="1"/>
      <c r="X57" s="1"/>
    </row>
    <row r="58" spans="1:24" ht="14.25" customHeight="1" x14ac:dyDescent="0.45">
      <c r="A58" s="618"/>
      <c r="B58" s="400"/>
      <c r="C58" s="401"/>
      <c r="D58" s="402"/>
      <c r="E58" s="403"/>
      <c r="F58" s="403"/>
      <c r="G58" s="403"/>
      <c r="H58" s="403"/>
      <c r="I58" s="403"/>
      <c r="J58" s="403"/>
      <c r="K58" s="403"/>
      <c r="L58" s="403"/>
      <c r="M58" s="403"/>
      <c r="N58" s="403"/>
      <c r="O58" s="450"/>
      <c r="P58" s="1"/>
      <c r="Q58" s="1"/>
      <c r="R58" s="1"/>
      <c r="S58" s="1"/>
      <c r="T58" s="1"/>
      <c r="U58" s="1"/>
      <c r="V58" s="1"/>
      <c r="W58" s="1"/>
      <c r="X58" s="1"/>
    </row>
    <row r="59" spans="1:24" ht="14.25" customHeight="1" x14ac:dyDescent="0.45">
      <c r="A59" s="618"/>
      <c r="B59" s="400"/>
      <c r="C59" s="401"/>
      <c r="D59" s="402"/>
      <c r="E59" s="403"/>
      <c r="F59" s="403"/>
      <c r="G59" s="403"/>
      <c r="H59" s="403"/>
      <c r="I59" s="403"/>
      <c r="J59" s="403"/>
      <c r="K59" s="403"/>
      <c r="L59" s="403"/>
      <c r="M59" s="403"/>
      <c r="N59" s="403"/>
      <c r="O59" s="450"/>
      <c r="P59" s="1"/>
      <c r="Q59" s="1"/>
      <c r="R59" s="1"/>
      <c r="S59" s="1"/>
      <c r="T59" s="1"/>
      <c r="U59" s="1"/>
      <c r="V59" s="1"/>
      <c r="W59" s="1"/>
      <c r="X59" s="1"/>
    </row>
    <row r="60" spans="1:24" ht="14.25" customHeight="1" x14ac:dyDescent="0.45">
      <c r="A60" s="618"/>
      <c r="B60" s="400"/>
      <c r="C60" s="401"/>
      <c r="D60" s="402"/>
      <c r="E60" s="403"/>
      <c r="F60" s="403"/>
      <c r="G60" s="403"/>
      <c r="H60" s="403"/>
      <c r="I60" s="403"/>
      <c r="J60" s="403"/>
      <c r="K60" s="403"/>
      <c r="L60" s="403"/>
      <c r="M60" s="403"/>
      <c r="N60" s="403"/>
      <c r="O60" s="450"/>
      <c r="P60" s="1"/>
      <c r="Q60" s="1"/>
      <c r="R60" s="1"/>
      <c r="S60" s="1"/>
      <c r="T60" s="1"/>
      <c r="U60" s="1"/>
      <c r="V60" s="1"/>
      <c r="W60" s="1"/>
      <c r="X60" s="1"/>
    </row>
    <row r="61" spans="1:24" ht="14.25" customHeight="1" x14ac:dyDescent="0.45">
      <c r="A61" s="618"/>
      <c r="B61" s="400"/>
      <c r="C61" s="401"/>
      <c r="D61" s="402"/>
      <c r="E61" s="403"/>
      <c r="F61" s="403"/>
      <c r="G61" s="403"/>
      <c r="H61" s="403"/>
      <c r="I61" s="403"/>
      <c r="J61" s="403"/>
      <c r="K61" s="403"/>
      <c r="L61" s="403"/>
      <c r="M61" s="403"/>
      <c r="N61" s="403"/>
      <c r="O61" s="450"/>
      <c r="P61" s="1"/>
      <c r="Q61" s="1"/>
      <c r="R61" s="1"/>
      <c r="S61" s="1"/>
      <c r="T61" s="1"/>
      <c r="U61" s="1"/>
      <c r="V61" s="1"/>
      <c r="W61" s="1"/>
      <c r="X61" s="1"/>
    </row>
    <row r="62" spans="1:24" ht="14.25" customHeight="1" x14ac:dyDescent="0.45">
      <c r="A62" s="618"/>
      <c r="B62" s="400"/>
      <c r="C62" s="401"/>
      <c r="D62" s="402"/>
      <c r="E62" s="403"/>
      <c r="F62" s="403"/>
      <c r="G62" s="403"/>
      <c r="H62" s="403"/>
      <c r="I62" s="403"/>
      <c r="J62" s="403"/>
      <c r="K62" s="403"/>
      <c r="L62" s="403"/>
      <c r="M62" s="403"/>
      <c r="N62" s="403"/>
      <c r="O62" s="450"/>
      <c r="P62" s="1"/>
      <c r="Q62" s="1"/>
      <c r="R62" s="1"/>
      <c r="S62" s="1"/>
      <c r="T62" s="1"/>
      <c r="U62" s="1"/>
      <c r="V62" s="1"/>
      <c r="W62" s="1"/>
      <c r="X62" s="1"/>
    </row>
    <row r="63" spans="1:24" ht="14.25" customHeight="1" x14ac:dyDescent="0.45">
      <c r="A63" s="618"/>
      <c r="B63" s="400"/>
      <c r="C63" s="401"/>
      <c r="D63" s="402"/>
      <c r="E63" s="403"/>
      <c r="F63" s="403"/>
      <c r="G63" s="403"/>
      <c r="H63" s="403"/>
      <c r="I63" s="403"/>
      <c r="J63" s="403"/>
      <c r="K63" s="403"/>
      <c r="L63" s="403"/>
      <c r="M63" s="403"/>
      <c r="N63" s="403"/>
      <c r="O63" s="450"/>
      <c r="P63" s="1"/>
      <c r="Q63" s="1"/>
      <c r="R63" s="1"/>
      <c r="S63" s="1"/>
      <c r="T63" s="1"/>
      <c r="U63" s="1"/>
      <c r="V63" s="1"/>
      <c r="W63" s="1"/>
      <c r="X63" s="1"/>
    </row>
    <row r="64" spans="1:24" ht="14.25" customHeight="1" x14ac:dyDescent="0.45">
      <c r="A64" s="618"/>
      <c r="B64" s="400"/>
      <c r="C64" s="401"/>
      <c r="D64" s="402"/>
      <c r="E64" s="403"/>
      <c r="F64" s="403"/>
      <c r="G64" s="403"/>
      <c r="H64" s="403"/>
      <c r="I64" s="403"/>
      <c r="J64" s="403"/>
      <c r="K64" s="403"/>
      <c r="L64" s="403"/>
      <c r="M64" s="403"/>
      <c r="N64" s="403"/>
      <c r="O64" s="450"/>
      <c r="P64" s="1"/>
      <c r="Q64" s="1"/>
      <c r="R64" s="1"/>
      <c r="S64" s="1"/>
      <c r="T64" s="1"/>
      <c r="U64" s="1"/>
      <c r="V64" s="1"/>
      <c r="W64" s="1"/>
      <c r="X64" s="1"/>
    </row>
    <row r="65" spans="1:24" ht="14.25" customHeight="1" x14ac:dyDescent="0.45">
      <c r="A65" s="618"/>
      <c r="B65" s="400"/>
      <c r="C65" s="401"/>
      <c r="D65" s="402"/>
      <c r="E65" s="403"/>
      <c r="F65" s="403"/>
      <c r="G65" s="403"/>
      <c r="H65" s="403"/>
      <c r="I65" s="403"/>
      <c r="J65" s="403"/>
      <c r="K65" s="403"/>
      <c r="L65" s="403"/>
      <c r="M65" s="403"/>
      <c r="N65" s="403"/>
      <c r="O65" s="450"/>
      <c r="P65" s="1"/>
      <c r="Q65" s="1"/>
      <c r="R65" s="1"/>
      <c r="S65" s="1"/>
      <c r="T65" s="1"/>
      <c r="U65" s="1"/>
      <c r="V65" s="1"/>
      <c r="W65" s="1"/>
      <c r="X65" s="1"/>
    </row>
    <row r="66" spans="1:24" ht="14.25" customHeight="1" x14ac:dyDescent="0.45">
      <c r="A66" s="618"/>
      <c r="B66" s="400"/>
      <c r="C66" s="401"/>
      <c r="D66" s="402"/>
      <c r="E66" s="403"/>
      <c r="F66" s="403"/>
      <c r="G66" s="403"/>
      <c r="H66" s="403"/>
      <c r="I66" s="403"/>
      <c r="J66" s="403"/>
      <c r="K66" s="403"/>
      <c r="L66" s="403"/>
      <c r="M66" s="403"/>
      <c r="N66" s="403"/>
      <c r="O66" s="450"/>
      <c r="P66" s="1"/>
      <c r="Q66" s="1"/>
      <c r="R66" s="1"/>
      <c r="S66" s="1"/>
      <c r="T66" s="1"/>
      <c r="U66" s="1"/>
      <c r="V66" s="1"/>
      <c r="W66" s="1"/>
      <c r="X66" s="1"/>
    </row>
    <row r="67" spans="1:24" ht="14.25" customHeight="1" x14ac:dyDescent="0.45">
      <c r="A67" s="618"/>
      <c r="B67" s="400"/>
      <c r="C67" s="401"/>
      <c r="D67" s="402"/>
      <c r="E67" s="403"/>
      <c r="F67" s="403"/>
      <c r="G67" s="403"/>
      <c r="H67" s="403"/>
      <c r="I67" s="403"/>
      <c r="J67" s="403"/>
      <c r="K67" s="403"/>
      <c r="L67" s="403"/>
      <c r="M67" s="403"/>
      <c r="N67" s="403"/>
      <c r="O67" s="450"/>
      <c r="P67" s="1"/>
      <c r="Q67" s="1"/>
      <c r="R67" s="1"/>
      <c r="S67" s="1"/>
      <c r="T67" s="1"/>
      <c r="U67" s="1"/>
      <c r="V67" s="1"/>
      <c r="W67" s="1"/>
      <c r="X67" s="1"/>
    </row>
    <row r="68" spans="1:24" ht="14.25" customHeight="1" x14ac:dyDescent="0.45">
      <c r="A68" s="618"/>
      <c r="B68" s="400"/>
      <c r="C68" s="401"/>
      <c r="D68" s="402"/>
      <c r="E68" s="403"/>
      <c r="F68" s="403"/>
      <c r="G68" s="403"/>
      <c r="H68" s="403"/>
      <c r="I68" s="403"/>
      <c r="J68" s="403"/>
      <c r="K68" s="403"/>
      <c r="L68" s="403"/>
      <c r="M68" s="403"/>
      <c r="N68" s="403"/>
      <c r="O68" s="450"/>
      <c r="P68" s="1"/>
      <c r="Q68" s="1"/>
      <c r="R68" s="1"/>
      <c r="S68" s="1"/>
      <c r="T68" s="1"/>
      <c r="U68" s="1"/>
      <c r="V68" s="1"/>
      <c r="W68" s="1"/>
      <c r="X68" s="1"/>
    </row>
    <row r="69" spans="1:24" ht="14.25" customHeight="1" x14ac:dyDescent="0.45">
      <c r="A69" s="618"/>
      <c r="B69" s="400"/>
      <c r="C69" s="401"/>
      <c r="D69" s="402"/>
      <c r="E69" s="403"/>
      <c r="F69" s="403"/>
      <c r="G69" s="403"/>
      <c r="H69" s="403"/>
      <c r="I69" s="403"/>
      <c r="J69" s="403"/>
      <c r="K69" s="403"/>
      <c r="L69" s="403"/>
      <c r="M69" s="403"/>
      <c r="N69" s="403"/>
      <c r="O69" s="450"/>
      <c r="P69" s="1"/>
      <c r="Q69" s="1"/>
      <c r="R69" s="1"/>
      <c r="S69" s="1"/>
      <c r="T69" s="1"/>
      <c r="U69" s="1"/>
      <c r="V69" s="1"/>
      <c r="W69" s="1"/>
      <c r="X69" s="1"/>
    </row>
    <row r="70" spans="1:24" ht="14.25" customHeight="1" x14ac:dyDescent="0.45">
      <c r="A70" s="618"/>
      <c r="B70" s="400"/>
      <c r="C70" s="401"/>
      <c r="D70" s="402"/>
      <c r="E70" s="403"/>
      <c r="F70" s="403"/>
      <c r="G70" s="403"/>
      <c r="H70" s="403"/>
      <c r="I70" s="403"/>
      <c r="J70" s="403"/>
      <c r="K70" s="403"/>
      <c r="L70" s="403"/>
      <c r="M70" s="403"/>
      <c r="N70" s="403"/>
      <c r="O70" s="450"/>
      <c r="P70" s="1"/>
      <c r="Q70" s="1"/>
      <c r="R70" s="1"/>
      <c r="S70" s="1"/>
      <c r="T70" s="1"/>
      <c r="U70" s="1"/>
      <c r="V70" s="1"/>
      <c r="W70" s="1"/>
      <c r="X70" s="1"/>
    </row>
    <row r="71" spans="1:24" ht="14.25" customHeight="1" x14ac:dyDescent="0.45">
      <c r="A71" s="618"/>
      <c r="B71" s="400"/>
      <c r="C71" s="401"/>
      <c r="D71" s="402"/>
      <c r="E71" s="403"/>
      <c r="F71" s="403"/>
      <c r="G71" s="403"/>
      <c r="H71" s="403"/>
      <c r="I71" s="403"/>
      <c r="J71" s="403"/>
      <c r="K71" s="403"/>
      <c r="L71" s="403"/>
      <c r="M71" s="403"/>
      <c r="N71" s="403"/>
      <c r="O71" s="450"/>
      <c r="P71" s="1"/>
      <c r="Q71" s="1"/>
      <c r="R71" s="1"/>
      <c r="S71" s="1"/>
      <c r="T71" s="1"/>
      <c r="U71" s="1"/>
      <c r="V71" s="1"/>
      <c r="W71" s="1"/>
      <c r="X71" s="1"/>
    </row>
    <row r="72" spans="1:24" ht="14.25" customHeight="1" x14ac:dyDescent="0.45">
      <c r="A72" s="618"/>
      <c r="B72" s="400"/>
      <c r="C72" s="401"/>
      <c r="D72" s="402"/>
      <c r="E72" s="403"/>
      <c r="F72" s="403"/>
      <c r="G72" s="403"/>
      <c r="H72" s="403"/>
      <c r="I72" s="403"/>
      <c r="J72" s="403"/>
      <c r="K72" s="403"/>
      <c r="L72" s="403"/>
      <c r="M72" s="403"/>
      <c r="N72" s="403"/>
      <c r="O72" s="450"/>
      <c r="P72" s="1"/>
      <c r="Q72" s="1"/>
      <c r="R72" s="1"/>
      <c r="S72" s="1"/>
      <c r="T72" s="1"/>
      <c r="U72" s="1"/>
      <c r="V72" s="1"/>
      <c r="W72" s="1"/>
      <c r="X72" s="1"/>
    </row>
    <row r="73" spans="1:24" ht="14.25" customHeight="1" x14ac:dyDescent="0.45">
      <c r="A73" s="618"/>
      <c r="B73" s="400"/>
      <c r="C73" s="401"/>
      <c r="D73" s="402"/>
      <c r="E73" s="403"/>
      <c r="F73" s="403"/>
      <c r="G73" s="403"/>
      <c r="H73" s="403"/>
      <c r="I73" s="403"/>
      <c r="J73" s="403"/>
      <c r="K73" s="403"/>
      <c r="L73" s="403"/>
      <c r="M73" s="403"/>
      <c r="N73" s="403"/>
      <c r="O73" s="450"/>
      <c r="P73" s="1"/>
      <c r="Q73" s="1"/>
      <c r="R73" s="1"/>
      <c r="S73" s="1"/>
      <c r="T73" s="1"/>
      <c r="U73" s="1"/>
      <c r="V73" s="1"/>
      <c r="W73" s="1"/>
      <c r="X73" s="1"/>
    </row>
    <row r="74" spans="1:24" ht="14.25" customHeight="1" x14ac:dyDescent="0.45">
      <c r="A74" s="618"/>
      <c r="B74" s="400"/>
      <c r="C74" s="401"/>
      <c r="D74" s="402"/>
      <c r="E74" s="403"/>
      <c r="F74" s="403"/>
      <c r="G74" s="403"/>
      <c r="H74" s="403"/>
      <c r="I74" s="403"/>
      <c r="J74" s="403"/>
      <c r="K74" s="403"/>
      <c r="L74" s="403"/>
      <c r="M74" s="403"/>
      <c r="N74" s="403"/>
      <c r="O74" s="450"/>
      <c r="P74" s="1"/>
      <c r="Q74" s="1"/>
      <c r="R74" s="1"/>
      <c r="S74" s="1"/>
      <c r="T74" s="1"/>
      <c r="U74" s="1"/>
      <c r="V74" s="1"/>
      <c r="W74" s="1"/>
      <c r="X74" s="1"/>
    </row>
    <row r="75" spans="1:24" ht="14.25" customHeight="1" x14ac:dyDescent="0.45">
      <c r="A75" s="618"/>
      <c r="B75" s="400"/>
      <c r="C75" s="401"/>
      <c r="D75" s="402"/>
      <c r="E75" s="403"/>
      <c r="F75" s="403"/>
      <c r="G75" s="403"/>
      <c r="H75" s="403"/>
      <c r="I75" s="403"/>
      <c r="J75" s="403"/>
      <c r="K75" s="403"/>
      <c r="L75" s="403"/>
      <c r="M75" s="403"/>
      <c r="N75" s="403"/>
      <c r="O75" s="450"/>
      <c r="P75" s="1"/>
      <c r="Q75" s="1"/>
      <c r="R75" s="1"/>
      <c r="S75" s="1"/>
      <c r="T75" s="1"/>
      <c r="U75" s="1"/>
      <c r="V75" s="1"/>
      <c r="W75" s="1"/>
      <c r="X75" s="1"/>
    </row>
    <row r="76" spans="1:24" ht="14.25" customHeight="1" x14ac:dyDescent="0.45">
      <c r="A76" s="618"/>
      <c r="B76" s="400"/>
      <c r="C76" s="401"/>
      <c r="D76" s="402"/>
      <c r="E76" s="403"/>
      <c r="F76" s="403"/>
      <c r="G76" s="403"/>
      <c r="H76" s="403"/>
      <c r="I76" s="403"/>
      <c r="J76" s="403"/>
      <c r="K76" s="403"/>
      <c r="L76" s="403"/>
      <c r="M76" s="403"/>
      <c r="N76" s="403"/>
      <c r="O76" s="450"/>
      <c r="P76" s="1"/>
      <c r="Q76" s="1"/>
      <c r="R76" s="1"/>
      <c r="S76" s="1"/>
      <c r="T76" s="1"/>
      <c r="U76" s="1"/>
      <c r="V76" s="1"/>
      <c r="W76" s="1"/>
      <c r="X76" s="1"/>
    </row>
    <row r="77" spans="1:24" ht="14.25" customHeight="1" x14ac:dyDescent="0.45">
      <c r="A77" s="618"/>
      <c r="B77" s="400"/>
      <c r="C77" s="401"/>
      <c r="D77" s="402"/>
      <c r="E77" s="403"/>
      <c r="F77" s="403"/>
      <c r="G77" s="403"/>
      <c r="H77" s="403"/>
      <c r="I77" s="403"/>
      <c r="J77" s="403"/>
      <c r="K77" s="403"/>
      <c r="L77" s="403"/>
      <c r="M77" s="403"/>
      <c r="N77" s="403"/>
      <c r="O77" s="450"/>
      <c r="P77" s="1"/>
      <c r="Q77" s="1"/>
      <c r="R77" s="1"/>
      <c r="S77" s="1"/>
      <c r="T77" s="1"/>
      <c r="U77" s="1"/>
      <c r="V77" s="1"/>
      <c r="W77" s="1"/>
      <c r="X77" s="1"/>
    </row>
    <row r="78" spans="1:24" ht="14.25" customHeight="1" x14ac:dyDescent="0.45">
      <c r="A78" s="618"/>
      <c r="B78" s="400"/>
      <c r="C78" s="401"/>
      <c r="D78" s="402"/>
      <c r="E78" s="403"/>
      <c r="F78" s="403"/>
      <c r="G78" s="403"/>
      <c r="H78" s="403"/>
      <c r="I78" s="403"/>
      <c r="J78" s="403"/>
      <c r="K78" s="403"/>
      <c r="L78" s="403"/>
      <c r="M78" s="403"/>
      <c r="N78" s="403"/>
      <c r="O78" s="450"/>
      <c r="P78" s="1"/>
      <c r="Q78" s="1"/>
      <c r="R78" s="1"/>
      <c r="S78" s="1"/>
      <c r="T78" s="1"/>
      <c r="U78" s="1"/>
      <c r="V78" s="1"/>
      <c r="W78" s="1"/>
      <c r="X78" s="1"/>
    </row>
    <row r="79" spans="1:24" ht="14.25" customHeight="1" x14ac:dyDescent="0.45">
      <c r="A79" s="618"/>
      <c r="B79" s="400"/>
      <c r="C79" s="401"/>
      <c r="D79" s="402"/>
      <c r="E79" s="403"/>
      <c r="F79" s="403"/>
      <c r="G79" s="403"/>
      <c r="H79" s="403"/>
      <c r="I79" s="403"/>
      <c r="J79" s="403"/>
      <c r="K79" s="403"/>
      <c r="L79" s="403"/>
      <c r="M79" s="403"/>
      <c r="N79" s="403"/>
      <c r="O79" s="450"/>
      <c r="P79" s="1"/>
      <c r="Q79" s="1"/>
      <c r="R79" s="1"/>
      <c r="S79" s="1"/>
      <c r="T79" s="1"/>
      <c r="U79" s="1"/>
      <c r="V79" s="1"/>
      <c r="W79" s="1"/>
      <c r="X79" s="1"/>
    </row>
    <row r="80" spans="1:24" ht="14.25" customHeight="1" x14ac:dyDescent="0.45">
      <c r="A80" s="618"/>
      <c r="B80" s="400"/>
      <c r="C80" s="401"/>
      <c r="D80" s="402"/>
      <c r="E80" s="403"/>
      <c r="F80" s="403"/>
      <c r="G80" s="403"/>
      <c r="H80" s="403"/>
      <c r="I80" s="403"/>
      <c r="J80" s="403"/>
      <c r="K80" s="403"/>
      <c r="L80" s="403"/>
      <c r="M80" s="403"/>
      <c r="N80" s="403"/>
      <c r="O80" s="450"/>
      <c r="P80" s="1"/>
      <c r="Q80" s="1"/>
      <c r="R80" s="1"/>
      <c r="S80" s="1"/>
      <c r="T80" s="1"/>
      <c r="U80" s="1"/>
      <c r="V80" s="1"/>
      <c r="W80" s="1"/>
      <c r="X80" s="1"/>
    </row>
    <row r="81" spans="1:24" ht="14.25" customHeight="1" x14ac:dyDescent="0.45">
      <c r="A81" s="618"/>
      <c r="B81" s="400"/>
      <c r="C81" s="401"/>
      <c r="D81" s="402"/>
      <c r="E81" s="403"/>
      <c r="F81" s="403"/>
      <c r="G81" s="403"/>
      <c r="H81" s="403"/>
      <c r="I81" s="403"/>
      <c r="J81" s="403"/>
      <c r="K81" s="403"/>
      <c r="L81" s="403"/>
      <c r="M81" s="403"/>
      <c r="N81" s="403"/>
      <c r="O81" s="450"/>
      <c r="P81" s="1"/>
      <c r="Q81" s="1"/>
      <c r="R81" s="1"/>
      <c r="S81" s="1"/>
      <c r="T81" s="1"/>
      <c r="U81" s="1"/>
      <c r="V81" s="1"/>
      <c r="W81" s="1"/>
      <c r="X81" s="1"/>
    </row>
    <row r="82" spans="1:24" ht="14.25" customHeight="1" x14ac:dyDescent="0.45">
      <c r="A82" s="618"/>
      <c r="B82" s="400"/>
      <c r="C82" s="401"/>
      <c r="D82" s="402"/>
      <c r="E82" s="403"/>
      <c r="F82" s="403"/>
      <c r="G82" s="403"/>
      <c r="H82" s="403"/>
      <c r="I82" s="403"/>
      <c r="J82" s="403"/>
      <c r="K82" s="403"/>
      <c r="L82" s="403"/>
      <c r="M82" s="403"/>
      <c r="N82" s="403"/>
      <c r="O82" s="450"/>
      <c r="P82" s="1"/>
      <c r="Q82" s="1"/>
      <c r="R82" s="1"/>
      <c r="S82" s="1"/>
      <c r="T82" s="1"/>
      <c r="U82" s="1"/>
      <c r="V82" s="1"/>
      <c r="W82" s="1"/>
      <c r="X82" s="1"/>
    </row>
    <row r="83" spans="1:24" ht="14.25" customHeight="1" x14ac:dyDescent="0.45">
      <c r="A83" s="618"/>
      <c r="B83" s="400"/>
      <c r="C83" s="401"/>
      <c r="D83" s="402"/>
      <c r="E83" s="403"/>
      <c r="F83" s="403"/>
      <c r="G83" s="403"/>
      <c r="H83" s="403"/>
      <c r="I83" s="403"/>
      <c r="J83" s="403"/>
      <c r="K83" s="403"/>
      <c r="L83" s="403"/>
      <c r="M83" s="403"/>
      <c r="N83" s="403"/>
      <c r="O83" s="450"/>
      <c r="P83" s="1"/>
      <c r="Q83" s="1"/>
      <c r="R83" s="1"/>
      <c r="S83" s="1"/>
      <c r="T83" s="1"/>
      <c r="U83" s="1"/>
      <c r="V83" s="1"/>
      <c r="W83" s="1"/>
      <c r="X83" s="1"/>
    </row>
    <row r="84" spans="1:24" ht="14.25" customHeight="1" x14ac:dyDescent="0.45">
      <c r="A84" s="618"/>
      <c r="B84" s="400"/>
      <c r="C84" s="401"/>
      <c r="D84" s="402"/>
      <c r="E84" s="403"/>
      <c r="F84" s="403"/>
      <c r="G84" s="403"/>
      <c r="H84" s="403"/>
      <c r="I84" s="403"/>
      <c r="J84" s="403"/>
      <c r="K84" s="403"/>
      <c r="L84" s="403"/>
      <c r="M84" s="403"/>
      <c r="N84" s="403"/>
      <c r="O84" s="450"/>
      <c r="P84" s="1"/>
      <c r="Q84" s="1"/>
      <c r="R84" s="1"/>
      <c r="S84" s="1"/>
      <c r="T84" s="1"/>
      <c r="U84" s="1"/>
      <c r="V84" s="1"/>
      <c r="W84" s="1"/>
      <c r="X84" s="1"/>
    </row>
    <row r="85" spans="1:24" ht="14.25" customHeight="1" x14ac:dyDescent="0.45">
      <c r="A85" s="618"/>
      <c r="B85" s="400"/>
      <c r="C85" s="401"/>
      <c r="D85" s="402"/>
      <c r="E85" s="403"/>
      <c r="F85" s="403"/>
      <c r="G85" s="403"/>
      <c r="H85" s="403"/>
      <c r="I85" s="403"/>
      <c r="J85" s="403"/>
      <c r="K85" s="403"/>
      <c r="L85" s="403"/>
      <c r="M85" s="403"/>
      <c r="N85" s="403"/>
      <c r="O85" s="450"/>
      <c r="P85" s="1"/>
      <c r="Q85" s="1"/>
      <c r="R85" s="1"/>
      <c r="S85" s="1"/>
      <c r="T85" s="1"/>
      <c r="U85" s="1"/>
      <c r="V85" s="1"/>
      <c r="W85" s="1"/>
      <c r="X85" s="1"/>
    </row>
    <row r="86" spans="1:24" ht="14.25" customHeight="1" x14ac:dyDescent="0.45">
      <c r="A86" s="618"/>
      <c r="B86" s="400"/>
      <c r="C86" s="401"/>
      <c r="D86" s="402"/>
      <c r="E86" s="403"/>
      <c r="F86" s="403"/>
      <c r="G86" s="403"/>
      <c r="H86" s="403"/>
      <c r="I86" s="403"/>
      <c r="J86" s="403"/>
      <c r="K86" s="403"/>
      <c r="L86" s="403"/>
      <c r="M86" s="403"/>
      <c r="N86" s="403"/>
      <c r="O86" s="450"/>
      <c r="P86" s="1"/>
      <c r="Q86" s="1"/>
      <c r="R86" s="1"/>
      <c r="S86" s="1"/>
      <c r="T86" s="1"/>
      <c r="U86" s="1"/>
      <c r="V86" s="1"/>
      <c r="W86" s="1"/>
      <c r="X86" s="1"/>
    </row>
    <row r="87" spans="1:24" ht="14.25" customHeight="1" x14ac:dyDescent="0.45">
      <c r="A87" s="618"/>
      <c r="B87" s="400"/>
      <c r="C87" s="401"/>
      <c r="D87" s="402"/>
      <c r="E87" s="403"/>
      <c r="F87" s="403"/>
      <c r="G87" s="403"/>
      <c r="H87" s="403"/>
      <c r="I87" s="403"/>
      <c r="J87" s="403"/>
      <c r="K87" s="403"/>
      <c r="L87" s="403"/>
      <c r="M87" s="403"/>
      <c r="N87" s="403"/>
      <c r="O87" s="450"/>
      <c r="P87" s="1"/>
      <c r="Q87" s="1"/>
      <c r="R87" s="1"/>
      <c r="S87" s="1"/>
      <c r="T87" s="1"/>
      <c r="U87" s="1"/>
      <c r="V87" s="1"/>
      <c r="W87" s="1"/>
      <c r="X87" s="1"/>
    </row>
    <row r="88" spans="1:24" ht="14.25" customHeight="1" x14ac:dyDescent="0.45">
      <c r="A88" s="618"/>
      <c r="B88" s="400"/>
      <c r="C88" s="401"/>
      <c r="D88" s="402"/>
      <c r="E88" s="403"/>
      <c r="F88" s="403"/>
      <c r="G88" s="403"/>
      <c r="H88" s="403"/>
      <c r="I88" s="403"/>
      <c r="J88" s="403"/>
      <c r="K88" s="403"/>
      <c r="L88" s="403"/>
      <c r="M88" s="403"/>
      <c r="N88" s="403"/>
      <c r="O88" s="450"/>
      <c r="P88" s="1"/>
      <c r="Q88" s="1"/>
      <c r="R88" s="1"/>
      <c r="S88" s="1"/>
      <c r="T88" s="1"/>
      <c r="U88" s="1"/>
      <c r="V88" s="1"/>
      <c r="W88" s="1"/>
      <c r="X88" s="1"/>
    </row>
    <row r="89" spans="1:24" ht="14.25" customHeight="1" x14ac:dyDescent="0.45">
      <c r="A89" s="618"/>
      <c r="B89" s="400"/>
      <c r="C89" s="401"/>
      <c r="D89" s="402"/>
      <c r="E89" s="403"/>
      <c r="F89" s="403"/>
      <c r="G89" s="403"/>
      <c r="H89" s="403"/>
      <c r="I89" s="403"/>
      <c r="J89" s="403"/>
      <c r="K89" s="403"/>
      <c r="L89" s="403"/>
      <c r="M89" s="403"/>
      <c r="N89" s="403"/>
      <c r="O89" s="450"/>
      <c r="P89" s="1"/>
      <c r="Q89" s="1"/>
      <c r="R89" s="1"/>
      <c r="S89" s="1"/>
      <c r="T89" s="1"/>
      <c r="U89" s="1"/>
      <c r="V89" s="1"/>
      <c r="W89" s="1"/>
      <c r="X89" s="1"/>
    </row>
    <row r="90" spans="1:24" ht="14.25" customHeight="1" x14ac:dyDescent="0.45">
      <c r="A90" s="618"/>
      <c r="B90" s="400"/>
      <c r="C90" s="401"/>
      <c r="D90" s="402"/>
      <c r="E90" s="403"/>
      <c r="F90" s="403"/>
      <c r="G90" s="403"/>
      <c r="H90" s="403"/>
      <c r="I90" s="403"/>
      <c r="J90" s="403"/>
      <c r="K90" s="403"/>
      <c r="L90" s="403"/>
      <c r="M90" s="403"/>
      <c r="N90" s="403"/>
      <c r="O90" s="450"/>
      <c r="P90" s="1"/>
      <c r="Q90" s="1"/>
      <c r="R90" s="1"/>
      <c r="S90" s="1"/>
      <c r="T90" s="1"/>
      <c r="U90" s="1"/>
      <c r="V90" s="1"/>
      <c r="W90" s="1"/>
      <c r="X90" s="1"/>
    </row>
    <row r="91" spans="1:24" ht="14.25" customHeight="1" x14ac:dyDescent="0.45">
      <c r="A91" s="618"/>
      <c r="B91" s="400"/>
      <c r="C91" s="401"/>
      <c r="D91" s="402"/>
      <c r="E91" s="403"/>
      <c r="F91" s="403"/>
      <c r="G91" s="403"/>
      <c r="H91" s="403"/>
      <c r="I91" s="403"/>
      <c r="J91" s="403"/>
      <c r="K91" s="403"/>
      <c r="L91" s="403"/>
      <c r="M91" s="403"/>
      <c r="N91" s="403"/>
      <c r="O91" s="450"/>
      <c r="P91" s="1"/>
      <c r="Q91" s="1"/>
      <c r="R91" s="1"/>
      <c r="S91" s="1"/>
      <c r="T91" s="1"/>
      <c r="U91" s="1"/>
      <c r="V91" s="1"/>
      <c r="W91" s="1"/>
      <c r="X91" s="1"/>
    </row>
    <row r="92" spans="1:24" ht="14.25" customHeight="1" x14ac:dyDescent="0.45">
      <c r="A92" s="618"/>
      <c r="B92" s="400"/>
      <c r="C92" s="401"/>
      <c r="D92" s="402"/>
      <c r="E92" s="403"/>
      <c r="F92" s="403"/>
      <c r="G92" s="403"/>
      <c r="H92" s="403"/>
      <c r="I92" s="403"/>
      <c r="J92" s="403"/>
      <c r="K92" s="403"/>
      <c r="L92" s="403"/>
      <c r="M92" s="403"/>
      <c r="N92" s="403"/>
      <c r="O92" s="450"/>
      <c r="P92" s="1"/>
      <c r="Q92" s="1"/>
      <c r="R92" s="1"/>
      <c r="S92" s="1"/>
      <c r="T92" s="1"/>
      <c r="U92" s="1"/>
      <c r="V92" s="1"/>
      <c r="W92" s="1"/>
      <c r="X92" s="1"/>
    </row>
    <row r="93" spans="1:24" ht="14.25" customHeight="1" x14ac:dyDescent="0.45">
      <c r="A93" s="618"/>
      <c r="B93" s="400"/>
      <c r="C93" s="401"/>
      <c r="D93" s="402"/>
      <c r="E93" s="403"/>
      <c r="F93" s="403"/>
      <c r="G93" s="403"/>
      <c r="H93" s="403"/>
      <c r="I93" s="403"/>
      <c r="J93" s="403"/>
      <c r="K93" s="403"/>
      <c r="L93" s="403"/>
      <c r="M93" s="403"/>
      <c r="N93" s="403"/>
      <c r="O93" s="450"/>
      <c r="P93" s="1"/>
      <c r="Q93" s="1"/>
      <c r="R93" s="1"/>
      <c r="S93" s="1"/>
      <c r="T93" s="1"/>
      <c r="U93" s="1"/>
      <c r="V93" s="1"/>
      <c r="W93" s="1"/>
      <c r="X93" s="1"/>
    </row>
    <row r="94" spans="1:24" ht="14.25" customHeight="1" x14ac:dyDescent="0.45">
      <c r="A94" s="618"/>
      <c r="B94" s="400"/>
      <c r="C94" s="401"/>
      <c r="D94" s="402"/>
      <c r="E94" s="403"/>
      <c r="F94" s="403"/>
      <c r="G94" s="403"/>
      <c r="H94" s="403"/>
      <c r="I94" s="403"/>
      <c r="J94" s="403"/>
      <c r="K94" s="403"/>
      <c r="L94" s="403"/>
      <c r="M94" s="403"/>
      <c r="N94" s="403"/>
      <c r="O94" s="450"/>
      <c r="P94" s="1"/>
      <c r="Q94" s="1"/>
      <c r="R94" s="1"/>
      <c r="S94" s="1"/>
      <c r="T94" s="1"/>
      <c r="U94" s="1"/>
      <c r="V94" s="1"/>
      <c r="W94" s="1"/>
      <c r="X94" s="1"/>
    </row>
    <row r="95" spans="1:24" ht="14.25" customHeight="1" x14ac:dyDescent="0.45">
      <c r="A95" s="618"/>
      <c r="B95" s="400"/>
      <c r="C95" s="401"/>
      <c r="D95" s="402"/>
      <c r="E95" s="403"/>
      <c r="F95" s="403"/>
      <c r="G95" s="403"/>
      <c r="H95" s="403"/>
      <c r="I95" s="403"/>
      <c r="J95" s="403"/>
      <c r="K95" s="403"/>
      <c r="L95" s="403"/>
      <c r="M95" s="403"/>
      <c r="N95" s="403"/>
      <c r="O95" s="450"/>
      <c r="P95" s="1"/>
      <c r="Q95" s="1"/>
      <c r="R95" s="1"/>
      <c r="S95" s="1"/>
      <c r="T95" s="1"/>
      <c r="U95" s="1"/>
      <c r="V95" s="1"/>
      <c r="W95" s="1"/>
      <c r="X95" s="1"/>
    </row>
    <row r="96" spans="1:24" ht="14.25" customHeight="1" x14ac:dyDescent="0.45">
      <c r="A96" s="618"/>
      <c r="B96" s="400"/>
      <c r="C96" s="401"/>
      <c r="D96" s="402"/>
      <c r="E96" s="403"/>
      <c r="F96" s="403"/>
      <c r="G96" s="403"/>
      <c r="H96" s="403"/>
      <c r="I96" s="403"/>
      <c r="J96" s="403"/>
      <c r="K96" s="403"/>
      <c r="L96" s="403"/>
      <c r="M96" s="403"/>
      <c r="N96" s="403"/>
      <c r="O96" s="450"/>
      <c r="P96" s="1"/>
      <c r="Q96" s="1"/>
      <c r="R96" s="1"/>
      <c r="S96" s="1"/>
      <c r="T96" s="1"/>
      <c r="U96" s="1"/>
      <c r="V96" s="1"/>
      <c r="W96" s="1"/>
      <c r="X96" s="1"/>
    </row>
    <row r="97" spans="1:24" ht="14.25" customHeight="1" x14ac:dyDescent="0.45">
      <c r="A97" s="618"/>
      <c r="B97" s="400"/>
      <c r="C97" s="401"/>
      <c r="D97" s="402"/>
      <c r="E97" s="403"/>
      <c r="F97" s="403"/>
      <c r="G97" s="403"/>
      <c r="H97" s="403"/>
      <c r="I97" s="403"/>
      <c r="J97" s="403"/>
      <c r="K97" s="403"/>
      <c r="L97" s="403"/>
      <c r="M97" s="403"/>
      <c r="N97" s="403"/>
      <c r="O97" s="450"/>
      <c r="P97" s="1"/>
      <c r="Q97" s="1"/>
      <c r="R97" s="1"/>
      <c r="S97" s="1"/>
      <c r="T97" s="1"/>
      <c r="U97" s="1"/>
      <c r="V97" s="1"/>
      <c r="W97" s="1"/>
      <c r="X97" s="1"/>
    </row>
    <row r="98" spans="1:24" ht="14.25" customHeight="1" x14ac:dyDescent="0.45">
      <c r="A98" s="618"/>
      <c r="B98" s="400"/>
      <c r="C98" s="401"/>
      <c r="D98" s="402"/>
      <c r="E98" s="403"/>
      <c r="F98" s="403"/>
      <c r="G98" s="403"/>
      <c r="H98" s="403"/>
      <c r="I98" s="403"/>
      <c r="J98" s="403"/>
      <c r="K98" s="403"/>
      <c r="L98" s="403"/>
      <c r="M98" s="403"/>
      <c r="N98" s="403"/>
      <c r="O98" s="450"/>
      <c r="P98" s="1"/>
      <c r="Q98" s="1"/>
      <c r="R98" s="1"/>
      <c r="S98" s="1"/>
      <c r="T98" s="1"/>
      <c r="U98" s="1"/>
      <c r="V98" s="1"/>
      <c r="W98" s="1"/>
      <c r="X98" s="1"/>
    </row>
    <row r="99" spans="1:24" ht="14.25" customHeight="1" x14ac:dyDescent="0.45">
      <c r="A99" s="618"/>
      <c r="B99" s="400"/>
      <c r="C99" s="401"/>
      <c r="D99" s="402"/>
      <c r="E99" s="403"/>
      <c r="F99" s="403"/>
      <c r="G99" s="403"/>
      <c r="H99" s="403"/>
      <c r="I99" s="403"/>
      <c r="J99" s="403"/>
      <c r="K99" s="403"/>
      <c r="L99" s="403"/>
      <c r="M99" s="403"/>
      <c r="N99" s="403"/>
      <c r="O99" s="450"/>
      <c r="P99" s="1"/>
      <c r="Q99" s="1"/>
      <c r="R99" s="1"/>
      <c r="S99" s="1"/>
      <c r="T99" s="1"/>
      <c r="U99" s="1"/>
      <c r="V99" s="1"/>
      <c r="W99" s="1"/>
      <c r="X99" s="1"/>
    </row>
    <row r="100" spans="1:24" ht="14.25" customHeight="1" x14ac:dyDescent="0.45">
      <c r="A100" s="618"/>
      <c r="B100" s="400"/>
      <c r="C100" s="401"/>
      <c r="D100" s="402"/>
      <c r="E100" s="403"/>
      <c r="F100" s="403"/>
      <c r="G100" s="403"/>
      <c r="H100" s="403"/>
      <c r="I100" s="403"/>
      <c r="J100" s="403"/>
      <c r="K100" s="403"/>
      <c r="L100" s="403"/>
      <c r="M100" s="403"/>
      <c r="N100" s="403"/>
      <c r="O100" s="450"/>
      <c r="P100" s="1"/>
      <c r="Q100" s="1"/>
      <c r="R100" s="1"/>
      <c r="S100" s="1"/>
      <c r="T100" s="1"/>
      <c r="U100" s="1"/>
      <c r="V100" s="1"/>
      <c r="W100" s="1"/>
      <c r="X100" s="1"/>
    </row>
    <row r="101" spans="1:24" ht="14.25" customHeight="1" x14ac:dyDescent="0.45">
      <c r="A101" s="618"/>
      <c r="B101" s="400"/>
      <c r="C101" s="401"/>
      <c r="D101" s="402"/>
      <c r="E101" s="403"/>
      <c r="F101" s="403"/>
      <c r="G101" s="403"/>
      <c r="H101" s="403"/>
      <c r="I101" s="403"/>
      <c r="J101" s="403"/>
      <c r="K101" s="403"/>
      <c r="L101" s="403"/>
      <c r="M101" s="403"/>
      <c r="N101" s="403"/>
      <c r="O101" s="450"/>
      <c r="P101" s="1"/>
      <c r="Q101" s="1"/>
      <c r="R101" s="1"/>
      <c r="S101" s="1"/>
      <c r="T101" s="1"/>
      <c r="U101" s="1"/>
      <c r="V101" s="1"/>
      <c r="W101" s="1"/>
      <c r="X101" s="1"/>
    </row>
    <row r="102" spans="1:24" ht="14.25" customHeight="1" x14ac:dyDescent="0.45">
      <c r="A102" s="618"/>
      <c r="B102" s="400"/>
      <c r="C102" s="401"/>
      <c r="D102" s="402"/>
      <c r="E102" s="403"/>
      <c r="F102" s="403"/>
      <c r="G102" s="403"/>
      <c r="H102" s="403"/>
      <c r="I102" s="403"/>
      <c r="J102" s="403"/>
      <c r="K102" s="403"/>
      <c r="L102" s="403"/>
      <c r="M102" s="403"/>
      <c r="N102" s="403"/>
      <c r="O102" s="450"/>
      <c r="P102" s="1"/>
      <c r="Q102" s="1"/>
      <c r="R102" s="1"/>
      <c r="S102" s="1"/>
      <c r="T102" s="1"/>
      <c r="U102" s="1"/>
      <c r="V102" s="1"/>
      <c r="W102" s="1"/>
      <c r="X102" s="1"/>
    </row>
    <row r="103" spans="1:24" ht="14.25" customHeight="1" x14ac:dyDescent="0.45">
      <c r="A103" s="618"/>
      <c r="B103" s="400"/>
      <c r="C103" s="401"/>
      <c r="D103" s="402"/>
      <c r="E103" s="403"/>
      <c r="F103" s="403"/>
      <c r="G103" s="403"/>
      <c r="H103" s="403"/>
      <c r="I103" s="403"/>
      <c r="J103" s="403"/>
      <c r="K103" s="403"/>
      <c r="L103" s="403"/>
      <c r="M103" s="403"/>
      <c r="N103" s="403"/>
      <c r="O103" s="450"/>
      <c r="P103" s="1"/>
      <c r="Q103" s="1"/>
      <c r="R103" s="1"/>
      <c r="S103" s="1"/>
      <c r="T103" s="1"/>
      <c r="U103" s="1"/>
      <c r="V103" s="1"/>
      <c r="W103" s="1"/>
      <c r="X103" s="1"/>
    </row>
    <row r="104" spans="1:24" ht="14.25" customHeight="1" x14ac:dyDescent="0.45">
      <c r="A104" s="618"/>
      <c r="B104" s="400"/>
      <c r="C104" s="401"/>
      <c r="D104" s="402"/>
      <c r="E104" s="403"/>
      <c r="F104" s="403"/>
      <c r="G104" s="403"/>
      <c r="H104" s="403"/>
      <c r="I104" s="403"/>
      <c r="J104" s="403"/>
      <c r="K104" s="403"/>
      <c r="L104" s="403"/>
      <c r="M104" s="403"/>
      <c r="N104" s="403"/>
      <c r="O104" s="450"/>
      <c r="P104" s="1"/>
      <c r="Q104" s="1"/>
      <c r="R104" s="1"/>
      <c r="S104" s="1"/>
      <c r="T104" s="1"/>
      <c r="U104" s="1"/>
      <c r="V104" s="1"/>
      <c r="W104" s="1"/>
      <c r="X104" s="1"/>
    </row>
    <row r="105" spans="1:24" ht="14.25" customHeight="1" x14ac:dyDescent="0.45">
      <c r="A105" s="618"/>
      <c r="B105" s="400"/>
      <c r="C105" s="401"/>
      <c r="D105" s="402"/>
      <c r="E105" s="403"/>
      <c r="F105" s="403"/>
      <c r="G105" s="403"/>
      <c r="H105" s="403"/>
      <c r="I105" s="403"/>
      <c r="J105" s="403"/>
      <c r="K105" s="403"/>
      <c r="L105" s="403"/>
      <c r="M105" s="403"/>
      <c r="N105" s="403"/>
      <c r="O105" s="450"/>
      <c r="P105" s="1"/>
      <c r="Q105" s="1"/>
      <c r="R105" s="1"/>
      <c r="S105" s="1"/>
      <c r="T105" s="1"/>
      <c r="U105" s="1"/>
      <c r="V105" s="1"/>
      <c r="W105" s="1"/>
      <c r="X105" s="1"/>
    </row>
    <row r="106" spans="1:24" ht="14.25" customHeight="1" x14ac:dyDescent="0.45">
      <c r="A106" s="618"/>
      <c r="B106" s="400"/>
      <c r="C106" s="401"/>
      <c r="D106" s="402"/>
      <c r="E106" s="403"/>
      <c r="F106" s="403"/>
      <c r="G106" s="403"/>
      <c r="H106" s="403"/>
      <c r="I106" s="403"/>
      <c r="J106" s="403"/>
      <c r="K106" s="403"/>
      <c r="L106" s="403"/>
      <c r="M106" s="403"/>
      <c r="N106" s="403"/>
      <c r="O106" s="450"/>
      <c r="P106" s="1"/>
      <c r="Q106" s="1"/>
      <c r="R106" s="1"/>
      <c r="S106" s="1"/>
      <c r="T106" s="1"/>
      <c r="U106" s="1"/>
      <c r="V106" s="1"/>
      <c r="W106" s="1"/>
      <c r="X106" s="1"/>
    </row>
    <row r="107" spans="1:24" ht="14.25" customHeight="1" x14ac:dyDescent="0.45">
      <c r="A107" s="618"/>
      <c r="B107" s="400"/>
      <c r="C107" s="401"/>
      <c r="D107" s="402"/>
      <c r="E107" s="403"/>
      <c r="F107" s="403"/>
      <c r="G107" s="403"/>
      <c r="H107" s="403"/>
      <c r="I107" s="403"/>
      <c r="J107" s="403"/>
      <c r="K107" s="403"/>
      <c r="L107" s="403"/>
      <c r="M107" s="403"/>
      <c r="N107" s="403"/>
      <c r="O107" s="450"/>
      <c r="P107" s="1"/>
      <c r="Q107" s="1"/>
      <c r="R107" s="1"/>
      <c r="S107" s="1"/>
      <c r="T107" s="1"/>
      <c r="U107" s="1"/>
      <c r="V107" s="1"/>
      <c r="W107" s="1"/>
      <c r="X107" s="1"/>
    </row>
    <row r="108" spans="1:24" ht="14.25" customHeight="1" x14ac:dyDescent="0.45">
      <c r="A108" s="618"/>
      <c r="B108" s="400"/>
      <c r="C108" s="401"/>
      <c r="D108" s="402"/>
      <c r="E108" s="403"/>
      <c r="F108" s="403"/>
      <c r="G108" s="403"/>
      <c r="H108" s="403"/>
      <c r="I108" s="403"/>
      <c r="J108" s="403"/>
      <c r="K108" s="403"/>
      <c r="L108" s="403"/>
      <c r="M108" s="403"/>
      <c r="N108" s="403"/>
      <c r="O108" s="450"/>
      <c r="P108" s="1"/>
      <c r="Q108" s="1"/>
      <c r="R108" s="1"/>
      <c r="S108" s="1"/>
      <c r="T108" s="1"/>
      <c r="U108" s="1"/>
      <c r="V108" s="1"/>
      <c r="W108" s="1"/>
      <c r="X108" s="1"/>
    </row>
    <row r="109" spans="1:24" ht="14.25" customHeight="1" x14ac:dyDescent="0.45">
      <c r="A109" s="618"/>
      <c r="B109" s="400"/>
      <c r="C109" s="401"/>
      <c r="D109" s="402"/>
      <c r="E109" s="403"/>
      <c r="F109" s="403"/>
      <c r="G109" s="403"/>
      <c r="H109" s="403"/>
      <c r="I109" s="403"/>
      <c r="J109" s="403"/>
      <c r="K109" s="403"/>
      <c r="L109" s="403"/>
      <c r="M109" s="403"/>
      <c r="N109" s="403"/>
      <c r="O109" s="450"/>
      <c r="P109" s="1"/>
      <c r="Q109" s="1"/>
      <c r="R109" s="1"/>
      <c r="S109" s="1"/>
      <c r="T109" s="1"/>
      <c r="U109" s="1"/>
      <c r="V109" s="1"/>
      <c r="W109" s="1"/>
      <c r="X109" s="1"/>
    </row>
    <row r="110" spans="1:24" ht="14.25" customHeight="1" x14ac:dyDescent="0.45">
      <c r="A110" s="618"/>
      <c r="B110" s="400"/>
      <c r="C110" s="401"/>
      <c r="D110" s="402"/>
      <c r="E110" s="403"/>
      <c r="F110" s="403"/>
      <c r="G110" s="403"/>
      <c r="H110" s="403"/>
      <c r="I110" s="403"/>
      <c r="J110" s="403"/>
      <c r="K110" s="403"/>
      <c r="L110" s="403"/>
      <c r="M110" s="403"/>
      <c r="N110" s="403"/>
      <c r="O110" s="450"/>
      <c r="P110" s="1"/>
      <c r="Q110" s="1"/>
      <c r="R110" s="1"/>
      <c r="S110" s="1"/>
      <c r="T110" s="1"/>
      <c r="U110" s="1"/>
      <c r="V110" s="1"/>
      <c r="W110" s="1"/>
      <c r="X110" s="1"/>
    </row>
    <row r="111" spans="1:24" ht="14.25" customHeight="1" x14ac:dyDescent="0.45">
      <c r="A111" s="618"/>
      <c r="B111" s="400"/>
      <c r="C111" s="401"/>
      <c r="D111" s="402"/>
      <c r="E111" s="403"/>
      <c r="F111" s="403"/>
      <c r="G111" s="403"/>
      <c r="H111" s="403"/>
      <c r="I111" s="403"/>
      <c r="J111" s="403"/>
      <c r="K111" s="403"/>
      <c r="L111" s="403"/>
      <c r="M111" s="403"/>
      <c r="N111" s="403"/>
      <c r="O111" s="450"/>
      <c r="P111" s="1"/>
      <c r="Q111" s="1"/>
      <c r="R111" s="1"/>
      <c r="S111" s="1"/>
      <c r="T111" s="1"/>
      <c r="U111" s="1"/>
      <c r="V111" s="1"/>
      <c r="W111" s="1"/>
      <c r="X111" s="1"/>
    </row>
    <row r="112" spans="1:24" ht="14.25" customHeight="1" x14ac:dyDescent="0.45">
      <c r="A112" s="618"/>
      <c r="B112" s="400"/>
      <c r="C112" s="401"/>
      <c r="D112" s="402"/>
      <c r="E112" s="403"/>
      <c r="F112" s="403"/>
      <c r="G112" s="403"/>
      <c r="H112" s="403"/>
      <c r="I112" s="403"/>
      <c r="J112" s="403"/>
      <c r="K112" s="403"/>
      <c r="L112" s="403"/>
      <c r="M112" s="403"/>
      <c r="N112" s="403"/>
      <c r="O112" s="450"/>
      <c r="P112" s="1"/>
      <c r="Q112" s="1"/>
      <c r="R112" s="1"/>
      <c r="S112" s="1"/>
      <c r="T112" s="1"/>
      <c r="U112" s="1"/>
      <c r="V112" s="1"/>
      <c r="W112" s="1"/>
      <c r="X112" s="1"/>
    </row>
    <row r="113" spans="1:24" ht="14.25" customHeight="1" x14ac:dyDescent="0.45">
      <c r="A113" s="618"/>
      <c r="B113" s="400"/>
      <c r="C113" s="401"/>
      <c r="D113" s="402"/>
      <c r="E113" s="403"/>
      <c r="F113" s="403"/>
      <c r="G113" s="403"/>
      <c r="H113" s="403"/>
      <c r="I113" s="403"/>
      <c r="J113" s="403"/>
      <c r="K113" s="403"/>
      <c r="L113" s="403"/>
      <c r="M113" s="403"/>
      <c r="N113" s="403"/>
      <c r="O113" s="450"/>
      <c r="P113" s="1"/>
      <c r="Q113" s="1"/>
      <c r="R113" s="1"/>
      <c r="S113" s="1"/>
      <c r="T113" s="1"/>
      <c r="U113" s="1"/>
      <c r="V113" s="1"/>
      <c r="W113" s="1"/>
      <c r="X113" s="1"/>
    </row>
    <row r="114" spans="1:24" ht="14.25" customHeight="1" x14ac:dyDescent="0.45">
      <c r="A114" s="618"/>
      <c r="B114" s="400"/>
      <c r="C114" s="401"/>
      <c r="D114" s="402"/>
      <c r="E114" s="403"/>
      <c r="F114" s="403"/>
      <c r="G114" s="403"/>
      <c r="H114" s="403"/>
      <c r="I114" s="403"/>
      <c r="J114" s="403"/>
      <c r="K114" s="403"/>
      <c r="L114" s="403"/>
      <c r="M114" s="403"/>
      <c r="N114" s="403"/>
      <c r="O114" s="450"/>
      <c r="P114" s="1"/>
      <c r="Q114" s="1"/>
      <c r="R114" s="1"/>
      <c r="S114" s="1"/>
      <c r="T114" s="1"/>
      <c r="U114" s="1"/>
      <c r="V114" s="1"/>
      <c r="W114" s="1"/>
      <c r="X114" s="1"/>
    </row>
    <row r="115" spans="1:24" ht="14.25" customHeight="1" x14ac:dyDescent="0.45">
      <c r="A115" s="618"/>
      <c r="B115" s="400"/>
      <c r="C115" s="401"/>
      <c r="D115" s="402"/>
      <c r="E115" s="403"/>
      <c r="F115" s="403"/>
      <c r="G115" s="403"/>
      <c r="H115" s="403"/>
      <c r="I115" s="403"/>
      <c r="J115" s="403"/>
      <c r="K115" s="403"/>
      <c r="L115" s="403"/>
      <c r="M115" s="403"/>
      <c r="N115" s="403"/>
      <c r="O115" s="450"/>
      <c r="P115" s="1"/>
      <c r="Q115" s="1"/>
      <c r="R115" s="1"/>
      <c r="S115" s="1"/>
      <c r="T115" s="1"/>
      <c r="U115" s="1"/>
      <c r="V115" s="1"/>
      <c r="W115" s="1"/>
      <c r="X115" s="1"/>
    </row>
    <row r="116" spans="1:24" ht="14.25" customHeight="1" x14ac:dyDescent="0.45">
      <c r="A116" s="618"/>
      <c r="B116" s="400"/>
      <c r="C116" s="401"/>
      <c r="D116" s="402"/>
      <c r="E116" s="403"/>
      <c r="F116" s="403"/>
      <c r="G116" s="403"/>
      <c r="H116" s="403"/>
      <c r="I116" s="403"/>
      <c r="J116" s="403"/>
      <c r="K116" s="403"/>
      <c r="L116" s="403"/>
      <c r="M116" s="403"/>
      <c r="N116" s="403"/>
      <c r="O116" s="450"/>
      <c r="P116" s="1"/>
      <c r="Q116" s="1"/>
      <c r="R116" s="1"/>
      <c r="S116" s="1"/>
      <c r="T116" s="1"/>
      <c r="U116" s="1"/>
      <c r="V116" s="1"/>
      <c r="W116" s="1"/>
      <c r="X116" s="1"/>
    </row>
    <row r="117" spans="1:24" ht="14.25" customHeight="1" x14ac:dyDescent="0.45">
      <c r="A117" s="618"/>
      <c r="B117" s="400"/>
      <c r="C117" s="401"/>
      <c r="D117" s="402"/>
      <c r="E117" s="403"/>
      <c r="F117" s="403"/>
      <c r="G117" s="403"/>
      <c r="H117" s="403"/>
      <c r="I117" s="403"/>
      <c r="J117" s="403"/>
      <c r="K117" s="403"/>
      <c r="L117" s="403"/>
      <c r="M117" s="403"/>
      <c r="N117" s="403"/>
      <c r="O117" s="450"/>
      <c r="P117" s="1"/>
      <c r="Q117" s="1"/>
      <c r="R117" s="1"/>
      <c r="S117" s="1"/>
      <c r="T117" s="1"/>
      <c r="U117" s="1"/>
      <c r="V117" s="1"/>
      <c r="W117" s="1"/>
      <c r="X117" s="1"/>
    </row>
    <row r="118" spans="1:24" ht="14.25" customHeight="1" x14ac:dyDescent="0.45">
      <c r="A118" s="618"/>
      <c r="B118" s="400"/>
      <c r="C118" s="401"/>
      <c r="D118" s="402"/>
      <c r="E118" s="403"/>
      <c r="F118" s="403"/>
      <c r="G118" s="403"/>
      <c r="H118" s="403"/>
      <c r="I118" s="403"/>
      <c r="J118" s="403"/>
      <c r="K118" s="403"/>
      <c r="L118" s="403"/>
      <c r="M118" s="403"/>
      <c r="N118" s="403"/>
      <c r="O118" s="450"/>
      <c r="P118" s="1"/>
      <c r="Q118" s="1"/>
      <c r="R118" s="1"/>
      <c r="S118" s="1"/>
      <c r="T118" s="1"/>
      <c r="U118" s="1"/>
      <c r="V118" s="1"/>
      <c r="W118" s="1"/>
      <c r="X118" s="1"/>
    </row>
    <row r="119" spans="1:24" ht="14.25" customHeight="1" x14ac:dyDescent="0.45">
      <c r="A119" s="618"/>
      <c r="B119" s="400"/>
      <c r="C119" s="401"/>
      <c r="D119" s="402"/>
      <c r="E119" s="403"/>
      <c r="F119" s="403"/>
      <c r="G119" s="403"/>
      <c r="H119" s="403"/>
      <c r="I119" s="403"/>
      <c r="J119" s="403"/>
      <c r="K119" s="403"/>
      <c r="L119" s="403"/>
      <c r="M119" s="403"/>
      <c r="N119" s="403"/>
      <c r="O119" s="450"/>
      <c r="P119" s="1"/>
      <c r="Q119" s="1"/>
      <c r="R119" s="1"/>
      <c r="S119" s="1"/>
      <c r="T119" s="1"/>
      <c r="U119" s="1"/>
      <c r="V119" s="1"/>
      <c r="W119" s="1"/>
      <c r="X119" s="1"/>
    </row>
    <row r="120" spans="1:24" ht="14.25" customHeight="1" x14ac:dyDescent="0.45">
      <c r="A120" s="618"/>
      <c r="B120" s="400"/>
      <c r="C120" s="401"/>
      <c r="D120" s="402"/>
      <c r="E120" s="403"/>
      <c r="F120" s="403"/>
      <c r="G120" s="403"/>
      <c r="H120" s="403"/>
      <c r="I120" s="403"/>
      <c r="J120" s="403"/>
      <c r="K120" s="403"/>
      <c r="L120" s="403"/>
      <c r="M120" s="403"/>
      <c r="N120" s="403"/>
      <c r="O120" s="450"/>
      <c r="P120" s="1"/>
      <c r="Q120" s="1"/>
      <c r="R120" s="1"/>
      <c r="S120" s="1"/>
      <c r="T120" s="1"/>
      <c r="U120" s="1"/>
      <c r="V120" s="1"/>
      <c r="W120" s="1"/>
      <c r="X120" s="1"/>
    </row>
    <row r="121" spans="1:24" ht="14.25" customHeight="1" x14ac:dyDescent="0.45">
      <c r="A121" s="618"/>
      <c r="B121" s="400"/>
      <c r="C121" s="401"/>
      <c r="D121" s="402"/>
      <c r="E121" s="403"/>
      <c r="F121" s="403"/>
      <c r="G121" s="403"/>
      <c r="H121" s="403"/>
      <c r="I121" s="403"/>
      <c r="J121" s="403"/>
      <c r="K121" s="403"/>
      <c r="L121" s="403"/>
      <c r="M121" s="403"/>
      <c r="N121" s="403"/>
      <c r="O121" s="450"/>
      <c r="P121" s="1"/>
      <c r="Q121" s="1"/>
      <c r="R121" s="1"/>
      <c r="S121" s="1"/>
      <c r="T121" s="1"/>
      <c r="U121" s="1"/>
      <c r="V121" s="1"/>
      <c r="W121" s="1"/>
      <c r="X121" s="1"/>
    </row>
    <row r="122" spans="1:24" ht="14.25" customHeight="1" x14ac:dyDescent="0.45">
      <c r="A122" s="618"/>
      <c r="B122" s="400"/>
      <c r="C122" s="401"/>
      <c r="D122" s="402"/>
      <c r="E122" s="403"/>
      <c r="F122" s="403"/>
      <c r="G122" s="403"/>
      <c r="H122" s="403"/>
      <c r="I122" s="403"/>
      <c r="J122" s="403"/>
      <c r="K122" s="403"/>
      <c r="L122" s="403"/>
      <c r="M122" s="403"/>
      <c r="N122" s="403"/>
      <c r="O122" s="450"/>
      <c r="P122" s="1"/>
      <c r="Q122" s="1"/>
      <c r="R122" s="1"/>
      <c r="S122" s="1"/>
      <c r="T122" s="1"/>
      <c r="U122" s="1"/>
      <c r="V122" s="1"/>
      <c r="W122" s="1"/>
      <c r="X122" s="1"/>
    </row>
    <row r="123" spans="1:24" ht="14.25" customHeight="1" x14ac:dyDescent="0.45">
      <c r="A123" s="618"/>
      <c r="B123" s="400"/>
      <c r="C123" s="401"/>
      <c r="D123" s="402"/>
      <c r="E123" s="403"/>
      <c r="F123" s="403"/>
      <c r="G123" s="403"/>
      <c r="H123" s="403"/>
      <c r="I123" s="403"/>
      <c r="J123" s="403"/>
      <c r="K123" s="403"/>
      <c r="L123" s="403"/>
      <c r="M123" s="403"/>
      <c r="N123" s="403"/>
      <c r="O123" s="450"/>
      <c r="P123" s="1"/>
      <c r="Q123" s="1"/>
      <c r="R123" s="1"/>
      <c r="S123" s="1"/>
      <c r="T123" s="1"/>
      <c r="U123" s="1"/>
      <c r="V123" s="1"/>
      <c r="W123" s="1"/>
      <c r="X123" s="1"/>
    </row>
    <row r="124" spans="1:24" ht="14.25" customHeight="1" x14ac:dyDescent="0.45">
      <c r="A124" s="618"/>
      <c r="B124" s="400"/>
      <c r="C124" s="401"/>
      <c r="D124" s="402"/>
      <c r="E124" s="403"/>
      <c r="F124" s="403"/>
      <c r="G124" s="403"/>
      <c r="H124" s="403"/>
      <c r="I124" s="403"/>
      <c r="J124" s="403"/>
      <c r="K124" s="403"/>
      <c r="L124" s="403"/>
      <c r="M124" s="403"/>
      <c r="N124" s="403"/>
      <c r="O124" s="450"/>
      <c r="P124" s="1"/>
      <c r="Q124" s="1"/>
      <c r="R124" s="1"/>
      <c r="S124" s="1"/>
      <c r="T124" s="1"/>
      <c r="U124" s="1"/>
      <c r="V124" s="1"/>
      <c r="W124" s="1"/>
      <c r="X124" s="1"/>
    </row>
    <row r="125" spans="1:24" ht="14.25" customHeight="1" x14ac:dyDescent="0.45">
      <c r="A125" s="618"/>
      <c r="B125" s="400"/>
      <c r="C125" s="401"/>
      <c r="D125" s="402"/>
      <c r="E125" s="403"/>
      <c r="F125" s="403"/>
      <c r="G125" s="403"/>
      <c r="H125" s="403"/>
      <c r="I125" s="403"/>
      <c r="J125" s="403"/>
      <c r="K125" s="403"/>
      <c r="L125" s="403"/>
      <c r="M125" s="403"/>
      <c r="N125" s="403"/>
      <c r="O125" s="450"/>
      <c r="P125" s="1"/>
      <c r="Q125" s="1"/>
      <c r="R125" s="1"/>
      <c r="S125" s="1"/>
      <c r="T125" s="1"/>
      <c r="U125" s="1"/>
      <c r="V125" s="1"/>
      <c r="W125" s="1"/>
      <c r="X125" s="1"/>
    </row>
    <row r="126" spans="1:24" ht="14.25" customHeight="1" x14ac:dyDescent="0.45">
      <c r="A126" s="618"/>
      <c r="B126" s="400"/>
      <c r="C126" s="401"/>
      <c r="D126" s="402"/>
      <c r="E126" s="403"/>
      <c r="F126" s="403"/>
      <c r="G126" s="403"/>
      <c r="H126" s="403"/>
      <c r="I126" s="403"/>
      <c r="J126" s="403"/>
      <c r="K126" s="403"/>
      <c r="L126" s="403"/>
      <c r="M126" s="403"/>
      <c r="N126" s="403"/>
      <c r="O126" s="450"/>
      <c r="P126" s="1"/>
      <c r="Q126" s="1"/>
      <c r="R126" s="1"/>
      <c r="S126" s="1"/>
      <c r="T126" s="1"/>
      <c r="U126" s="1"/>
      <c r="V126" s="1"/>
      <c r="W126" s="1"/>
      <c r="X126" s="1"/>
    </row>
    <row r="127" spans="1:24" ht="14.25" customHeight="1" x14ac:dyDescent="0.45">
      <c r="A127" s="618"/>
      <c r="B127" s="400"/>
      <c r="C127" s="401"/>
      <c r="D127" s="402"/>
      <c r="E127" s="403"/>
      <c r="F127" s="403"/>
      <c r="G127" s="403"/>
      <c r="H127" s="403"/>
      <c r="I127" s="403"/>
      <c r="J127" s="403"/>
      <c r="K127" s="403"/>
      <c r="L127" s="403"/>
      <c r="M127" s="403"/>
      <c r="N127" s="403"/>
      <c r="O127" s="450"/>
      <c r="P127" s="1"/>
      <c r="Q127" s="1"/>
      <c r="R127" s="1"/>
      <c r="S127" s="1"/>
      <c r="T127" s="1"/>
      <c r="U127" s="1"/>
      <c r="V127" s="1"/>
      <c r="W127" s="1"/>
      <c r="X127" s="1"/>
    </row>
    <row r="128" spans="1:24" ht="14.25" customHeight="1" x14ac:dyDescent="0.45">
      <c r="A128" s="618"/>
      <c r="B128" s="400"/>
      <c r="C128" s="401"/>
      <c r="D128" s="402"/>
      <c r="E128" s="403"/>
      <c r="F128" s="403"/>
      <c r="G128" s="403"/>
      <c r="H128" s="403"/>
      <c r="I128" s="403"/>
      <c r="J128" s="403"/>
      <c r="K128" s="403"/>
      <c r="L128" s="403"/>
      <c r="M128" s="403"/>
      <c r="N128" s="403"/>
      <c r="O128" s="450"/>
      <c r="P128" s="1"/>
      <c r="Q128" s="1"/>
      <c r="R128" s="1"/>
      <c r="S128" s="1"/>
      <c r="T128" s="1"/>
      <c r="U128" s="1"/>
      <c r="V128" s="1"/>
      <c r="W128" s="1"/>
      <c r="X128" s="1"/>
    </row>
    <row r="129" spans="1:24" ht="14.25" customHeight="1" x14ac:dyDescent="0.45">
      <c r="A129" s="618"/>
      <c r="B129" s="400"/>
      <c r="C129" s="401"/>
      <c r="D129" s="402"/>
      <c r="E129" s="403"/>
      <c r="F129" s="403"/>
      <c r="G129" s="403"/>
      <c r="H129" s="403"/>
      <c r="I129" s="403"/>
      <c r="J129" s="403"/>
      <c r="K129" s="403"/>
      <c r="L129" s="403"/>
      <c r="M129" s="403"/>
      <c r="N129" s="403"/>
      <c r="O129" s="450"/>
      <c r="P129" s="1"/>
      <c r="Q129" s="1"/>
      <c r="R129" s="1"/>
      <c r="S129" s="1"/>
      <c r="T129" s="1"/>
      <c r="U129" s="1"/>
      <c r="V129" s="1"/>
      <c r="W129" s="1"/>
      <c r="X129" s="1"/>
    </row>
    <row r="130" spans="1:24" ht="14.25" customHeight="1" x14ac:dyDescent="0.45">
      <c r="A130" s="618"/>
      <c r="B130" s="400"/>
      <c r="C130" s="401"/>
      <c r="D130" s="402"/>
      <c r="E130" s="403"/>
      <c r="F130" s="403"/>
      <c r="G130" s="403"/>
      <c r="H130" s="403"/>
      <c r="I130" s="403"/>
      <c r="J130" s="403"/>
      <c r="K130" s="403"/>
      <c r="L130" s="403"/>
      <c r="M130" s="403"/>
      <c r="N130" s="403"/>
      <c r="O130" s="450"/>
      <c r="P130" s="1"/>
      <c r="Q130" s="1"/>
      <c r="R130" s="1"/>
      <c r="S130" s="1"/>
      <c r="T130" s="1"/>
      <c r="U130" s="1"/>
      <c r="V130" s="1"/>
      <c r="W130" s="1"/>
      <c r="X130" s="1"/>
    </row>
    <row r="131" spans="1:24" ht="14.25" customHeight="1" x14ac:dyDescent="0.45">
      <c r="A131" s="618"/>
      <c r="B131" s="400"/>
      <c r="C131" s="401"/>
      <c r="D131" s="402"/>
      <c r="E131" s="403"/>
      <c r="F131" s="403"/>
      <c r="G131" s="403"/>
      <c r="H131" s="403"/>
      <c r="I131" s="403"/>
      <c r="J131" s="403"/>
      <c r="K131" s="403"/>
      <c r="L131" s="403"/>
      <c r="M131" s="403"/>
      <c r="N131" s="403"/>
      <c r="O131" s="450"/>
      <c r="P131" s="1"/>
      <c r="Q131" s="1"/>
      <c r="R131" s="1"/>
      <c r="S131" s="1"/>
      <c r="T131" s="1"/>
      <c r="U131" s="1"/>
      <c r="V131" s="1"/>
      <c r="W131" s="1"/>
      <c r="X131" s="1"/>
    </row>
    <row r="132" spans="1:24" ht="14.25" customHeight="1" x14ac:dyDescent="0.45">
      <c r="A132" s="618"/>
      <c r="B132" s="400"/>
      <c r="C132" s="401"/>
      <c r="D132" s="402"/>
      <c r="E132" s="403"/>
      <c r="F132" s="403"/>
      <c r="G132" s="403"/>
      <c r="H132" s="403"/>
      <c r="I132" s="403"/>
      <c r="J132" s="403"/>
      <c r="K132" s="403"/>
      <c r="L132" s="403"/>
      <c r="M132" s="403"/>
      <c r="N132" s="403"/>
      <c r="O132" s="450"/>
      <c r="P132" s="1"/>
      <c r="Q132" s="1"/>
      <c r="R132" s="1"/>
      <c r="S132" s="1"/>
      <c r="T132" s="1"/>
      <c r="U132" s="1"/>
      <c r="V132" s="1"/>
      <c r="W132" s="1"/>
      <c r="X132" s="1"/>
    </row>
    <row r="133" spans="1:24" ht="14.25" customHeight="1" x14ac:dyDescent="0.45">
      <c r="A133" s="618"/>
      <c r="B133" s="400"/>
      <c r="C133" s="401"/>
      <c r="D133" s="402"/>
      <c r="E133" s="403"/>
      <c r="F133" s="403"/>
      <c r="G133" s="403"/>
      <c r="H133" s="403"/>
      <c r="I133" s="403"/>
      <c r="J133" s="403"/>
      <c r="K133" s="403"/>
      <c r="L133" s="403"/>
      <c r="M133" s="403"/>
      <c r="N133" s="403"/>
      <c r="O133" s="450"/>
      <c r="P133" s="1"/>
      <c r="Q133" s="1"/>
      <c r="R133" s="1"/>
      <c r="S133" s="1"/>
      <c r="T133" s="1"/>
      <c r="U133" s="1"/>
      <c r="V133" s="1"/>
      <c r="W133" s="1"/>
      <c r="X133" s="1"/>
    </row>
    <row r="134" spans="1:24" ht="14.25" customHeight="1" x14ac:dyDescent="0.45">
      <c r="A134" s="618"/>
      <c r="B134" s="400"/>
      <c r="C134" s="401"/>
      <c r="D134" s="402"/>
      <c r="E134" s="403"/>
      <c r="F134" s="403"/>
      <c r="G134" s="403"/>
      <c r="H134" s="403"/>
      <c r="I134" s="403"/>
      <c r="J134" s="403"/>
      <c r="K134" s="403"/>
      <c r="L134" s="403"/>
      <c r="M134" s="403"/>
      <c r="N134" s="403"/>
      <c r="O134" s="450"/>
      <c r="P134" s="1"/>
      <c r="Q134" s="1"/>
      <c r="R134" s="1"/>
      <c r="S134" s="1"/>
      <c r="T134" s="1"/>
      <c r="U134" s="1"/>
      <c r="V134" s="1"/>
      <c r="W134" s="1"/>
      <c r="X134" s="1"/>
    </row>
    <row r="135" spans="1:24" ht="14.25" customHeight="1" x14ac:dyDescent="0.45">
      <c r="A135" s="618"/>
      <c r="B135" s="400"/>
      <c r="C135" s="401"/>
      <c r="D135" s="402"/>
      <c r="E135" s="403"/>
      <c r="F135" s="403"/>
      <c r="G135" s="403"/>
      <c r="H135" s="403"/>
      <c r="I135" s="403"/>
      <c r="J135" s="403"/>
      <c r="K135" s="403"/>
      <c r="L135" s="403"/>
      <c r="M135" s="403"/>
      <c r="N135" s="403"/>
      <c r="O135" s="450"/>
      <c r="P135" s="1"/>
      <c r="Q135" s="1"/>
      <c r="R135" s="1"/>
      <c r="S135" s="1"/>
      <c r="T135" s="1"/>
      <c r="U135" s="1"/>
      <c r="V135" s="1"/>
      <c r="W135" s="1"/>
      <c r="X135" s="1"/>
    </row>
    <row r="136" spans="1:24" ht="14.25" customHeight="1" x14ac:dyDescent="0.45">
      <c r="A136" s="618"/>
      <c r="B136" s="400"/>
      <c r="C136" s="401"/>
      <c r="D136" s="402"/>
      <c r="E136" s="403"/>
      <c r="F136" s="403"/>
      <c r="G136" s="403"/>
      <c r="H136" s="403"/>
      <c r="I136" s="403"/>
      <c r="J136" s="403"/>
      <c r="K136" s="403"/>
      <c r="L136" s="403"/>
      <c r="M136" s="403"/>
      <c r="N136" s="403"/>
      <c r="O136" s="450"/>
      <c r="P136" s="1"/>
      <c r="Q136" s="1"/>
      <c r="R136" s="1"/>
      <c r="S136" s="1"/>
      <c r="T136" s="1"/>
      <c r="U136" s="1"/>
      <c r="V136" s="1"/>
      <c r="W136" s="1"/>
      <c r="X136" s="1"/>
    </row>
    <row r="137" spans="1:24" ht="14.25" customHeight="1" x14ac:dyDescent="0.45">
      <c r="A137" s="618"/>
      <c r="B137" s="400"/>
      <c r="C137" s="401"/>
      <c r="D137" s="402"/>
      <c r="E137" s="403"/>
      <c r="F137" s="403"/>
      <c r="G137" s="403"/>
      <c r="H137" s="403"/>
      <c r="I137" s="403"/>
      <c r="J137" s="403"/>
      <c r="K137" s="403"/>
      <c r="L137" s="403"/>
      <c r="M137" s="403"/>
      <c r="N137" s="403"/>
      <c r="O137" s="450"/>
      <c r="P137" s="1"/>
      <c r="Q137" s="1"/>
      <c r="R137" s="1"/>
      <c r="S137" s="1"/>
      <c r="T137" s="1"/>
      <c r="U137" s="1"/>
      <c r="V137" s="1"/>
      <c r="W137" s="1"/>
      <c r="X137" s="1"/>
    </row>
    <row r="138" spans="1:24" ht="14.25" customHeight="1" x14ac:dyDescent="0.45">
      <c r="A138" s="618"/>
      <c r="B138" s="400"/>
      <c r="C138" s="401"/>
      <c r="D138" s="402"/>
      <c r="E138" s="403"/>
      <c r="F138" s="403"/>
      <c r="G138" s="403"/>
      <c r="H138" s="403"/>
      <c r="I138" s="403"/>
      <c r="J138" s="403"/>
      <c r="K138" s="403"/>
      <c r="L138" s="403"/>
      <c r="M138" s="403"/>
      <c r="N138" s="403"/>
      <c r="O138" s="450"/>
      <c r="P138" s="1"/>
      <c r="Q138" s="1"/>
      <c r="R138" s="1"/>
      <c r="S138" s="1"/>
      <c r="T138" s="1"/>
      <c r="U138" s="1"/>
      <c r="V138" s="1"/>
      <c r="W138" s="1"/>
      <c r="X138" s="1"/>
    </row>
    <row r="139" spans="1:24" ht="14.25" customHeight="1" x14ac:dyDescent="0.45">
      <c r="A139" s="618"/>
      <c r="B139" s="400"/>
      <c r="C139" s="401"/>
      <c r="D139" s="402"/>
      <c r="E139" s="403"/>
      <c r="F139" s="403"/>
      <c r="G139" s="403"/>
      <c r="H139" s="403"/>
      <c r="I139" s="403"/>
      <c r="J139" s="403"/>
      <c r="K139" s="403"/>
      <c r="L139" s="403"/>
      <c r="M139" s="403"/>
      <c r="N139" s="403"/>
      <c r="O139" s="450"/>
      <c r="P139" s="1"/>
      <c r="Q139" s="1"/>
      <c r="R139" s="1"/>
      <c r="S139" s="1"/>
      <c r="T139" s="1"/>
      <c r="U139" s="1"/>
      <c r="V139" s="1"/>
      <c r="W139" s="1"/>
      <c r="X139" s="1"/>
    </row>
    <row r="140" spans="1:24" ht="14.25" customHeight="1" x14ac:dyDescent="0.45">
      <c r="A140" s="618"/>
      <c r="B140" s="400"/>
      <c r="C140" s="401"/>
      <c r="D140" s="402"/>
      <c r="E140" s="403"/>
      <c r="F140" s="403"/>
      <c r="G140" s="403"/>
      <c r="H140" s="403"/>
      <c r="I140" s="403"/>
      <c r="J140" s="403"/>
      <c r="K140" s="403"/>
      <c r="L140" s="403"/>
      <c r="M140" s="403"/>
      <c r="N140" s="403"/>
      <c r="O140" s="450"/>
      <c r="P140" s="1"/>
      <c r="Q140" s="1"/>
      <c r="R140" s="1"/>
      <c r="S140" s="1"/>
      <c r="T140" s="1"/>
      <c r="U140" s="1"/>
      <c r="V140" s="1"/>
      <c r="W140" s="1"/>
      <c r="X140" s="1"/>
    </row>
    <row r="141" spans="1:24" ht="14.25" customHeight="1" x14ac:dyDescent="0.45">
      <c r="A141" s="618"/>
      <c r="B141" s="400"/>
      <c r="C141" s="401"/>
      <c r="D141" s="402"/>
      <c r="E141" s="403"/>
      <c r="F141" s="403"/>
      <c r="G141" s="403"/>
      <c r="H141" s="403"/>
      <c r="I141" s="403"/>
      <c r="J141" s="403"/>
      <c r="K141" s="403"/>
      <c r="L141" s="403"/>
      <c r="M141" s="403"/>
      <c r="N141" s="403"/>
      <c r="O141" s="450"/>
      <c r="P141" s="1"/>
      <c r="Q141" s="1"/>
      <c r="R141" s="1"/>
      <c r="S141" s="1"/>
      <c r="T141" s="1"/>
      <c r="U141" s="1"/>
      <c r="V141" s="1"/>
      <c r="W141" s="1"/>
      <c r="X141" s="1"/>
    </row>
    <row r="142" spans="1:24" ht="14.25" customHeight="1" x14ac:dyDescent="0.45">
      <c r="A142" s="618"/>
      <c r="B142" s="400"/>
      <c r="C142" s="401"/>
      <c r="D142" s="402"/>
      <c r="E142" s="403"/>
      <c r="F142" s="403"/>
      <c r="G142" s="403"/>
      <c r="H142" s="403"/>
      <c r="I142" s="403"/>
      <c r="J142" s="403"/>
      <c r="K142" s="403"/>
      <c r="L142" s="403"/>
      <c r="M142" s="403"/>
      <c r="N142" s="403"/>
      <c r="O142" s="450"/>
      <c r="P142" s="1"/>
      <c r="Q142" s="1"/>
      <c r="R142" s="1"/>
      <c r="S142" s="1"/>
      <c r="T142" s="1"/>
      <c r="U142" s="1"/>
      <c r="V142" s="1"/>
      <c r="W142" s="1"/>
      <c r="X142" s="1"/>
    </row>
    <row r="143" spans="1:24" ht="14.25" customHeight="1" x14ac:dyDescent="0.45">
      <c r="A143" s="618"/>
      <c r="B143" s="400"/>
      <c r="C143" s="401"/>
      <c r="D143" s="402"/>
      <c r="E143" s="403"/>
      <c r="F143" s="403"/>
      <c r="G143" s="403"/>
      <c r="H143" s="403"/>
      <c r="I143" s="403"/>
      <c r="J143" s="403"/>
      <c r="K143" s="403"/>
      <c r="L143" s="403"/>
      <c r="M143" s="403"/>
      <c r="N143" s="403"/>
      <c r="O143" s="450"/>
      <c r="P143" s="1"/>
      <c r="Q143" s="1"/>
      <c r="R143" s="1"/>
      <c r="S143" s="1"/>
      <c r="T143" s="1"/>
      <c r="U143" s="1"/>
      <c r="V143" s="1"/>
      <c r="W143" s="1"/>
      <c r="X143" s="1"/>
    </row>
    <row r="144" spans="1:24" ht="14.25" customHeight="1" x14ac:dyDescent="0.45">
      <c r="A144" s="618"/>
      <c r="B144" s="400"/>
      <c r="C144" s="401"/>
      <c r="D144" s="402"/>
      <c r="E144" s="403"/>
      <c r="F144" s="403"/>
      <c r="G144" s="403"/>
      <c r="H144" s="403"/>
      <c r="I144" s="403"/>
      <c r="J144" s="403"/>
      <c r="K144" s="403"/>
      <c r="L144" s="403"/>
      <c r="M144" s="403"/>
      <c r="N144" s="403"/>
      <c r="O144" s="450"/>
      <c r="P144" s="1"/>
      <c r="Q144" s="1"/>
      <c r="R144" s="1"/>
      <c r="S144" s="1"/>
      <c r="T144" s="1"/>
      <c r="U144" s="1"/>
      <c r="V144" s="1"/>
      <c r="W144" s="1"/>
      <c r="X144" s="1"/>
    </row>
    <row r="145" spans="1:24" ht="14.25" customHeight="1" x14ac:dyDescent="0.45">
      <c r="A145" s="618"/>
      <c r="B145" s="400"/>
      <c r="C145" s="401"/>
      <c r="D145" s="402"/>
      <c r="E145" s="403"/>
      <c r="F145" s="403"/>
      <c r="G145" s="403"/>
      <c r="H145" s="403"/>
      <c r="I145" s="403"/>
      <c r="J145" s="403"/>
      <c r="K145" s="403"/>
      <c r="L145" s="403"/>
      <c r="M145" s="403"/>
      <c r="N145" s="403"/>
      <c r="O145" s="450"/>
      <c r="P145" s="1"/>
      <c r="Q145" s="1"/>
      <c r="R145" s="1"/>
      <c r="S145" s="1"/>
      <c r="T145" s="1"/>
      <c r="U145" s="1"/>
      <c r="V145" s="1"/>
      <c r="W145" s="1"/>
      <c r="X145" s="1"/>
    </row>
    <row r="146" spans="1:24" ht="14.25" customHeight="1" x14ac:dyDescent="0.45">
      <c r="A146" s="618"/>
      <c r="B146" s="400"/>
      <c r="C146" s="401"/>
      <c r="D146" s="402"/>
      <c r="E146" s="403"/>
      <c r="F146" s="403"/>
      <c r="G146" s="403"/>
      <c r="H146" s="403"/>
      <c r="I146" s="403"/>
      <c r="J146" s="403"/>
      <c r="K146" s="403"/>
      <c r="L146" s="403"/>
      <c r="M146" s="403"/>
      <c r="N146" s="403"/>
      <c r="O146" s="450"/>
      <c r="P146" s="1"/>
      <c r="Q146" s="1"/>
      <c r="R146" s="1"/>
      <c r="S146" s="1"/>
      <c r="T146" s="1"/>
      <c r="U146" s="1"/>
      <c r="V146" s="1"/>
      <c r="W146" s="1"/>
      <c r="X146" s="1"/>
    </row>
    <row r="147" spans="1:24" ht="14.25" customHeight="1" x14ac:dyDescent="0.45">
      <c r="A147" s="618"/>
      <c r="B147" s="400"/>
      <c r="C147" s="401"/>
      <c r="D147" s="402"/>
      <c r="E147" s="403"/>
      <c r="F147" s="403"/>
      <c r="G147" s="403"/>
      <c r="H147" s="403"/>
      <c r="I147" s="403"/>
      <c r="J147" s="403"/>
      <c r="K147" s="403"/>
      <c r="L147" s="403"/>
      <c r="M147" s="403"/>
      <c r="N147" s="403"/>
      <c r="O147" s="450"/>
      <c r="P147" s="1"/>
      <c r="Q147" s="1"/>
      <c r="R147" s="1"/>
      <c r="S147" s="1"/>
      <c r="T147" s="1"/>
      <c r="U147" s="1"/>
      <c r="V147" s="1"/>
      <c r="W147" s="1"/>
      <c r="X147" s="1"/>
    </row>
    <row r="148" spans="1:24" ht="14.25" customHeight="1" x14ac:dyDescent="0.45">
      <c r="A148" s="618"/>
      <c r="B148" s="451"/>
      <c r="C148" s="453"/>
      <c r="D148" s="452"/>
      <c r="E148" s="453"/>
      <c r="F148" s="453"/>
      <c r="G148" s="453"/>
      <c r="H148" s="453"/>
      <c r="I148" s="453"/>
      <c r="J148" s="453"/>
      <c r="K148" s="453"/>
      <c r="L148" s="453"/>
      <c r="M148" s="453"/>
      <c r="N148" s="453"/>
      <c r="O148" s="454"/>
      <c r="P148" s="1"/>
      <c r="Q148" s="1"/>
      <c r="R148" s="1"/>
      <c r="S148" s="1"/>
      <c r="T148" s="1"/>
      <c r="U148" s="1"/>
      <c r="V148" s="1"/>
      <c r="W148" s="1"/>
      <c r="X148" s="1"/>
    </row>
    <row r="149" spans="1:24" ht="14.2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4.2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4.2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4.2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4.2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4.2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4.2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4.2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4.2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4.2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4.2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4.2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4.2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4.2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4.2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4.2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4.2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4.2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4.2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4.2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4.2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4.2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4.2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4.2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4.2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4.2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4.2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4.2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4.2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4.2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4.2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4.2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4.2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4.2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4.2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4.2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4.2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4.2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4.2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4.2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4.2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4.2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4.2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4.2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4.2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4.2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4.2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4.2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4.2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4.2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4.2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4.2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4.2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4.2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4.2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4.2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4.2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4.2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4.2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4.2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4.2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4.2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4.2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4.2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4.2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4.2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4.2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4.2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4.2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4.2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4.2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4.2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4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4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4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45">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D1:O1"/>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6D7A8"/>
  </sheetPr>
  <dimension ref="A1:R1000"/>
  <sheetViews>
    <sheetView workbookViewId="0"/>
  </sheetViews>
  <sheetFormatPr defaultColWidth="12.69140625" defaultRowHeight="15" customHeight="1" x14ac:dyDescent="0.45"/>
  <cols>
    <col min="1" max="1" width="8.3828125" customWidth="1"/>
    <col min="2" max="2" width="1.3828125" customWidth="1"/>
    <col min="3" max="3" width="47.23046875" customWidth="1"/>
    <col min="4" max="4" width="10.23046875" customWidth="1"/>
    <col min="5" max="5" width="14" customWidth="1"/>
    <col min="6" max="18" width="8.3828125" customWidth="1"/>
  </cols>
  <sheetData>
    <row r="1" spans="1:18" ht="13.5" customHeight="1" x14ac:dyDescent="0.45">
      <c r="A1" s="618"/>
      <c r="B1" s="54"/>
      <c r="C1" s="645" t="s">
        <v>19</v>
      </c>
      <c r="D1" s="627"/>
      <c r="E1" s="627"/>
      <c r="F1" s="627"/>
      <c r="G1" s="627"/>
      <c r="H1" s="627"/>
      <c r="I1" s="627"/>
      <c r="J1" s="627"/>
      <c r="K1" s="627"/>
      <c r="L1" s="627"/>
      <c r="M1" s="627"/>
      <c r="N1" s="627"/>
      <c r="O1" s="627"/>
      <c r="P1" s="627"/>
      <c r="Q1" s="627"/>
      <c r="R1" s="71"/>
    </row>
    <row r="2" spans="1:18" ht="13.5" customHeight="1" x14ac:dyDescent="0.45">
      <c r="A2" s="1"/>
      <c r="B2" s="1"/>
      <c r="C2" s="1"/>
      <c r="D2" s="1"/>
      <c r="E2" s="1"/>
      <c r="F2" s="1"/>
      <c r="G2" s="1"/>
      <c r="H2" s="1"/>
      <c r="I2" s="1"/>
      <c r="J2" s="1"/>
      <c r="K2" s="1"/>
      <c r="L2" s="1"/>
      <c r="M2" s="1"/>
      <c r="N2" s="1"/>
      <c r="O2" s="1"/>
      <c r="P2" s="1"/>
      <c r="Q2" s="1"/>
      <c r="R2" s="1"/>
    </row>
    <row r="3" spans="1:18" ht="13.5" customHeight="1" x14ac:dyDescent="0.45">
      <c r="A3" s="618"/>
      <c r="B3" s="7"/>
      <c r="C3" s="103"/>
      <c r="D3" s="158"/>
      <c r="E3" s="158"/>
      <c r="F3" s="158"/>
      <c r="G3" s="158"/>
      <c r="H3" s="158"/>
      <c r="I3" s="158"/>
      <c r="J3" s="158"/>
      <c r="K3" s="158"/>
      <c r="L3" s="158"/>
      <c r="M3" s="158"/>
      <c r="N3" s="158"/>
      <c r="O3" s="158"/>
      <c r="P3" s="158"/>
      <c r="Q3" s="158"/>
      <c r="R3" s="159"/>
    </row>
    <row r="4" spans="1:18" ht="13.5" customHeight="1" x14ac:dyDescent="0.45">
      <c r="A4" s="618"/>
      <c r="B4" s="106"/>
      <c r="C4" s="107" t="s">
        <v>529</v>
      </c>
      <c r="D4" s="183"/>
      <c r="E4" s="183"/>
      <c r="F4" s="183"/>
      <c r="G4" s="183"/>
      <c r="H4" s="183"/>
      <c r="I4" s="183"/>
      <c r="J4" s="183"/>
      <c r="K4" s="183"/>
      <c r="L4" s="183"/>
      <c r="M4" s="183"/>
      <c r="N4" s="183"/>
      <c r="O4" s="183"/>
      <c r="P4" s="183"/>
      <c r="Q4" s="183"/>
      <c r="R4" s="184"/>
    </row>
    <row r="5" spans="1:18" ht="13.5" customHeight="1" x14ac:dyDescent="0.45">
      <c r="A5" s="4"/>
      <c r="B5" s="160"/>
      <c r="C5" s="111" t="s">
        <v>530</v>
      </c>
      <c r="D5" s="162"/>
      <c r="E5" s="162"/>
      <c r="F5" s="162"/>
      <c r="G5" s="174"/>
      <c r="H5" s="174"/>
      <c r="I5" s="174"/>
      <c r="J5" s="174"/>
      <c r="K5" s="174"/>
      <c r="L5" s="174"/>
      <c r="M5" s="174"/>
      <c r="N5" s="174"/>
      <c r="O5" s="174"/>
      <c r="P5" s="174"/>
      <c r="Q5" s="174"/>
      <c r="R5" s="431"/>
    </row>
    <row r="6" spans="1:18" ht="13.5" customHeight="1" x14ac:dyDescent="0.45">
      <c r="A6" s="4"/>
      <c r="B6" s="160"/>
      <c r="C6" s="111"/>
      <c r="D6" s="162"/>
      <c r="E6" s="162"/>
      <c r="F6" s="162"/>
      <c r="G6" s="174"/>
      <c r="H6" s="174"/>
      <c r="I6" s="174"/>
      <c r="J6" s="174"/>
      <c r="K6" s="174"/>
      <c r="L6" s="174"/>
      <c r="M6" s="174"/>
      <c r="N6" s="174"/>
      <c r="O6" s="174"/>
      <c r="P6" s="174"/>
      <c r="Q6" s="174"/>
      <c r="R6" s="431"/>
    </row>
    <row r="7" spans="1:18" ht="13.5" customHeight="1" x14ac:dyDescent="0.45">
      <c r="A7" s="4"/>
      <c r="B7" s="160"/>
      <c r="C7" s="111"/>
      <c r="D7" s="162"/>
      <c r="E7" s="162"/>
      <c r="F7" s="162"/>
      <c r="G7" s="174"/>
      <c r="H7" s="174"/>
      <c r="I7" s="174"/>
      <c r="J7" s="174"/>
      <c r="K7" s="174"/>
      <c r="L7" s="174"/>
      <c r="M7" s="174"/>
      <c r="N7" s="174"/>
      <c r="O7" s="174"/>
      <c r="P7" s="174"/>
      <c r="Q7" s="174"/>
      <c r="R7" s="431"/>
    </row>
    <row r="8" spans="1:18" ht="13.5" customHeight="1" x14ac:dyDescent="0.45">
      <c r="A8" s="4"/>
      <c r="B8" s="160"/>
      <c r="C8" s="111"/>
      <c r="D8" s="162"/>
      <c r="E8" s="162"/>
      <c r="F8" s="162"/>
      <c r="G8" s="174"/>
      <c r="H8" s="174"/>
      <c r="I8" s="174"/>
      <c r="J8" s="174"/>
      <c r="K8" s="174"/>
      <c r="L8" s="174"/>
      <c r="M8" s="174"/>
      <c r="N8" s="174"/>
      <c r="O8" s="174"/>
      <c r="P8" s="174"/>
      <c r="Q8" s="174"/>
      <c r="R8" s="431"/>
    </row>
    <row r="9" spans="1:18" ht="13.5" customHeight="1" x14ac:dyDescent="0.45">
      <c r="A9" s="4"/>
      <c r="B9" s="160"/>
      <c r="C9" s="111"/>
      <c r="D9" s="162"/>
      <c r="E9" s="162"/>
      <c r="F9" s="162"/>
      <c r="G9" s="174"/>
      <c r="H9" s="174"/>
      <c r="I9" s="174"/>
      <c r="J9" s="174"/>
      <c r="K9" s="174"/>
      <c r="L9" s="174"/>
      <c r="M9" s="174"/>
      <c r="N9" s="174"/>
      <c r="O9" s="174"/>
      <c r="P9" s="174"/>
      <c r="Q9" s="174"/>
      <c r="R9" s="431"/>
    </row>
    <row r="10" spans="1:18" ht="13.5" customHeight="1" x14ac:dyDescent="0.45">
      <c r="A10" s="4"/>
      <c r="B10" s="160"/>
      <c r="C10" s="111"/>
      <c r="D10" s="162"/>
      <c r="E10" s="162"/>
      <c r="F10" s="162"/>
      <c r="G10" s="174"/>
      <c r="H10" s="174"/>
      <c r="I10" s="174"/>
      <c r="J10" s="174"/>
      <c r="K10" s="174"/>
      <c r="L10" s="174"/>
      <c r="M10" s="174"/>
      <c r="N10" s="174"/>
      <c r="O10" s="174"/>
      <c r="P10" s="174"/>
      <c r="Q10" s="174"/>
      <c r="R10" s="431"/>
    </row>
    <row r="11" spans="1:18" ht="13.5" customHeight="1" x14ac:dyDescent="0.45">
      <c r="A11" s="4"/>
      <c r="B11" s="160"/>
      <c r="C11" s="111"/>
      <c r="D11" s="162"/>
      <c r="E11" s="162"/>
      <c r="F11" s="162"/>
      <c r="G11" s="174"/>
      <c r="H11" s="174"/>
      <c r="I11" s="174"/>
      <c r="J11" s="174"/>
      <c r="K11" s="174"/>
      <c r="L11" s="174"/>
      <c r="M11" s="174"/>
      <c r="N11" s="174"/>
      <c r="O11" s="174"/>
      <c r="P11" s="174"/>
      <c r="Q11" s="174"/>
      <c r="R11" s="431"/>
    </row>
    <row r="12" spans="1:18" ht="13.5" customHeight="1" x14ac:dyDescent="0.45">
      <c r="A12" s="4"/>
      <c r="B12" s="160"/>
      <c r="C12" s="111"/>
      <c r="D12" s="162"/>
      <c r="E12" s="162"/>
      <c r="F12" s="162"/>
      <c r="G12" s="174"/>
      <c r="H12" s="174"/>
      <c r="I12" s="174"/>
      <c r="J12" s="174"/>
      <c r="K12" s="174"/>
      <c r="L12" s="174"/>
      <c r="M12" s="174"/>
      <c r="N12" s="174"/>
      <c r="O12" s="174"/>
      <c r="P12" s="174"/>
      <c r="Q12" s="174"/>
      <c r="R12" s="431"/>
    </row>
    <row r="13" spans="1:18" ht="13.5" customHeight="1" x14ac:dyDescent="0.45">
      <c r="A13" s="4"/>
      <c r="B13" s="160"/>
      <c r="C13" s="111"/>
      <c r="D13" s="162"/>
      <c r="E13" s="162"/>
      <c r="F13" s="162"/>
      <c r="G13" s="174"/>
      <c r="H13" s="174"/>
      <c r="I13" s="174"/>
      <c r="J13" s="174"/>
      <c r="K13" s="174"/>
      <c r="L13" s="174"/>
      <c r="M13" s="174"/>
      <c r="N13" s="174"/>
      <c r="O13" s="174"/>
      <c r="P13" s="174"/>
      <c r="Q13" s="174"/>
      <c r="R13" s="431"/>
    </row>
    <row r="14" spans="1:18" ht="13.5" customHeight="1" x14ac:dyDescent="0.45">
      <c r="A14" s="4"/>
      <c r="B14" s="160"/>
      <c r="C14" s="111"/>
      <c r="D14" s="162"/>
      <c r="E14" s="162"/>
      <c r="F14" s="162"/>
      <c r="G14" s="174"/>
      <c r="H14" s="174"/>
      <c r="I14" s="174"/>
      <c r="J14" s="174"/>
      <c r="K14" s="174"/>
      <c r="L14" s="174"/>
      <c r="M14" s="174"/>
      <c r="N14" s="174"/>
      <c r="O14" s="174"/>
      <c r="P14" s="174"/>
      <c r="Q14" s="174"/>
      <c r="R14" s="431"/>
    </row>
    <row r="15" spans="1:18" ht="13.5" customHeight="1" x14ac:dyDescent="0.45">
      <c r="A15" s="4"/>
      <c r="B15" s="160"/>
      <c r="C15" s="111"/>
      <c r="D15" s="162"/>
      <c r="E15" s="162"/>
      <c r="F15" s="162"/>
      <c r="G15" s="174"/>
      <c r="H15" s="174"/>
      <c r="I15" s="174"/>
      <c r="J15" s="174"/>
      <c r="K15" s="174"/>
      <c r="L15" s="174"/>
      <c r="M15" s="174"/>
      <c r="N15" s="174"/>
      <c r="O15" s="174"/>
      <c r="P15" s="174"/>
      <c r="Q15" s="174"/>
      <c r="R15" s="431"/>
    </row>
    <row r="16" spans="1:18" ht="13.5" customHeight="1" x14ac:dyDescent="0.45">
      <c r="A16" s="4"/>
      <c r="B16" s="160"/>
      <c r="C16" s="111"/>
      <c r="D16" s="162"/>
      <c r="E16" s="162"/>
      <c r="F16" s="162"/>
      <c r="G16" s="174"/>
      <c r="H16" s="174"/>
      <c r="I16" s="174"/>
      <c r="J16" s="174"/>
      <c r="K16" s="174"/>
      <c r="L16" s="174"/>
      <c r="M16" s="174"/>
      <c r="N16" s="174"/>
      <c r="O16" s="174"/>
      <c r="P16" s="174"/>
      <c r="Q16" s="174"/>
      <c r="R16" s="431"/>
    </row>
    <row r="17" spans="1:18" ht="13.5" customHeight="1" x14ac:dyDescent="0.45">
      <c r="A17" s="4"/>
      <c r="B17" s="160"/>
      <c r="C17" s="111"/>
      <c r="D17" s="162"/>
      <c r="E17" s="162"/>
      <c r="F17" s="162"/>
      <c r="G17" s="174"/>
      <c r="H17" s="174"/>
      <c r="I17" s="174"/>
      <c r="J17" s="174"/>
      <c r="K17" s="174"/>
      <c r="L17" s="174"/>
      <c r="M17" s="174"/>
      <c r="N17" s="174"/>
      <c r="O17" s="174"/>
      <c r="P17" s="174"/>
      <c r="Q17" s="174"/>
      <c r="R17" s="431"/>
    </row>
    <row r="18" spans="1:18" ht="13.5" customHeight="1" x14ac:dyDescent="0.45">
      <c r="A18" s="4"/>
      <c r="B18" s="160"/>
      <c r="C18" s="115"/>
      <c r="D18" s="162"/>
      <c r="E18" s="162"/>
      <c r="F18" s="162"/>
      <c r="G18" s="174"/>
      <c r="H18" s="174"/>
      <c r="I18" s="174"/>
      <c r="J18" s="174"/>
      <c r="K18" s="174"/>
      <c r="L18" s="174"/>
      <c r="M18" s="174"/>
      <c r="N18" s="174"/>
      <c r="O18" s="174"/>
      <c r="P18" s="174"/>
      <c r="Q18" s="174"/>
      <c r="R18" s="431"/>
    </row>
    <row r="19" spans="1:18" ht="13.5" customHeight="1" x14ac:dyDescent="0.45">
      <c r="A19" s="618"/>
      <c r="B19" s="160"/>
      <c r="C19" s="115"/>
      <c r="D19" s="433"/>
      <c r="E19" s="162"/>
      <c r="F19" s="162"/>
      <c r="G19" s="174"/>
      <c r="H19" s="174"/>
      <c r="I19" s="174"/>
      <c r="J19" s="174"/>
      <c r="K19" s="174"/>
      <c r="L19" s="174"/>
      <c r="M19" s="174"/>
      <c r="N19" s="174"/>
      <c r="O19" s="174"/>
      <c r="P19" s="174"/>
      <c r="Q19" s="174"/>
      <c r="R19" s="431"/>
    </row>
    <row r="20" spans="1:18" ht="13.5" customHeight="1" x14ac:dyDescent="0.45">
      <c r="A20" s="618"/>
      <c r="B20" s="160"/>
      <c r="C20" s="115"/>
      <c r="D20" s="433"/>
      <c r="E20" s="162"/>
      <c r="F20" s="162"/>
      <c r="G20" s="174"/>
      <c r="H20" s="174"/>
      <c r="I20" s="174"/>
      <c r="J20" s="174"/>
      <c r="K20" s="174"/>
      <c r="L20" s="174"/>
      <c r="M20" s="174"/>
      <c r="N20" s="174"/>
      <c r="O20" s="174"/>
      <c r="P20" s="174"/>
      <c r="Q20" s="174"/>
      <c r="R20" s="431"/>
    </row>
    <row r="21" spans="1:18" ht="13.5" customHeight="1" x14ac:dyDescent="0.45">
      <c r="A21" s="618"/>
      <c r="B21" s="160"/>
      <c r="C21" s="111" t="s">
        <v>824</v>
      </c>
      <c r="D21" s="433"/>
      <c r="E21" s="162"/>
      <c r="F21" s="162"/>
      <c r="G21" s="174"/>
      <c r="H21" s="174"/>
      <c r="I21" s="174"/>
      <c r="J21" s="174"/>
      <c r="K21" s="174"/>
      <c r="L21" s="174"/>
      <c r="M21" s="174"/>
      <c r="N21" s="174"/>
      <c r="O21" s="174"/>
      <c r="P21" s="174"/>
      <c r="Q21" s="174"/>
      <c r="R21" s="431"/>
    </row>
    <row r="22" spans="1:18" ht="13.5" customHeight="1" x14ac:dyDescent="0.45">
      <c r="A22" s="618"/>
      <c r="B22" s="160"/>
      <c r="C22" s="111"/>
      <c r="D22" s="433"/>
      <c r="E22" s="162"/>
      <c r="F22" s="162"/>
      <c r="G22" s="174"/>
      <c r="H22" s="174"/>
      <c r="I22" s="174"/>
      <c r="J22" s="174"/>
      <c r="K22" s="174"/>
      <c r="L22" s="174"/>
      <c r="M22" s="174"/>
      <c r="N22" s="174"/>
      <c r="O22" s="174"/>
      <c r="P22" s="174"/>
      <c r="Q22" s="174"/>
      <c r="R22" s="431"/>
    </row>
    <row r="23" spans="1:18" ht="13.5" customHeight="1" x14ac:dyDescent="0.45">
      <c r="A23" s="618"/>
      <c r="B23" s="160"/>
      <c r="C23" s="111"/>
      <c r="D23" s="433"/>
      <c r="E23" s="162"/>
      <c r="F23" s="162"/>
      <c r="G23" s="174"/>
      <c r="H23" s="174"/>
      <c r="I23" s="174"/>
      <c r="J23" s="174"/>
      <c r="K23" s="174"/>
      <c r="L23" s="174"/>
      <c r="M23" s="174"/>
      <c r="N23" s="174"/>
      <c r="O23" s="174"/>
      <c r="P23" s="174"/>
      <c r="Q23" s="174"/>
      <c r="R23" s="431"/>
    </row>
    <row r="24" spans="1:18" ht="13.5" customHeight="1" x14ac:dyDescent="0.45">
      <c r="A24" s="618"/>
      <c r="B24" s="160"/>
      <c r="C24" s="111"/>
      <c r="D24" s="433"/>
      <c r="E24" s="162"/>
      <c r="F24" s="162"/>
      <c r="G24" s="174"/>
      <c r="H24" s="174"/>
      <c r="I24" s="174"/>
      <c r="J24" s="174"/>
      <c r="K24" s="174"/>
      <c r="L24" s="174"/>
      <c r="M24" s="174"/>
      <c r="N24" s="174"/>
      <c r="O24" s="174"/>
      <c r="P24" s="174"/>
      <c r="Q24" s="174"/>
      <c r="R24" s="431"/>
    </row>
    <row r="25" spans="1:18" ht="13.5" customHeight="1" x14ac:dyDescent="0.45">
      <c r="A25" s="618"/>
      <c r="B25" s="160"/>
      <c r="C25" s="111"/>
      <c r="D25" s="433"/>
      <c r="E25" s="162"/>
      <c r="F25" s="162"/>
      <c r="G25" s="174"/>
      <c r="H25" s="174"/>
      <c r="I25" s="174"/>
      <c r="J25" s="174"/>
      <c r="K25" s="174"/>
      <c r="L25" s="174"/>
      <c r="M25" s="174"/>
      <c r="N25" s="174"/>
      <c r="O25" s="174"/>
      <c r="P25" s="174"/>
      <c r="Q25" s="174"/>
      <c r="R25" s="431"/>
    </row>
    <row r="26" spans="1:18" ht="13.5" customHeight="1" x14ac:dyDescent="0.45">
      <c r="A26" s="618"/>
      <c r="B26" s="160"/>
      <c r="C26" s="111"/>
      <c r="D26" s="433"/>
      <c r="E26" s="162"/>
      <c r="F26" s="162"/>
      <c r="G26" s="174"/>
      <c r="H26" s="174"/>
      <c r="I26" s="174"/>
      <c r="J26" s="174"/>
      <c r="K26" s="174"/>
      <c r="L26" s="174"/>
      <c r="M26" s="174"/>
      <c r="N26" s="174"/>
      <c r="O26" s="174"/>
      <c r="P26" s="174"/>
      <c r="Q26" s="174"/>
      <c r="R26" s="431"/>
    </row>
    <row r="27" spans="1:18" ht="13.5" customHeight="1" x14ac:dyDescent="0.45">
      <c r="A27" s="618"/>
      <c r="B27" s="160"/>
      <c r="C27" s="111"/>
      <c r="D27" s="433"/>
      <c r="E27" s="162"/>
      <c r="F27" s="162"/>
      <c r="G27" s="174"/>
      <c r="H27" s="174"/>
      <c r="I27" s="174"/>
      <c r="J27" s="174"/>
      <c r="K27" s="174"/>
      <c r="L27" s="174"/>
      <c r="M27" s="174"/>
      <c r="N27" s="174"/>
      <c r="O27" s="174"/>
      <c r="P27" s="174"/>
      <c r="Q27" s="174"/>
      <c r="R27" s="431"/>
    </row>
    <row r="28" spans="1:18" ht="13.5" customHeight="1" x14ac:dyDescent="0.45">
      <c r="A28" s="618"/>
      <c r="B28" s="160"/>
      <c r="C28" s="111"/>
      <c r="D28" s="433"/>
      <c r="E28" s="162"/>
      <c r="F28" s="162"/>
      <c r="G28" s="174"/>
      <c r="H28" s="174"/>
      <c r="I28" s="174"/>
      <c r="J28" s="174"/>
      <c r="K28" s="174"/>
      <c r="L28" s="174"/>
      <c r="M28" s="174"/>
      <c r="N28" s="174"/>
      <c r="O28" s="174"/>
      <c r="P28" s="174"/>
      <c r="Q28" s="174"/>
      <c r="R28" s="431"/>
    </row>
    <row r="29" spans="1:18" ht="13.5" customHeight="1" x14ac:dyDescent="0.45">
      <c r="A29" s="618"/>
      <c r="B29" s="160"/>
      <c r="C29" s="111"/>
      <c r="D29" s="433"/>
      <c r="E29" s="162"/>
      <c r="F29" s="162"/>
      <c r="G29" s="174"/>
      <c r="H29" s="174"/>
      <c r="I29" s="174"/>
      <c r="J29" s="174"/>
      <c r="K29" s="174"/>
      <c r="L29" s="174"/>
      <c r="M29" s="174"/>
      <c r="N29" s="174"/>
      <c r="O29" s="174"/>
      <c r="P29" s="174"/>
      <c r="Q29" s="174"/>
      <c r="R29" s="431"/>
    </row>
    <row r="30" spans="1:18" ht="13.5" customHeight="1" x14ac:dyDescent="0.45">
      <c r="A30" s="618"/>
      <c r="B30" s="160"/>
      <c r="C30" s="111"/>
      <c r="D30" s="433"/>
      <c r="E30" s="162"/>
      <c r="F30" s="162"/>
      <c r="G30" s="174"/>
      <c r="H30" s="174"/>
      <c r="I30" s="174"/>
      <c r="J30" s="174"/>
      <c r="K30" s="174"/>
      <c r="L30" s="174"/>
      <c r="M30" s="174"/>
      <c r="N30" s="174"/>
      <c r="O30" s="174"/>
      <c r="P30" s="174"/>
      <c r="Q30" s="174"/>
      <c r="R30" s="431"/>
    </row>
    <row r="31" spans="1:18" ht="13.5" customHeight="1" x14ac:dyDescent="0.45">
      <c r="A31" s="618"/>
      <c r="B31" s="160"/>
      <c r="C31" s="111"/>
      <c r="D31" s="433"/>
      <c r="E31" s="162"/>
      <c r="F31" s="162"/>
      <c r="G31" s="174"/>
      <c r="H31" s="174"/>
      <c r="I31" s="174"/>
      <c r="J31" s="174"/>
      <c r="K31" s="174"/>
      <c r="L31" s="174"/>
      <c r="M31" s="174"/>
      <c r="N31" s="174"/>
      <c r="O31" s="174"/>
      <c r="P31" s="174"/>
      <c r="Q31" s="174"/>
      <c r="R31" s="431"/>
    </row>
    <row r="32" spans="1:18" ht="13.5" customHeight="1" x14ac:dyDescent="0.45">
      <c r="A32" s="618"/>
      <c r="B32" s="160"/>
      <c r="C32" s="111"/>
      <c r="D32" s="433"/>
      <c r="E32" s="162"/>
      <c r="F32" s="162"/>
      <c r="G32" s="174"/>
      <c r="H32" s="174"/>
      <c r="I32" s="174"/>
      <c r="J32" s="174"/>
      <c r="K32" s="174"/>
      <c r="L32" s="174"/>
      <c r="M32" s="174"/>
      <c r="N32" s="174"/>
      <c r="O32" s="174"/>
      <c r="P32" s="174"/>
      <c r="Q32" s="174"/>
      <c r="R32" s="431"/>
    </row>
    <row r="33" spans="1:18" ht="13.5" customHeight="1" x14ac:dyDescent="0.45">
      <c r="A33" s="618"/>
      <c r="B33" s="160"/>
      <c r="C33" s="111"/>
      <c r="D33" s="433"/>
      <c r="E33" s="162"/>
      <c r="F33" s="162"/>
      <c r="G33" s="174"/>
      <c r="H33" s="174"/>
      <c r="I33" s="174"/>
      <c r="J33" s="174"/>
      <c r="K33" s="174"/>
      <c r="L33" s="174"/>
      <c r="M33" s="174"/>
      <c r="N33" s="174"/>
      <c r="O33" s="174"/>
      <c r="P33" s="174"/>
      <c r="Q33" s="174"/>
      <c r="R33" s="431"/>
    </row>
    <row r="34" spans="1:18" ht="13.5" customHeight="1" x14ac:dyDescent="0.45">
      <c r="A34" s="618"/>
      <c r="B34" s="160"/>
      <c r="C34" s="111"/>
      <c r="D34" s="433"/>
      <c r="E34" s="162"/>
      <c r="F34" s="162"/>
      <c r="G34" s="174"/>
      <c r="H34" s="174"/>
      <c r="I34" s="174"/>
      <c r="J34" s="174"/>
      <c r="K34" s="174"/>
      <c r="L34" s="174"/>
      <c r="M34" s="174"/>
      <c r="N34" s="174"/>
      <c r="O34" s="174"/>
      <c r="P34" s="174"/>
      <c r="Q34" s="174"/>
      <c r="R34" s="431"/>
    </row>
    <row r="35" spans="1:18" ht="13.5" customHeight="1" x14ac:dyDescent="0.45">
      <c r="A35" s="618"/>
      <c r="B35" s="160"/>
      <c r="C35" s="111"/>
      <c r="D35" s="433"/>
      <c r="E35" s="162"/>
      <c r="F35" s="162"/>
      <c r="G35" s="174"/>
      <c r="H35" s="174"/>
      <c r="I35" s="174"/>
      <c r="J35" s="174"/>
      <c r="K35" s="174"/>
      <c r="L35" s="174"/>
      <c r="M35" s="174"/>
      <c r="N35" s="174"/>
      <c r="O35" s="174"/>
      <c r="P35" s="174"/>
      <c r="Q35" s="174"/>
      <c r="R35" s="431"/>
    </row>
    <row r="36" spans="1:18" ht="13.5" customHeight="1" x14ac:dyDescent="0.45">
      <c r="A36" s="618"/>
      <c r="B36" s="160"/>
      <c r="C36" s="111"/>
      <c r="D36" s="433"/>
      <c r="E36" s="162"/>
      <c r="F36" s="162"/>
      <c r="G36" s="174"/>
      <c r="H36" s="174"/>
      <c r="I36" s="174"/>
      <c r="J36" s="174"/>
      <c r="K36" s="174"/>
      <c r="L36" s="174"/>
      <c r="M36" s="174"/>
      <c r="N36" s="174"/>
      <c r="O36" s="174"/>
      <c r="P36" s="174"/>
      <c r="Q36" s="174"/>
      <c r="R36" s="431"/>
    </row>
    <row r="37" spans="1:18" ht="13.5" customHeight="1" x14ac:dyDescent="0.45">
      <c r="A37" s="618"/>
      <c r="B37" s="160"/>
      <c r="C37" s="111"/>
      <c r="D37" s="433"/>
      <c r="E37" s="162"/>
      <c r="F37" s="162"/>
      <c r="G37" s="174"/>
      <c r="H37" s="174"/>
      <c r="I37" s="174"/>
      <c r="J37" s="174"/>
      <c r="K37" s="174"/>
      <c r="L37" s="174"/>
      <c r="M37" s="174"/>
      <c r="N37" s="174"/>
      <c r="O37" s="174"/>
      <c r="P37" s="174"/>
      <c r="Q37" s="174"/>
      <c r="R37" s="431"/>
    </row>
    <row r="38" spans="1:18" ht="13.5" customHeight="1" x14ac:dyDescent="0.45">
      <c r="A38" s="618"/>
      <c r="B38" s="160"/>
      <c r="C38" s="111"/>
      <c r="D38" s="433"/>
      <c r="E38" s="162"/>
      <c r="F38" s="162"/>
      <c r="G38" s="174"/>
      <c r="H38" s="174"/>
      <c r="I38" s="174"/>
      <c r="J38" s="174"/>
      <c r="K38" s="174"/>
      <c r="L38" s="174"/>
      <c r="M38" s="174"/>
      <c r="N38" s="174"/>
      <c r="O38" s="174"/>
      <c r="P38" s="174"/>
      <c r="Q38" s="174"/>
      <c r="R38" s="431"/>
    </row>
    <row r="39" spans="1:18" ht="13.5" customHeight="1" x14ac:dyDescent="0.45">
      <c r="A39" s="618"/>
      <c r="B39" s="160"/>
      <c r="C39" s="111"/>
      <c r="D39" s="433"/>
      <c r="E39" s="162"/>
      <c r="F39" s="162"/>
      <c r="G39" s="174"/>
      <c r="H39" s="174"/>
      <c r="I39" s="174"/>
      <c r="J39" s="174"/>
      <c r="K39" s="174"/>
      <c r="L39" s="174"/>
      <c r="M39" s="174"/>
      <c r="N39" s="174"/>
      <c r="O39" s="174"/>
      <c r="P39" s="174"/>
      <c r="Q39" s="174"/>
      <c r="R39" s="431"/>
    </row>
    <row r="40" spans="1:18" ht="13.5" customHeight="1" x14ac:dyDescent="0.45">
      <c r="A40" s="618"/>
      <c r="B40" s="160"/>
      <c r="C40" s="111"/>
      <c r="D40" s="433"/>
      <c r="E40" s="162"/>
      <c r="F40" s="162"/>
      <c r="G40" s="174"/>
      <c r="H40" s="174"/>
      <c r="I40" s="174"/>
      <c r="J40" s="174"/>
      <c r="K40" s="174"/>
      <c r="L40" s="174"/>
      <c r="M40" s="174"/>
      <c r="N40" s="174"/>
      <c r="O40" s="174"/>
      <c r="P40" s="174"/>
      <c r="Q40" s="174"/>
      <c r="R40" s="431"/>
    </row>
    <row r="41" spans="1:18" ht="13.5" customHeight="1" x14ac:dyDescent="0.45">
      <c r="A41" s="618"/>
      <c r="B41" s="160"/>
      <c r="C41" s="111"/>
      <c r="D41" s="433"/>
      <c r="E41" s="162"/>
      <c r="F41" s="162"/>
      <c r="G41" s="174"/>
      <c r="H41" s="174"/>
      <c r="I41" s="174"/>
      <c r="J41" s="174"/>
      <c r="K41" s="174"/>
      <c r="L41" s="174"/>
      <c r="M41" s="174"/>
      <c r="N41" s="174"/>
      <c r="O41" s="174"/>
      <c r="P41" s="174"/>
      <c r="Q41" s="174"/>
      <c r="R41" s="431"/>
    </row>
    <row r="42" spans="1:18" ht="13.5" customHeight="1" x14ac:dyDescent="0.45">
      <c r="A42" s="618"/>
      <c r="B42" s="160"/>
      <c r="C42" s="111"/>
      <c r="D42" s="433"/>
      <c r="E42" s="162"/>
      <c r="F42" s="162"/>
      <c r="G42" s="174"/>
      <c r="H42" s="174"/>
      <c r="I42" s="174"/>
      <c r="J42" s="174"/>
      <c r="K42" s="174"/>
      <c r="L42" s="174"/>
      <c r="M42" s="174"/>
      <c r="N42" s="174"/>
      <c r="O42" s="174"/>
      <c r="P42" s="174"/>
      <c r="Q42" s="174"/>
      <c r="R42" s="431"/>
    </row>
    <row r="43" spans="1:18" ht="13.5" customHeight="1" x14ac:dyDescent="0.45">
      <c r="A43" s="618"/>
      <c r="B43" s="160"/>
      <c r="C43" s="111"/>
      <c r="D43" s="433"/>
      <c r="E43" s="162"/>
      <c r="F43" s="162"/>
      <c r="G43" s="174"/>
      <c r="H43" s="174"/>
      <c r="I43" s="174"/>
      <c r="J43" s="174"/>
      <c r="K43" s="174"/>
      <c r="L43" s="174"/>
      <c r="M43" s="174"/>
      <c r="N43" s="174"/>
      <c r="O43" s="174"/>
      <c r="P43" s="174"/>
      <c r="Q43" s="174"/>
      <c r="R43" s="431"/>
    </row>
    <row r="44" spans="1:18" ht="13.5" customHeight="1" x14ac:dyDescent="0.45">
      <c r="A44" s="618"/>
      <c r="B44" s="160"/>
      <c r="C44" s="115"/>
      <c r="D44" s="433"/>
      <c r="E44" s="162"/>
      <c r="F44" s="162"/>
      <c r="G44" s="174"/>
      <c r="H44" s="174"/>
      <c r="I44" s="174"/>
      <c r="J44" s="174"/>
      <c r="K44" s="174"/>
      <c r="L44" s="174"/>
      <c r="M44" s="174"/>
      <c r="N44" s="174"/>
      <c r="O44" s="174"/>
      <c r="P44" s="174"/>
      <c r="Q44" s="174"/>
      <c r="R44" s="431"/>
    </row>
    <row r="45" spans="1:18" ht="13.5" customHeight="1" x14ac:dyDescent="0.45">
      <c r="A45" s="4"/>
      <c r="B45" s="160"/>
      <c r="C45" s="115"/>
      <c r="D45" s="162"/>
      <c r="E45" s="162"/>
      <c r="F45" s="162"/>
      <c r="G45" s="174"/>
      <c r="H45" s="174"/>
      <c r="I45" s="174"/>
      <c r="J45" s="174"/>
      <c r="K45" s="174"/>
      <c r="L45" s="174"/>
      <c r="M45" s="174"/>
      <c r="N45" s="174"/>
      <c r="O45" s="174"/>
      <c r="P45" s="174"/>
      <c r="Q45" s="174"/>
      <c r="R45" s="431"/>
    </row>
    <row r="46" spans="1:18" ht="13.5" customHeight="1" x14ac:dyDescent="0.45">
      <c r="A46" s="618"/>
      <c r="B46" s="160"/>
      <c r="C46" s="115"/>
      <c r="D46" s="438"/>
      <c r="E46" s="162"/>
      <c r="F46" s="162"/>
      <c r="G46" s="174"/>
      <c r="H46" s="174"/>
      <c r="I46" s="174"/>
      <c r="J46" s="174"/>
      <c r="K46" s="174"/>
      <c r="L46" s="174"/>
      <c r="M46" s="174"/>
      <c r="N46" s="174"/>
      <c r="O46" s="174"/>
      <c r="P46" s="174"/>
      <c r="Q46" s="174"/>
      <c r="R46" s="431"/>
    </row>
    <row r="47" spans="1:18" ht="13.5" customHeight="1" x14ac:dyDescent="0.45">
      <c r="A47" s="618"/>
      <c r="B47" s="160"/>
      <c r="C47" s="115"/>
      <c r="D47" s="438"/>
      <c r="E47" s="162"/>
      <c r="F47" s="162"/>
      <c r="G47" s="174"/>
      <c r="H47" s="174"/>
      <c r="I47" s="174"/>
      <c r="J47" s="174"/>
      <c r="K47" s="174"/>
      <c r="L47" s="174"/>
      <c r="M47" s="174"/>
      <c r="N47" s="174"/>
      <c r="O47" s="174"/>
      <c r="P47" s="174"/>
      <c r="Q47" s="174"/>
      <c r="R47" s="431"/>
    </row>
    <row r="48" spans="1:18" ht="13.5" customHeight="1" x14ac:dyDescent="0.45">
      <c r="A48" s="618"/>
      <c r="B48" s="160"/>
      <c r="C48" s="115"/>
      <c r="D48" s="438"/>
      <c r="E48" s="162"/>
      <c r="F48" s="162"/>
      <c r="G48" s="174"/>
      <c r="H48" s="174"/>
      <c r="I48" s="174"/>
      <c r="J48" s="174"/>
      <c r="K48" s="174"/>
      <c r="L48" s="174"/>
      <c r="M48" s="174"/>
      <c r="N48" s="174"/>
      <c r="O48" s="174"/>
      <c r="P48" s="174"/>
      <c r="Q48" s="174"/>
      <c r="R48" s="431"/>
    </row>
    <row r="49" spans="1:18" ht="13.5" customHeight="1" x14ac:dyDescent="0.45">
      <c r="A49" s="618"/>
      <c r="B49" s="160"/>
      <c r="C49" s="115"/>
      <c r="D49" s="438"/>
      <c r="E49" s="162"/>
      <c r="F49" s="162"/>
      <c r="G49" s="174"/>
      <c r="H49" s="174"/>
      <c r="I49" s="174"/>
      <c r="J49" s="174"/>
      <c r="K49" s="174"/>
      <c r="L49" s="174"/>
      <c r="M49" s="174"/>
      <c r="N49" s="174"/>
      <c r="O49" s="174"/>
      <c r="P49" s="174"/>
      <c r="Q49" s="174"/>
      <c r="R49" s="431"/>
    </row>
    <row r="50" spans="1:18" ht="13.5" customHeight="1" x14ac:dyDescent="0.45">
      <c r="A50" s="618"/>
      <c r="B50" s="160"/>
      <c r="C50" s="115"/>
      <c r="D50" s="438"/>
      <c r="E50" s="162"/>
      <c r="F50" s="162"/>
      <c r="G50" s="174"/>
      <c r="H50" s="174"/>
      <c r="I50" s="174"/>
      <c r="J50" s="174"/>
      <c r="K50" s="174"/>
      <c r="L50" s="174"/>
      <c r="M50" s="174"/>
      <c r="N50" s="174"/>
      <c r="O50" s="174"/>
      <c r="P50" s="174"/>
      <c r="Q50" s="174"/>
      <c r="R50" s="431"/>
    </row>
    <row r="51" spans="1:18" ht="13.5" customHeight="1" x14ac:dyDescent="0.45">
      <c r="A51" s="618"/>
      <c r="B51" s="160"/>
      <c r="C51" s="115"/>
      <c r="D51" s="438"/>
      <c r="E51" s="162"/>
      <c r="F51" s="162"/>
      <c r="G51" s="174"/>
      <c r="H51" s="174"/>
      <c r="I51" s="174"/>
      <c r="J51" s="174"/>
      <c r="K51" s="174"/>
      <c r="L51" s="174"/>
      <c r="M51" s="174"/>
      <c r="N51" s="174"/>
      <c r="O51" s="174"/>
      <c r="P51" s="174"/>
      <c r="Q51" s="174"/>
      <c r="R51" s="431"/>
    </row>
    <row r="52" spans="1:18" ht="13.5" customHeight="1" x14ac:dyDescent="0.45">
      <c r="A52" s="618"/>
      <c r="B52" s="160"/>
      <c r="C52" s="115"/>
      <c r="D52" s="438"/>
      <c r="E52" s="162"/>
      <c r="F52" s="162"/>
      <c r="G52" s="174"/>
      <c r="H52" s="174"/>
      <c r="I52" s="174"/>
      <c r="J52" s="174"/>
      <c r="K52" s="174"/>
      <c r="L52" s="174"/>
      <c r="M52" s="174"/>
      <c r="N52" s="174"/>
      <c r="O52" s="174"/>
      <c r="P52" s="174"/>
      <c r="Q52" s="174"/>
      <c r="R52" s="431"/>
    </row>
    <row r="53" spans="1:18" ht="13.5" customHeight="1" x14ac:dyDescent="0.45">
      <c r="A53" s="618"/>
      <c r="B53" s="160"/>
      <c r="C53" s="115"/>
      <c r="D53" s="438"/>
      <c r="E53" s="162"/>
      <c r="F53" s="162"/>
      <c r="G53" s="174"/>
      <c r="H53" s="174"/>
      <c r="I53" s="174"/>
      <c r="J53" s="174"/>
      <c r="K53" s="174"/>
      <c r="L53" s="174"/>
      <c r="M53" s="174"/>
      <c r="N53" s="174"/>
      <c r="O53" s="174"/>
      <c r="P53" s="174"/>
      <c r="Q53" s="174"/>
      <c r="R53" s="431"/>
    </row>
    <row r="54" spans="1:18" ht="13.5" customHeight="1" x14ac:dyDescent="0.45">
      <c r="A54" s="618"/>
      <c r="B54" s="160"/>
      <c r="C54" s="111" t="s">
        <v>564</v>
      </c>
      <c r="D54" s="438"/>
      <c r="E54" s="162"/>
      <c r="F54" s="162"/>
      <c r="G54" s="174"/>
      <c r="H54" s="174"/>
      <c r="I54" s="174"/>
      <c r="J54" s="174"/>
      <c r="K54" s="174"/>
      <c r="L54" s="174"/>
      <c r="M54" s="174"/>
      <c r="N54" s="174"/>
      <c r="O54" s="174"/>
      <c r="P54" s="174"/>
      <c r="Q54" s="174"/>
      <c r="R54" s="431"/>
    </row>
    <row r="55" spans="1:18" ht="13.5" customHeight="1" x14ac:dyDescent="0.45">
      <c r="A55" s="618"/>
      <c r="B55" s="160"/>
      <c r="C55" s="111"/>
      <c r="D55" s="438"/>
      <c r="E55" s="162"/>
      <c r="F55" s="162"/>
      <c r="G55" s="174"/>
      <c r="H55" s="174"/>
      <c r="I55" s="174"/>
      <c r="J55" s="174"/>
      <c r="K55" s="174"/>
      <c r="L55" s="174"/>
      <c r="M55" s="174"/>
      <c r="N55" s="174"/>
      <c r="O55" s="174"/>
      <c r="P55" s="174"/>
      <c r="Q55" s="174"/>
      <c r="R55" s="431"/>
    </row>
    <row r="56" spans="1:18" ht="13.5" customHeight="1" x14ac:dyDescent="0.45">
      <c r="A56" s="618"/>
      <c r="B56" s="160"/>
      <c r="C56" s="111"/>
      <c r="D56" s="438"/>
      <c r="E56" s="162"/>
      <c r="F56" s="162"/>
      <c r="G56" s="174"/>
      <c r="H56" s="174"/>
      <c r="I56" s="174"/>
      <c r="J56" s="174"/>
      <c r="K56" s="174"/>
      <c r="L56" s="174"/>
      <c r="M56" s="174"/>
      <c r="N56" s="174"/>
      <c r="O56" s="174"/>
      <c r="P56" s="174"/>
      <c r="Q56" s="174"/>
      <c r="R56" s="431"/>
    </row>
    <row r="57" spans="1:18" ht="13.5" customHeight="1" x14ac:dyDescent="0.45">
      <c r="A57" s="618"/>
      <c r="B57" s="160"/>
      <c r="C57" s="111"/>
      <c r="D57" s="438"/>
      <c r="E57" s="162"/>
      <c r="F57" s="162"/>
      <c r="G57" s="174"/>
      <c r="H57" s="174"/>
      <c r="I57" s="174"/>
      <c r="J57" s="174"/>
      <c r="K57" s="174"/>
      <c r="L57" s="174"/>
      <c r="M57" s="174"/>
      <c r="N57" s="174"/>
      <c r="O57" s="174"/>
      <c r="P57" s="174"/>
      <c r="Q57" s="174"/>
      <c r="R57" s="431"/>
    </row>
    <row r="58" spans="1:18" ht="13.5" customHeight="1" x14ac:dyDescent="0.45">
      <c r="A58" s="618"/>
      <c r="B58" s="160"/>
      <c r="C58" s="111"/>
      <c r="D58" s="438"/>
      <c r="E58" s="162"/>
      <c r="F58" s="162"/>
      <c r="G58" s="174"/>
      <c r="H58" s="174"/>
      <c r="I58" s="174"/>
      <c r="J58" s="174"/>
      <c r="K58" s="174"/>
      <c r="L58" s="174"/>
      <c r="M58" s="174"/>
      <c r="N58" s="174"/>
      <c r="O58" s="174"/>
      <c r="P58" s="174"/>
      <c r="Q58" s="174"/>
      <c r="R58" s="431"/>
    </row>
    <row r="59" spans="1:18" ht="13.5" customHeight="1" x14ac:dyDescent="0.45">
      <c r="A59" s="618"/>
      <c r="B59" s="160"/>
      <c r="C59" s="111"/>
      <c r="D59" s="438"/>
      <c r="E59" s="162"/>
      <c r="F59" s="162"/>
      <c r="G59" s="174"/>
      <c r="H59" s="174"/>
      <c r="I59" s="174"/>
      <c r="J59" s="174"/>
      <c r="K59" s="174"/>
      <c r="L59" s="174"/>
      <c r="M59" s="174"/>
      <c r="N59" s="174"/>
      <c r="O59" s="174"/>
      <c r="P59" s="174"/>
      <c r="Q59" s="174"/>
      <c r="R59" s="431"/>
    </row>
    <row r="60" spans="1:18" ht="13.5" customHeight="1" x14ac:dyDescent="0.45">
      <c r="A60" s="618"/>
      <c r="B60" s="160"/>
      <c r="C60" s="111"/>
      <c r="D60" s="438"/>
      <c r="E60" s="162"/>
      <c r="F60" s="162"/>
      <c r="G60" s="174"/>
      <c r="H60" s="174"/>
      <c r="I60" s="174"/>
      <c r="J60" s="174"/>
      <c r="K60" s="174"/>
      <c r="L60" s="174"/>
      <c r="M60" s="174"/>
      <c r="N60" s="174"/>
      <c r="O60" s="174"/>
      <c r="P60" s="174"/>
      <c r="Q60" s="174"/>
      <c r="R60" s="431"/>
    </row>
    <row r="61" spans="1:18" ht="13.5" customHeight="1" x14ac:dyDescent="0.45">
      <c r="A61" s="618"/>
      <c r="B61" s="160"/>
      <c r="C61" s="111"/>
      <c r="D61" s="438"/>
      <c r="E61" s="162"/>
      <c r="F61" s="162"/>
      <c r="G61" s="174"/>
      <c r="H61" s="174"/>
      <c r="I61" s="174"/>
      <c r="J61" s="174"/>
      <c r="K61" s="174"/>
      <c r="L61" s="174"/>
      <c r="M61" s="174"/>
      <c r="N61" s="174"/>
      <c r="O61" s="174"/>
      <c r="P61" s="174"/>
      <c r="Q61" s="174"/>
      <c r="R61" s="431"/>
    </row>
    <row r="62" spans="1:18" ht="13.5" customHeight="1" x14ac:dyDescent="0.45">
      <c r="A62" s="618"/>
      <c r="B62" s="160"/>
      <c r="C62" s="111"/>
      <c r="D62" s="438"/>
      <c r="E62" s="162"/>
      <c r="F62" s="162"/>
      <c r="G62" s="174"/>
      <c r="H62" s="174"/>
      <c r="I62" s="174"/>
      <c r="J62" s="174"/>
      <c r="K62" s="174"/>
      <c r="L62" s="174"/>
      <c r="M62" s="174"/>
      <c r="N62" s="174"/>
      <c r="O62" s="174"/>
      <c r="P62" s="174"/>
      <c r="Q62" s="174"/>
      <c r="R62" s="431"/>
    </row>
    <row r="63" spans="1:18" ht="13.5" customHeight="1" x14ac:dyDescent="0.45">
      <c r="A63" s="618"/>
      <c r="B63" s="160"/>
      <c r="C63" s="111"/>
      <c r="D63" s="438"/>
      <c r="E63" s="162"/>
      <c r="F63" s="162"/>
      <c r="G63" s="174"/>
      <c r="H63" s="174"/>
      <c r="I63" s="174"/>
      <c r="J63" s="174"/>
      <c r="K63" s="174"/>
      <c r="L63" s="174"/>
      <c r="M63" s="174"/>
      <c r="N63" s="174"/>
      <c r="O63" s="174"/>
      <c r="P63" s="174"/>
      <c r="Q63" s="174"/>
      <c r="R63" s="431"/>
    </row>
    <row r="64" spans="1:18" ht="13.5" customHeight="1" x14ac:dyDescent="0.45">
      <c r="A64" s="618"/>
      <c r="B64" s="160"/>
      <c r="C64" s="111"/>
      <c r="D64" s="438"/>
      <c r="E64" s="162"/>
      <c r="F64" s="162"/>
      <c r="G64" s="174"/>
      <c r="H64" s="174"/>
      <c r="I64" s="174"/>
      <c r="J64" s="174"/>
      <c r="K64" s="174"/>
      <c r="L64" s="174"/>
      <c r="M64" s="174"/>
      <c r="N64" s="174"/>
      <c r="O64" s="174"/>
      <c r="P64" s="174"/>
      <c r="Q64" s="174"/>
      <c r="R64" s="431"/>
    </row>
    <row r="65" spans="1:18" ht="13.5" customHeight="1" x14ac:dyDescent="0.45">
      <c r="A65" s="618"/>
      <c r="B65" s="160"/>
      <c r="C65" s="111"/>
      <c r="D65" s="438"/>
      <c r="E65" s="162"/>
      <c r="F65" s="162"/>
      <c r="G65" s="174"/>
      <c r="H65" s="174"/>
      <c r="I65" s="174"/>
      <c r="J65" s="174"/>
      <c r="K65" s="174"/>
      <c r="L65" s="174"/>
      <c r="M65" s="174"/>
      <c r="N65" s="174"/>
      <c r="O65" s="174"/>
      <c r="P65" s="174"/>
      <c r="Q65" s="174"/>
      <c r="R65" s="431"/>
    </row>
    <row r="66" spans="1:18" ht="13.5" customHeight="1" x14ac:dyDescent="0.45">
      <c r="A66" s="618"/>
      <c r="B66" s="160"/>
      <c r="C66" s="111"/>
      <c r="D66" s="438"/>
      <c r="E66" s="162"/>
      <c r="F66" s="162"/>
      <c r="G66" s="174"/>
      <c r="H66" s="174"/>
      <c r="I66" s="174"/>
      <c r="J66" s="174"/>
      <c r="K66" s="174"/>
      <c r="L66" s="174"/>
      <c r="M66" s="174"/>
      <c r="N66" s="174"/>
      <c r="O66" s="174"/>
      <c r="P66" s="174"/>
      <c r="Q66" s="174"/>
      <c r="R66" s="431"/>
    </row>
    <row r="67" spans="1:18" ht="13.5" customHeight="1" x14ac:dyDescent="0.45">
      <c r="A67" s="618"/>
      <c r="B67" s="160"/>
      <c r="C67" s="111"/>
      <c r="D67" s="438"/>
      <c r="E67" s="162"/>
      <c r="F67" s="162"/>
      <c r="G67" s="174"/>
      <c r="H67" s="174"/>
      <c r="I67" s="174"/>
      <c r="J67" s="174"/>
      <c r="K67" s="174"/>
      <c r="L67" s="174"/>
      <c r="M67" s="174"/>
      <c r="N67" s="174"/>
      <c r="O67" s="174"/>
      <c r="P67" s="174"/>
      <c r="Q67" s="174"/>
      <c r="R67" s="431"/>
    </row>
    <row r="68" spans="1:18" ht="13.5" customHeight="1" x14ac:dyDescent="0.45">
      <c r="A68" s="618"/>
      <c r="B68" s="160"/>
      <c r="C68" s="111"/>
      <c r="D68" s="438"/>
      <c r="E68" s="162"/>
      <c r="F68" s="162"/>
      <c r="G68" s="174"/>
      <c r="H68" s="174"/>
      <c r="I68" s="174"/>
      <c r="J68" s="174"/>
      <c r="K68" s="174"/>
      <c r="L68" s="174"/>
      <c r="M68" s="174"/>
      <c r="N68" s="174"/>
      <c r="O68" s="174"/>
      <c r="P68" s="174"/>
      <c r="Q68" s="174"/>
      <c r="R68" s="431"/>
    </row>
    <row r="69" spans="1:18" ht="13.5" customHeight="1" x14ac:dyDescent="0.45">
      <c r="A69" s="618"/>
      <c r="B69" s="160"/>
      <c r="C69" s="111"/>
      <c r="D69" s="438"/>
      <c r="E69" s="162"/>
      <c r="F69" s="162"/>
      <c r="G69" s="174"/>
      <c r="H69" s="174"/>
      <c r="I69" s="174"/>
      <c r="J69" s="174"/>
      <c r="K69" s="174"/>
      <c r="L69" s="174"/>
      <c r="M69" s="174"/>
      <c r="N69" s="174"/>
      <c r="O69" s="174"/>
      <c r="P69" s="174"/>
      <c r="Q69" s="174"/>
      <c r="R69" s="431"/>
    </row>
    <row r="70" spans="1:18" ht="13.5" customHeight="1" x14ac:dyDescent="0.45">
      <c r="A70" s="618"/>
      <c r="B70" s="160"/>
      <c r="C70" s="111"/>
      <c r="D70" s="438"/>
      <c r="E70" s="162"/>
      <c r="F70" s="162"/>
      <c r="G70" s="174"/>
      <c r="H70" s="174"/>
      <c r="I70" s="174"/>
      <c r="J70" s="174"/>
      <c r="K70" s="174"/>
      <c r="L70" s="174"/>
      <c r="M70" s="174"/>
      <c r="N70" s="174"/>
      <c r="O70" s="174"/>
      <c r="P70" s="174"/>
      <c r="Q70" s="174"/>
      <c r="R70" s="431"/>
    </row>
    <row r="71" spans="1:18" ht="13.5" customHeight="1" x14ac:dyDescent="0.45">
      <c r="A71" s="618"/>
      <c r="B71" s="160"/>
      <c r="C71" s="111"/>
      <c r="D71" s="438"/>
      <c r="E71" s="162"/>
      <c r="F71" s="162"/>
      <c r="G71" s="174"/>
      <c r="H71" s="174"/>
      <c r="I71" s="174"/>
      <c r="J71" s="174"/>
      <c r="K71" s="174"/>
      <c r="L71" s="174"/>
      <c r="M71" s="174"/>
      <c r="N71" s="174"/>
      <c r="O71" s="174"/>
      <c r="P71" s="174"/>
      <c r="Q71" s="174"/>
      <c r="R71" s="431"/>
    </row>
    <row r="72" spans="1:18" ht="13.5" customHeight="1" x14ac:dyDescent="0.45">
      <c r="A72" s="618"/>
      <c r="B72" s="160"/>
      <c r="C72" s="111"/>
      <c r="D72" s="438"/>
      <c r="E72" s="162"/>
      <c r="F72" s="162"/>
      <c r="G72" s="174"/>
      <c r="H72" s="174"/>
      <c r="I72" s="174"/>
      <c r="J72" s="174"/>
      <c r="K72" s="174"/>
      <c r="L72" s="174"/>
      <c r="M72" s="174"/>
      <c r="N72" s="174"/>
      <c r="O72" s="174"/>
      <c r="P72" s="174"/>
      <c r="Q72" s="174"/>
      <c r="R72" s="431"/>
    </row>
    <row r="73" spans="1:18" ht="13.5" customHeight="1" x14ac:dyDescent="0.45">
      <c r="A73" s="618"/>
      <c r="B73" s="160"/>
      <c r="C73" s="111"/>
      <c r="D73" s="438"/>
      <c r="E73" s="162"/>
      <c r="F73" s="162"/>
      <c r="G73" s="174"/>
      <c r="H73" s="174"/>
      <c r="I73" s="174"/>
      <c r="J73" s="174"/>
      <c r="K73" s="174"/>
      <c r="L73" s="174"/>
      <c r="M73" s="174"/>
      <c r="N73" s="174"/>
      <c r="O73" s="174"/>
      <c r="P73" s="174"/>
      <c r="Q73" s="174"/>
      <c r="R73" s="431"/>
    </row>
    <row r="74" spans="1:18" ht="13.5" customHeight="1" x14ac:dyDescent="0.45">
      <c r="A74" s="618"/>
      <c r="B74" s="160"/>
      <c r="C74" s="111"/>
      <c r="D74" s="438"/>
      <c r="E74" s="162"/>
      <c r="F74" s="162"/>
      <c r="G74" s="174"/>
      <c r="H74" s="174"/>
      <c r="I74" s="174"/>
      <c r="J74" s="174"/>
      <c r="K74" s="174"/>
      <c r="L74" s="174"/>
      <c r="M74" s="174"/>
      <c r="N74" s="174"/>
      <c r="O74" s="174"/>
      <c r="P74" s="174"/>
      <c r="Q74" s="174"/>
      <c r="R74" s="431"/>
    </row>
    <row r="75" spans="1:18" ht="13.5" customHeight="1" x14ac:dyDescent="0.45">
      <c r="A75" s="618"/>
      <c r="B75" s="160"/>
      <c r="C75" s="111"/>
      <c r="D75" s="438"/>
      <c r="E75" s="162"/>
      <c r="F75" s="162"/>
      <c r="G75" s="174"/>
      <c r="H75" s="174"/>
      <c r="I75" s="174"/>
      <c r="J75" s="174"/>
      <c r="K75" s="174"/>
      <c r="L75" s="174"/>
      <c r="M75" s="174"/>
      <c r="N75" s="174"/>
      <c r="O75" s="174"/>
      <c r="P75" s="174"/>
      <c r="Q75" s="174"/>
      <c r="R75" s="431"/>
    </row>
    <row r="76" spans="1:18" ht="13.5" customHeight="1" x14ac:dyDescent="0.45">
      <c r="A76" s="618"/>
      <c r="B76" s="160"/>
      <c r="C76" s="111"/>
      <c r="D76" s="438"/>
      <c r="E76" s="162"/>
      <c r="F76" s="162"/>
      <c r="G76" s="174"/>
      <c r="H76" s="174"/>
      <c r="I76" s="174"/>
      <c r="J76" s="174"/>
      <c r="K76" s="174"/>
      <c r="L76" s="174"/>
      <c r="M76" s="174"/>
      <c r="N76" s="174"/>
      <c r="O76" s="174"/>
      <c r="P76" s="174"/>
      <c r="Q76" s="174"/>
      <c r="R76" s="431"/>
    </row>
    <row r="77" spans="1:18" ht="13.5" customHeight="1" x14ac:dyDescent="0.45">
      <c r="A77" s="618"/>
      <c r="B77" s="160"/>
      <c r="C77" s="111"/>
      <c r="D77" s="438"/>
      <c r="E77" s="162"/>
      <c r="F77" s="162"/>
      <c r="G77" s="174"/>
      <c r="H77" s="174"/>
      <c r="I77" s="174"/>
      <c r="J77" s="174"/>
      <c r="K77" s="174"/>
      <c r="L77" s="174"/>
      <c r="M77" s="174"/>
      <c r="N77" s="174"/>
      <c r="O77" s="174"/>
      <c r="P77" s="174"/>
      <c r="Q77" s="174"/>
      <c r="R77" s="431"/>
    </row>
    <row r="78" spans="1:18" ht="13.5" customHeight="1" x14ac:dyDescent="0.45">
      <c r="A78" s="618"/>
      <c r="B78" s="160"/>
      <c r="C78" s="111"/>
      <c r="D78" s="438"/>
      <c r="E78" s="162"/>
      <c r="F78" s="162"/>
      <c r="G78" s="174"/>
      <c r="H78" s="174"/>
      <c r="I78" s="174"/>
      <c r="J78" s="174"/>
      <c r="K78" s="174"/>
      <c r="L78" s="174"/>
      <c r="M78" s="174"/>
      <c r="N78" s="174"/>
      <c r="O78" s="174"/>
      <c r="P78" s="174"/>
      <c r="Q78" s="174"/>
      <c r="R78" s="431"/>
    </row>
    <row r="79" spans="1:18" ht="13.5" customHeight="1" x14ac:dyDescent="0.45">
      <c r="A79" s="618"/>
      <c r="B79" s="160"/>
      <c r="C79" s="111"/>
      <c r="D79" s="438"/>
      <c r="E79" s="162"/>
      <c r="F79" s="162"/>
      <c r="G79" s="174"/>
      <c r="H79" s="174"/>
      <c r="I79" s="174"/>
      <c r="J79" s="174"/>
      <c r="K79" s="174"/>
      <c r="L79" s="174"/>
      <c r="M79" s="174"/>
      <c r="N79" s="174"/>
      <c r="O79" s="174"/>
      <c r="P79" s="174"/>
      <c r="Q79" s="174"/>
      <c r="R79" s="431"/>
    </row>
    <row r="80" spans="1:18" ht="13.5" customHeight="1" x14ac:dyDescent="0.45">
      <c r="A80" s="618"/>
      <c r="B80" s="160"/>
      <c r="C80" s="111"/>
      <c r="D80" s="438"/>
      <c r="E80" s="162"/>
      <c r="F80" s="162"/>
      <c r="G80" s="174"/>
      <c r="H80" s="174"/>
      <c r="I80" s="174"/>
      <c r="J80" s="174"/>
      <c r="K80" s="174"/>
      <c r="L80" s="174"/>
      <c r="M80" s="174"/>
      <c r="N80" s="174"/>
      <c r="O80" s="174"/>
      <c r="P80" s="174"/>
      <c r="Q80" s="174"/>
      <c r="R80" s="431"/>
    </row>
    <row r="81" spans="1:18" ht="13.5" customHeight="1" x14ac:dyDescent="0.45">
      <c r="A81" s="618"/>
      <c r="B81" s="160"/>
      <c r="C81" s="111"/>
      <c r="D81" s="438"/>
      <c r="E81" s="162"/>
      <c r="F81" s="162"/>
      <c r="G81" s="174"/>
      <c r="H81" s="174"/>
      <c r="I81" s="174"/>
      <c r="J81" s="174"/>
      <c r="K81" s="174"/>
      <c r="L81" s="174"/>
      <c r="M81" s="174"/>
      <c r="N81" s="174"/>
      <c r="O81" s="174"/>
      <c r="P81" s="174"/>
      <c r="Q81" s="174"/>
      <c r="R81" s="431"/>
    </row>
    <row r="82" spans="1:18" ht="13.5" customHeight="1" x14ac:dyDescent="0.45">
      <c r="A82" s="618"/>
      <c r="B82" s="160"/>
      <c r="C82" s="111"/>
      <c r="D82" s="438"/>
      <c r="E82" s="162"/>
      <c r="F82" s="162"/>
      <c r="G82" s="174"/>
      <c r="H82" s="174"/>
      <c r="I82" s="174"/>
      <c r="J82" s="174"/>
      <c r="K82" s="174"/>
      <c r="L82" s="174"/>
      <c r="M82" s="174"/>
      <c r="N82" s="174"/>
      <c r="O82" s="174"/>
      <c r="P82" s="174"/>
      <c r="Q82" s="174"/>
      <c r="R82" s="431"/>
    </row>
    <row r="83" spans="1:18" ht="13.5" customHeight="1" x14ac:dyDescent="0.45">
      <c r="A83" s="618"/>
      <c r="B83" s="160"/>
      <c r="C83" s="111"/>
      <c r="D83" s="438"/>
      <c r="E83" s="162"/>
      <c r="F83" s="162"/>
      <c r="G83" s="174"/>
      <c r="H83" s="174"/>
      <c r="I83" s="174"/>
      <c r="J83" s="174"/>
      <c r="K83" s="174"/>
      <c r="L83" s="174"/>
      <c r="M83" s="174"/>
      <c r="N83" s="174"/>
      <c r="O83" s="174"/>
      <c r="P83" s="174"/>
      <c r="Q83" s="174"/>
      <c r="R83" s="431"/>
    </row>
    <row r="84" spans="1:18" ht="13.5" customHeight="1" x14ac:dyDescent="0.45">
      <c r="A84" s="618"/>
      <c r="B84" s="160"/>
      <c r="C84" s="111"/>
      <c r="D84" s="438"/>
      <c r="E84" s="162"/>
      <c r="F84" s="162"/>
      <c r="G84" s="174"/>
      <c r="H84" s="174"/>
      <c r="I84" s="174"/>
      <c r="J84" s="174"/>
      <c r="K84" s="174"/>
      <c r="L84" s="174"/>
      <c r="M84" s="174"/>
      <c r="N84" s="174"/>
      <c r="O84" s="174"/>
      <c r="P84" s="174"/>
      <c r="Q84" s="174"/>
      <c r="R84" s="431"/>
    </row>
    <row r="85" spans="1:18" ht="13.5" customHeight="1" x14ac:dyDescent="0.45">
      <c r="A85" s="618"/>
      <c r="B85" s="160"/>
      <c r="C85" s="111"/>
      <c r="D85" s="438"/>
      <c r="E85" s="162"/>
      <c r="F85" s="162"/>
      <c r="G85" s="174"/>
      <c r="H85" s="174"/>
      <c r="I85" s="174"/>
      <c r="J85" s="174"/>
      <c r="K85" s="174"/>
      <c r="L85" s="174"/>
      <c r="M85" s="174"/>
      <c r="N85" s="174"/>
      <c r="O85" s="174"/>
      <c r="P85" s="174"/>
      <c r="Q85" s="174"/>
      <c r="R85" s="431"/>
    </row>
    <row r="86" spans="1:18" ht="13.5" customHeight="1" x14ac:dyDescent="0.45">
      <c r="A86" s="618"/>
      <c r="B86" s="160"/>
      <c r="C86" s="111"/>
      <c r="D86" s="438"/>
      <c r="E86" s="162"/>
      <c r="F86" s="162"/>
      <c r="G86" s="174"/>
      <c r="H86" s="174"/>
      <c r="I86" s="174"/>
      <c r="J86" s="174"/>
      <c r="K86" s="174"/>
      <c r="L86" s="174"/>
      <c r="M86" s="174"/>
      <c r="N86" s="174"/>
      <c r="O86" s="174"/>
      <c r="P86" s="174"/>
      <c r="Q86" s="174"/>
      <c r="R86" s="431"/>
    </row>
    <row r="87" spans="1:18" ht="13.5" customHeight="1" x14ac:dyDescent="0.45">
      <c r="A87" s="618"/>
      <c r="B87" s="160"/>
      <c r="C87" s="111"/>
      <c r="D87" s="438"/>
      <c r="E87" s="162"/>
      <c r="F87" s="162"/>
      <c r="G87" s="174"/>
      <c r="H87" s="174"/>
      <c r="I87" s="174"/>
      <c r="J87" s="174"/>
      <c r="K87" s="174"/>
      <c r="L87" s="174"/>
      <c r="M87" s="174"/>
      <c r="N87" s="174"/>
      <c r="O87" s="174"/>
      <c r="P87" s="174"/>
      <c r="Q87" s="174"/>
      <c r="R87" s="431"/>
    </row>
    <row r="88" spans="1:18" ht="13.5" customHeight="1" x14ac:dyDescent="0.45">
      <c r="A88" s="618"/>
      <c r="B88" s="118"/>
      <c r="C88" s="181"/>
      <c r="D88" s="191"/>
      <c r="E88" s="191"/>
      <c r="F88" s="191"/>
      <c r="G88" s="191"/>
      <c r="H88" s="191"/>
      <c r="I88" s="191"/>
      <c r="J88" s="191"/>
      <c r="K88" s="191"/>
      <c r="L88" s="191"/>
      <c r="M88" s="191"/>
      <c r="N88" s="191"/>
      <c r="O88" s="191"/>
      <c r="P88" s="191"/>
      <c r="Q88" s="191"/>
      <c r="R88" s="192"/>
    </row>
    <row r="89" spans="1:18" ht="13.5" customHeight="1" x14ac:dyDescent="0.45">
      <c r="A89" s="1"/>
      <c r="B89" s="1"/>
      <c r="C89" s="1"/>
      <c r="D89" s="1"/>
      <c r="E89" s="1"/>
      <c r="F89" s="1"/>
      <c r="G89" s="1"/>
      <c r="H89" s="1"/>
      <c r="I89" s="1"/>
      <c r="J89" s="1"/>
      <c r="K89" s="1"/>
      <c r="L89" s="1"/>
      <c r="M89" s="1"/>
      <c r="N89" s="1"/>
      <c r="O89" s="1"/>
      <c r="P89" s="1"/>
      <c r="Q89" s="1"/>
      <c r="R89" s="1"/>
    </row>
    <row r="90" spans="1:18" ht="13.5" customHeight="1" x14ac:dyDescent="0.45">
      <c r="A90" s="618"/>
      <c r="B90" s="26"/>
      <c r="C90" s="212"/>
      <c r="D90" s="211"/>
      <c r="E90" s="211"/>
      <c r="F90" s="211"/>
      <c r="G90" s="211"/>
      <c r="H90" s="211"/>
      <c r="I90" s="211"/>
      <c r="J90" s="211"/>
      <c r="K90" s="211"/>
      <c r="L90" s="211"/>
      <c r="M90" s="211"/>
      <c r="N90" s="211"/>
      <c r="O90" s="211"/>
      <c r="P90" s="211"/>
      <c r="Q90" s="211"/>
      <c r="R90" s="351"/>
    </row>
    <row r="91" spans="1:18" ht="13.5" customHeight="1" x14ac:dyDescent="0.45">
      <c r="A91" s="618"/>
      <c r="B91" s="215"/>
      <c r="C91" s="444" t="s">
        <v>569</v>
      </c>
      <c r="D91" s="220"/>
      <c r="E91" s="220"/>
      <c r="F91" s="220"/>
      <c r="G91" s="220"/>
      <c r="H91" s="220"/>
      <c r="I91" s="220"/>
      <c r="J91" s="220"/>
      <c r="K91" s="220"/>
      <c r="L91" s="220"/>
      <c r="M91" s="220"/>
      <c r="N91" s="220"/>
      <c r="O91" s="220"/>
      <c r="P91" s="220"/>
      <c r="Q91" s="220"/>
      <c r="R91" s="352"/>
    </row>
    <row r="92" spans="1:18" ht="13.5" customHeight="1" x14ac:dyDescent="0.45">
      <c r="A92" s="618"/>
      <c r="B92" s="215"/>
      <c r="C92" s="243"/>
      <c r="D92" s="285"/>
      <c r="E92" s="285"/>
      <c r="F92" s="285"/>
      <c r="G92" s="285"/>
      <c r="H92" s="285"/>
      <c r="I92" s="285"/>
      <c r="J92" s="285"/>
      <c r="K92" s="285"/>
      <c r="L92" s="285"/>
      <c r="M92" s="285"/>
      <c r="N92" s="285"/>
      <c r="O92" s="285"/>
      <c r="P92" s="285"/>
      <c r="Q92" s="285"/>
      <c r="R92" s="352"/>
    </row>
    <row r="93" spans="1:18" ht="13.5" customHeight="1" x14ac:dyDescent="0.45">
      <c r="A93" s="618"/>
      <c r="B93" s="215"/>
      <c r="C93" s="221"/>
      <c r="D93" s="285"/>
      <c r="E93" s="285"/>
      <c r="F93" s="285"/>
      <c r="G93" s="285"/>
      <c r="H93" s="285"/>
      <c r="I93" s="285"/>
      <c r="J93" s="285"/>
      <c r="K93" s="285"/>
      <c r="L93" s="285"/>
      <c r="M93" s="285"/>
      <c r="N93" s="285"/>
      <c r="O93" s="285"/>
      <c r="P93" s="285"/>
      <c r="Q93" s="285"/>
      <c r="R93" s="352"/>
    </row>
    <row r="94" spans="1:18" ht="13.5" customHeight="1" x14ac:dyDescent="0.45">
      <c r="A94" s="618"/>
      <c r="B94" s="215"/>
      <c r="C94" s="221"/>
      <c r="D94" s="285"/>
      <c r="E94" s="285"/>
      <c r="F94" s="285"/>
      <c r="G94" s="285"/>
      <c r="H94" s="285"/>
      <c r="I94" s="285"/>
      <c r="J94" s="285"/>
      <c r="K94" s="285"/>
      <c r="L94" s="285"/>
      <c r="M94" s="285"/>
      <c r="N94" s="285"/>
      <c r="O94" s="285"/>
      <c r="P94" s="285"/>
      <c r="Q94" s="285"/>
      <c r="R94" s="352"/>
    </row>
    <row r="95" spans="1:18" ht="13.5" customHeight="1" x14ac:dyDescent="0.45">
      <c r="A95" s="618"/>
      <c r="B95" s="215"/>
      <c r="C95" s="221"/>
      <c r="D95" s="285"/>
      <c r="E95" s="285"/>
      <c r="F95" s="285"/>
      <c r="G95" s="285"/>
      <c r="H95" s="285"/>
      <c r="I95" s="285"/>
      <c r="J95" s="285"/>
      <c r="K95" s="285"/>
      <c r="L95" s="285"/>
      <c r="M95" s="285"/>
      <c r="N95" s="285"/>
      <c r="O95" s="285"/>
      <c r="P95" s="285"/>
      <c r="Q95" s="285"/>
      <c r="R95" s="352"/>
    </row>
    <row r="96" spans="1:18" ht="13.5" customHeight="1" x14ac:dyDescent="0.45">
      <c r="A96" s="618"/>
      <c r="B96" s="215"/>
      <c r="C96" s="221"/>
      <c r="D96" s="285"/>
      <c r="E96" s="285"/>
      <c r="F96" s="285"/>
      <c r="G96" s="285"/>
      <c r="H96" s="285"/>
      <c r="I96" s="285"/>
      <c r="J96" s="285"/>
      <c r="K96" s="285"/>
      <c r="L96" s="285"/>
      <c r="M96" s="285"/>
      <c r="N96" s="285"/>
      <c r="O96" s="285"/>
      <c r="P96" s="285"/>
      <c r="Q96" s="285"/>
      <c r="R96" s="352"/>
    </row>
    <row r="97" spans="1:18" ht="13.5" customHeight="1" x14ac:dyDescent="0.45">
      <c r="A97" s="618"/>
      <c r="B97" s="215"/>
      <c r="C97" s="221"/>
      <c r="D97" s="285"/>
      <c r="E97" s="285"/>
      <c r="F97" s="285"/>
      <c r="G97" s="285"/>
      <c r="H97" s="285"/>
      <c r="I97" s="285"/>
      <c r="J97" s="285"/>
      <c r="K97" s="285"/>
      <c r="L97" s="285"/>
      <c r="M97" s="285"/>
      <c r="N97" s="285"/>
      <c r="O97" s="285"/>
      <c r="P97" s="285"/>
      <c r="Q97" s="285"/>
      <c r="R97" s="352"/>
    </row>
    <row r="98" spans="1:18" ht="13.5" customHeight="1" x14ac:dyDescent="0.45">
      <c r="A98" s="618"/>
      <c r="B98" s="215"/>
      <c r="C98" s="221"/>
      <c r="D98" s="285"/>
      <c r="E98" s="285"/>
      <c r="F98" s="285"/>
      <c r="G98" s="285"/>
      <c r="H98" s="285"/>
      <c r="I98" s="285"/>
      <c r="J98" s="285"/>
      <c r="K98" s="285"/>
      <c r="L98" s="285"/>
      <c r="M98" s="285"/>
      <c r="N98" s="285"/>
      <c r="O98" s="285"/>
      <c r="P98" s="285"/>
      <c r="Q98" s="285"/>
      <c r="R98" s="352"/>
    </row>
    <row r="99" spans="1:18" ht="13.5" customHeight="1" x14ac:dyDescent="0.45">
      <c r="A99" s="618"/>
      <c r="B99" s="215"/>
      <c r="C99" s="91"/>
      <c r="D99" s="445"/>
      <c r="E99" s="445"/>
      <c r="F99" s="445"/>
      <c r="G99" s="445"/>
      <c r="H99" s="445"/>
      <c r="I99" s="445"/>
      <c r="J99" s="445"/>
      <c r="K99" s="445"/>
      <c r="L99" s="285"/>
      <c r="M99" s="285"/>
      <c r="N99" s="285"/>
      <c r="O99" s="285"/>
      <c r="P99" s="285"/>
      <c r="Q99" s="285"/>
      <c r="R99" s="352"/>
    </row>
    <row r="100" spans="1:18" ht="13.5" customHeight="1" x14ac:dyDescent="0.45">
      <c r="A100" s="618"/>
      <c r="B100" s="215"/>
      <c r="C100" s="243"/>
      <c r="D100" s="285"/>
      <c r="E100" s="285"/>
      <c r="F100" s="285"/>
      <c r="G100" s="285"/>
      <c r="H100" s="285"/>
      <c r="I100" s="285"/>
      <c r="J100" s="285"/>
      <c r="K100" s="285"/>
      <c r="L100" s="285"/>
      <c r="M100" s="285"/>
      <c r="N100" s="285"/>
      <c r="O100" s="285"/>
      <c r="P100" s="285"/>
      <c r="Q100" s="285"/>
      <c r="R100" s="352"/>
    </row>
    <row r="101" spans="1:18" ht="13.5" customHeight="1" x14ac:dyDescent="0.45">
      <c r="A101" s="618"/>
      <c r="B101" s="215"/>
      <c r="C101" s="243"/>
      <c r="D101" s="285"/>
      <c r="E101" s="285"/>
      <c r="F101" s="285"/>
      <c r="G101" s="285"/>
      <c r="H101" s="285"/>
      <c r="I101" s="285"/>
      <c r="J101" s="285"/>
      <c r="K101" s="285"/>
      <c r="L101" s="285"/>
      <c r="M101" s="285"/>
      <c r="N101" s="285"/>
      <c r="O101" s="285"/>
      <c r="P101" s="285"/>
      <c r="Q101" s="285"/>
      <c r="R101" s="352"/>
    </row>
    <row r="102" spans="1:18" ht="13.5" customHeight="1" x14ac:dyDescent="0.45">
      <c r="A102" s="618"/>
      <c r="B102" s="215"/>
      <c r="C102" s="243"/>
      <c r="D102" s="285"/>
      <c r="E102" s="285"/>
      <c r="F102" s="285"/>
      <c r="G102" s="285"/>
      <c r="H102" s="285"/>
      <c r="I102" s="285"/>
      <c r="J102" s="285"/>
      <c r="K102" s="285"/>
      <c r="L102" s="285"/>
      <c r="M102" s="285"/>
      <c r="N102" s="285"/>
      <c r="O102" s="285"/>
      <c r="P102" s="285"/>
      <c r="Q102" s="285"/>
      <c r="R102" s="352"/>
    </row>
    <row r="103" spans="1:18" ht="13.5" customHeight="1" x14ac:dyDescent="0.45">
      <c r="A103" s="618"/>
      <c r="B103" s="215"/>
      <c r="C103" s="221"/>
      <c r="D103" s="362"/>
      <c r="E103" s="362"/>
      <c r="F103" s="362"/>
      <c r="G103" s="362"/>
      <c r="H103" s="362"/>
      <c r="I103" s="362"/>
      <c r="J103" s="362"/>
      <c r="K103" s="362"/>
      <c r="L103" s="285"/>
      <c r="M103" s="285"/>
      <c r="N103" s="285"/>
      <c r="O103" s="285"/>
      <c r="P103" s="285"/>
      <c r="Q103" s="285"/>
      <c r="R103" s="352"/>
    </row>
    <row r="104" spans="1:18" ht="13.5" customHeight="1" x14ac:dyDescent="0.45">
      <c r="A104" s="618"/>
      <c r="B104" s="215"/>
      <c r="C104" s="221"/>
      <c r="D104" s="362"/>
      <c r="E104" s="362"/>
      <c r="F104" s="362"/>
      <c r="G104" s="362"/>
      <c r="H104" s="362"/>
      <c r="I104" s="362"/>
      <c r="J104" s="362"/>
      <c r="K104" s="362"/>
      <c r="L104" s="285"/>
      <c r="M104" s="285"/>
      <c r="N104" s="285"/>
      <c r="O104" s="285"/>
      <c r="P104" s="285"/>
      <c r="Q104" s="285"/>
      <c r="R104" s="352"/>
    </row>
    <row r="105" spans="1:18" ht="13.5" customHeight="1" x14ac:dyDescent="0.45">
      <c r="A105" s="618"/>
      <c r="B105" s="215"/>
      <c r="C105" s="221"/>
      <c r="D105" s="362"/>
      <c r="E105" s="362"/>
      <c r="F105" s="362"/>
      <c r="G105" s="362"/>
      <c r="H105" s="362"/>
      <c r="I105" s="362"/>
      <c r="J105" s="362"/>
      <c r="K105" s="362"/>
      <c r="L105" s="285"/>
      <c r="M105" s="285"/>
      <c r="N105" s="285"/>
      <c r="O105" s="285"/>
      <c r="P105" s="285"/>
      <c r="Q105" s="285"/>
      <c r="R105" s="352"/>
    </row>
    <row r="106" spans="1:18" ht="13.5" customHeight="1" x14ac:dyDescent="0.45">
      <c r="A106" s="618"/>
      <c r="B106" s="215"/>
      <c r="C106" s="221"/>
      <c r="D106" s="362"/>
      <c r="E106" s="362"/>
      <c r="F106" s="362"/>
      <c r="G106" s="362"/>
      <c r="H106" s="362"/>
      <c r="I106" s="362"/>
      <c r="J106" s="362"/>
      <c r="K106" s="362"/>
      <c r="L106" s="285"/>
      <c r="M106" s="285"/>
      <c r="N106" s="285"/>
      <c r="O106" s="285"/>
      <c r="P106" s="285"/>
      <c r="Q106" s="285"/>
      <c r="R106" s="352"/>
    </row>
    <row r="107" spans="1:18" ht="13.5" customHeight="1" x14ac:dyDescent="0.45">
      <c r="A107" s="618"/>
      <c r="B107" s="215"/>
      <c r="C107" s="221"/>
      <c r="D107" s="362"/>
      <c r="E107" s="362"/>
      <c r="F107" s="362"/>
      <c r="G107" s="362"/>
      <c r="H107" s="362"/>
      <c r="I107" s="362"/>
      <c r="J107" s="362"/>
      <c r="K107" s="362"/>
      <c r="L107" s="285"/>
      <c r="M107" s="285"/>
      <c r="N107" s="285"/>
      <c r="O107" s="285"/>
      <c r="P107" s="285"/>
      <c r="Q107" s="285"/>
      <c r="R107" s="352"/>
    </row>
    <row r="108" spans="1:18" ht="13.5" customHeight="1" x14ac:dyDescent="0.45">
      <c r="A108" s="618"/>
      <c r="B108" s="215"/>
      <c r="C108" s="221"/>
      <c r="D108" s="362"/>
      <c r="E108" s="362"/>
      <c r="F108" s="362"/>
      <c r="G108" s="362"/>
      <c r="H108" s="362"/>
      <c r="I108" s="362"/>
      <c r="J108" s="362"/>
      <c r="K108" s="362"/>
      <c r="L108" s="285"/>
      <c r="M108" s="285"/>
      <c r="N108" s="285"/>
      <c r="O108" s="285"/>
      <c r="P108" s="285"/>
      <c r="Q108" s="285"/>
      <c r="R108" s="352"/>
    </row>
    <row r="109" spans="1:18" ht="13.5" customHeight="1" x14ac:dyDescent="0.45">
      <c r="A109" s="618"/>
      <c r="B109" s="215"/>
      <c r="C109" s="91"/>
      <c r="D109" s="448"/>
      <c r="E109" s="448"/>
      <c r="F109" s="448"/>
      <c r="G109" s="448"/>
      <c r="H109" s="448"/>
      <c r="I109" s="448"/>
      <c r="J109" s="448"/>
      <c r="K109" s="448"/>
      <c r="L109" s="285"/>
      <c r="M109" s="285"/>
      <c r="N109" s="285"/>
      <c r="O109" s="285"/>
      <c r="P109" s="285"/>
      <c r="Q109" s="285"/>
      <c r="R109" s="352"/>
    </row>
    <row r="110" spans="1:18" ht="13.5" customHeight="1" x14ac:dyDescent="0.45">
      <c r="A110" s="618"/>
      <c r="B110" s="258"/>
      <c r="C110" s="329"/>
      <c r="D110" s="259"/>
      <c r="E110" s="259"/>
      <c r="F110" s="259"/>
      <c r="G110" s="259"/>
      <c r="H110" s="259"/>
      <c r="I110" s="259"/>
      <c r="J110" s="259"/>
      <c r="K110" s="259"/>
      <c r="L110" s="259"/>
      <c r="M110" s="259"/>
      <c r="N110" s="259"/>
      <c r="O110" s="259"/>
      <c r="P110" s="259"/>
      <c r="Q110" s="259"/>
      <c r="R110" s="425"/>
    </row>
    <row r="111" spans="1:18" ht="13.5" customHeight="1" x14ac:dyDescent="0.45">
      <c r="A111" s="1"/>
      <c r="B111" s="1"/>
      <c r="C111" s="1"/>
      <c r="D111" s="1"/>
      <c r="E111" s="1"/>
      <c r="F111" s="1"/>
      <c r="G111" s="1"/>
      <c r="H111" s="1"/>
      <c r="I111" s="1"/>
      <c r="J111" s="1"/>
      <c r="K111" s="1"/>
      <c r="L111" s="1"/>
      <c r="M111" s="1"/>
      <c r="N111" s="1"/>
      <c r="O111" s="1"/>
      <c r="P111" s="1"/>
      <c r="Q111" s="1"/>
      <c r="R111" s="1"/>
    </row>
    <row r="112" spans="1:18" ht="13.5" customHeight="1" x14ac:dyDescent="0.45">
      <c r="A112" s="618"/>
      <c r="B112" s="63"/>
      <c r="C112" s="399"/>
      <c r="D112" s="398"/>
      <c r="E112" s="398"/>
      <c r="F112" s="398"/>
      <c r="G112" s="398"/>
      <c r="H112" s="398"/>
      <c r="I112" s="398"/>
      <c r="J112" s="398"/>
      <c r="K112" s="398"/>
      <c r="L112" s="398"/>
      <c r="M112" s="398"/>
      <c r="N112" s="398"/>
      <c r="O112" s="398"/>
      <c r="P112" s="398"/>
      <c r="Q112" s="398"/>
      <c r="R112" s="449"/>
    </row>
    <row r="113" spans="1:18" ht="13.5" customHeight="1" x14ac:dyDescent="0.45">
      <c r="A113" s="618"/>
      <c r="B113" s="400"/>
      <c r="C113" s="402" t="s">
        <v>478</v>
      </c>
      <c r="D113" s="403"/>
      <c r="E113" s="403"/>
      <c r="F113" s="403"/>
      <c r="G113" s="403"/>
      <c r="H113" s="403"/>
      <c r="I113" s="403"/>
      <c r="J113" s="403"/>
      <c r="K113" s="403"/>
      <c r="L113" s="403"/>
      <c r="M113" s="403"/>
      <c r="N113" s="403"/>
      <c r="O113" s="403"/>
      <c r="P113" s="403"/>
      <c r="Q113" s="403"/>
      <c r="R113" s="450"/>
    </row>
    <row r="114" spans="1:18" ht="13.5" customHeight="1" x14ac:dyDescent="0.45">
      <c r="A114" s="618"/>
      <c r="B114" s="400"/>
      <c r="C114" s="402"/>
      <c r="D114" s="403"/>
      <c r="E114" s="403"/>
      <c r="F114" s="403"/>
      <c r="G114" s="403"/>
      <c r="H114" s="403"/>
      <c r="I114" s="403"/>
      <c r="J114" s="403"/>
      <c r="K114" s="403"/>
      <c r="L114" s="403"/>
      <c r="M114" s="403"/>
      <c r="N114" s="403"/>
      <c r="O114" s="403"/>
      <c r="P114" s="403"/>
      <c r="Q114" s="403"/>
      <c r="R114" s="450"/>
    </row>
    <row r="115" spans="1:18" ht="13.5" customHeight="1" x14ac:dyDescent="0.45">
      <c r="A115" s="618"/>
      <c r="B115" s="400"/>
      <c r="C115" s="402"/>
      <c r="D115" s="403"/>
      <c r="E115" s="403"/>
      <c r="F115" s="403"/>
      <c r="G115" s="403"/>
      <c r="H115" s="403"/>
      <c r="I115" s="403"/>
      <c r="J115" s="403"/>
      <c r="K115" s="403"/>
      <c r="L115" s="403"/>
      <c r="M115" s="403"/>
      <c r="N115" s="403"/>
      <c r="O115" s="403"/>
      <c r="P115" s="403"/>
      <c r="Q115" s="403"/>
      <c r="R115" s="450"/>
    </row>
    <row r="116" spans="1:18" ht="13.5" customHeight="1" x14ac:dyDescent="0.45">
      <c r="A116" s="618"/>
      <c r="B116" s="400"/>
      <c r="C116" s="402"/>
      <c r="D116" s="403"/>
      <c r="E116" s="403"/>
      <c r="F116" s="403"/>
      <c r="G116" s="403"/>
      <c r="H116" s="403"/>
      <c r="I116" s="403"/>
      <c r="J116" s="403"/>
      <c r="K116" s="403"/>
      <c r="L116" s="403"/>
      <c r="M116" s="403"/>
      <c r="N116" s="403"/>
      <c r="O116" s="403"/>
      <c r="P116" s="403"/>
      <c r="Q116" s="403"/>
      <c r="R116" s="450"/>
    </row>
    <row r="117" spans="1:18" ht="13.5" customHeight="1" x14ac:dyDescent="0.45">
      <c r="A117" s="618"/>
      <c r="B117" s="400"/>
      <c r="C117" s="402"/>
      <c r="D117" s="403"/>
      <c r="E117" s="403"/>
      <c r="F117" s="403"/>
      <c r="G117" s="403"/>
      <c r="H117" s="403"/>
      <c r="I117" s="403"/>
      <c r="J117" s="403"/>
      <c r="K117" s="403"/>
      <c r="L117" s="403"/>
      <c r="M117" s="403"/>
      <c r="N117" s="403"/>
      <c r="O117" s="403"/>
      <c r="P117" s="403"/>
      <c r="Q117" s="403"/>
      <c r="R117" s="450"/>
    </row>
    <row r="118" spans="1:18" ht="13.5" customHeight="1" x14ac:dyDescent="0.45">
      <c r="A118" s="618"/>
      <c r="B118" s="400"/>
      <c r="C118" s="402"/>
      <c r="D118" s="403"/>
      <c r="E118" s="403"/>
      <c r="F118" s="403"/>
      <c r="G118" s="403"/>
      <c r="H118" s="403"/>
      <c r="I118" s="403"/>
      <c r="J118" s="403"/>
      <c r="K118" s="403"/>
      <c r="L118" s="403"/>
      <c r="M118" s="403"/>
      <c r="N118" s="403"/>
      <c r="O118" s="403"/>
      <c r="P118" s="403"/>
      <c r="Q118" s="403"/>
      <c r="R118" s="450"/>
    </row>
    <row r="119" spans="1:18" ht="13.5" customHeight="1" x14ac:dyDescent="0.45">
      <c r="A119" s="618"/>
      <c r="B119" s="400"/>
      <c r="C119" s="402"/>
      <c r="D119" s="403"/>
      <c r="E119" s="403"/>
      <c r="F119" s="403"/>
      <c r="G119" s="403"/>
      <c r="H119" s="403"/>
      <c r="I119" s="403"/>
      <c r="J119" s="403"/>
      <c r="K119" s="403"/>
      <c r="L119" s="403"/>
      <c r="M119" s="403"/>
      <c r="N119" s="403"/>
      <c r="O119" s="403"/>
      <c r="P119" s="403"/>
      <c r="Q119" s="403"/>
      <c r="R119" s="450"/>
    </row>
    <row r="120" spans="1:18" ht="13.5" customHeight="1" x14ac:dyDescent="0.45">
      <c r="A120" s="618"/>
      <c r="B120" s="400"/>
      <c r="C120" s="402"/>
      <c r="D120" s="403"/>
      <c r="E120" s="403"/>
      <c r="F120" s="403"/>
      <c r="G120" s="403"/>
      <c r="H120" s="403"/>
      <c r="I120" s="403"/>
      <c r="J120" s="403"/>
      <c r="K120" s="403"/>
      <c r="L120" s="403"/>
      <c r="M120" s="403"/>
      <c r="N120" s="403"/>
      <c r="O120" s="403"/>
      <c r="P120" s="403"/>
      <c r="Q120" s="403"/>
      <c r="R120" s="450"/>
    </row>
    <row r="121" spans="1:18" ht="13.5" customHeight="1" x14ac:dyDescent="0.45">
      <c r="A121" s="618"/>
      <c r="B121" s="400"/>
      <c r="C121" s="402"/>
      <c r="D121" s="403"/>
      <c r="E121" s="403"/>
      <c r="F121" s="403"/>
      <c r="G121" s="403"/>
      <c r="H121" s="403"/>
      <c r="I121" s="403"/>
      <c r="J121" s="403"/>
      <c r="K121" s="403"/>
      <c r="L121" s="403"/>
      <c r="M121" s="403"/>
      <c r="N121" s="403"/>
      <c r="O121" s="403"/>
      <c r="P121" s="403"/>
      <c r="Q121" s="403"/>
      <c r="R121" s="450"/>
    </row>
    <row r="122" spans="1:18" ht="13.5" customHeight="1" x14ac:dyDescent="0.45">
      <c r="A122" s="618"/>
      <c r="B122" s="400"/>
      <c r="C122" s="402"/>
      <c r="D122" s="403"/>
      <c r="E122" s="403"/>
      <c r="F122" s="403"/>
      <c r="G122" s="403"/>
      <c r="H122" s="403"/>
      <c r="I122" s="403"/>
      <c r="J122" s="403"/>
      <c r="K122" s="403"/>
      <c r="L122" s="403"/>
      <c r="M122" s="403"/>
      <c r="N122" s="403"/>
      <c r="O122" s="403"/>
      <c r="P122" s="403"/>
      <c r="Q122" s="403"/>
      <c r="R122" s="450"/>
    </row>
    <row r="123" spans="1:18" ht="13.5" customHeight="1" x14ac:dyDescent="0.45">
      <c r="A123" s="618"/>
      <c r="B123" s="400"/>
      <c r="C123" s="402"/>
      <c r="D123" s="403"/>
      <c r="E123" s="403"/>
      <c r="F123" s="403"/>
      <c r="G123" s="403"/>
      <c r="H123" s="403"/>
      <c r="I123" s="403"/>
      <c r="J123" s="403"/>
      <c r="K123" s="403"/>
      <c r="L123" s="403"/>
      <c r="M123" s="403"/>
      <c r="N123" s="403"/>
      <c r="O123" s="403"/>
      <c r="P123" s="403"/>
      <c r="Q123" s="403"/>
      <c r="R123" s="450"/>
    </row>
    <row r="124" spans="1:18" ht="13.5" customHeight="1" x14ac:dyDescent="0.45">
      <c r="A124" s="618"/>
      <c r="B124" s="400"/>
      <c r="C124" s="404"/>
      <c r="D124" s="403"/>
      <c r="E124" s="403"/>
      <c r="F124" s="403"/>
      <c r="G124" s="403"/>
      <c r="H124" s="403"/>
      <c r="I124" s="403"/>
      <c r="J124" s="403"/>
      <c r="K124" s="403"/>
      <c r="L124" s="403"/>
      <c r="M124" s="403"/>
      <c r="N124" s="403"/>
      <c r="O124" s="403"/>
      <c r="P124" s="403"/>
      <c r="Q124" s="403"/>
      <c r="R124" s="450"/>
    </row>
    <row r="125" spans="1:18" ht="13.5" customHeight="1" x14ac:dyDescent="0.45">
      <c r="A125" s="618"/>
      <c r="B125" s="400"/>
      <c r="C125" s="405"/>
      <c r="D125" s="406"/>
      <c r="E125" s="406"/>
      <c r="F125" s="406"/>
      <c r="G125" s="406"/>
      <c r="H125" s="406"/>
      <c r="I125" s="406"/>
      <c r="J125" s="406"/>
      <c r="K125" s="406"/>
      <c r="L125" s="403"/>
      <c r="M125" s="403"/>
      <c r="N125" s="403"/>
      <c r="O125" s="403"/>
      <c r="P125" s="403"/>
      <c r="Q125" s="403"/>
      <c r="R125" s="450"/>
    </row>
    <row r="126" spans="1:18" ht="13.5" customHeight="1" x14ac:dyDescent="0.45">
      <c r="A126" s="618"/>
      <c r="B126" s="400"/>
      <c r="C126" s="405"/>
      <c r="D126" s="406"/>
      <c r="E126" s="406"/>
      <c r="F126" s="406"/>
      <c r="G126" s="406"/>
      <c r="H126" s="406"/>
      <c r="I126" s="406"/>
      <c r="J126" s="406"/>
      <c r="K126" s="406"/>
      <c r="L126" s="403"/>
      <c r="M126" s="403"/>
      <c r="N126" s="403"/>
      <c r="O126" s="403"/>
      <c r="P126" s="403"/>
      <c r="Q126" s="403"/>
      <c r="R126" s="450"/>
    </row>
    <row r="127" spans="1:18" ht="13.5" customHeight="1" x14ac:dyDescent="0.45">
      <c r="A127" s="618"/>
      <c r="B127" s="400"/>
      <c r="C127" s="405"/>
      <c r="D127" s="406"/>
      <c r="E127" s="406"/>
      <c r="F127" s="406"/>
      <c r="G127" s="406"/>
      <c r="H127" s="406"/>
      <c r="I127" s="406"/>
      <c r="J127" s="406"/>
      <c r="K127" s="406"/>
      <c r="L127" s="403"/>
      <c r="M127" s="403"/>
      <c r="N127" s="403"/>
      <c r="O127" s="403"/>
      <c r="P127" s="403"/>
      <c r="Q127" s="403"/>
      <c r="R127" s="450"/>
    </row>
    <row r="128" spans="1:18" ht="13.5" customHeight="1" x14ac:dyDescent="0.45">
      <c r="A128" s="618"/>
      <c r="B128" s="400"/>
      <c r="C128" s="405"/>
      <c r="D128" s="406"/>
      <c r="E128" s="406"/>
      <c r="F128" s="406"/>
      <c r="G128" s="406"/>
      <c r="H128" s="406"/>
      <c r="I128" s="406"/>
      <c r="J128" s="406"/>
      <c r="K128" s="406"/>
      <c r="L128" s="403"/>
      <c r="M128" s="403"/>
      <c r="N128" s="403"/>
      <c r="O128" s="403"/>
      <c r="P128" s="403"/>
      <c r="Q128" s="403"/>
      <c r="R128" s="450"/>
    </row>
    <row r="129" spans="1:18" ht="13.5" customHeight="1" x14ac:dyDescent="0.45">
      <c r="A129" s="618"/>
      <c r="B129" s="400"/>
      <c r="C129" s="405"/>
      <c r="D129" s="406"/>
      <c r="E129" s="406"/>
      <c r="F129" s="406"/>
      <c r="G129" s="406"/>
      <c r="H129" s="406"/>
      <c r="I129" s="406"/>
      <c r="J129" s="406"/>
      <c r="K129" s="406"/>
      <c r="L129" s="403"/>
      <c r="M129" s="403"/>
      <c r="N129" s="403"/>
      <c r="O129" s="403"/>
      <c r="P129" s="403"/>
      <c r="Q129" s="403"/>
      <c r="R129" s="450"/>
    </row>
    <row r="130" spans="1:18" ht="13.5" customHeight="1" x14ac:dyDescent="0.45">
      <c r="A130" s="618"/>
      <c r="B130" s="400"/>
      <c r="C130" s="405"/>
      <c r="D130" s="406"/>
      <c r="E130" s="406"/>
      <c r="F130" s="406"/>
      <c r="G130" s="406"/>
      <c r="H130" s="406"/>
      <c r="I130" s="406"/>
      <c r="J130" s="406"/>
      <c r="K130" s="406"/>
      <c r="L130" s="403"/>
      <c r="M130" s="403"/>
      <c r="N130" s="403"/>
      <c r="O130" s="403"/>
      <c r="P130" s="403"/>
      <c r="Q130" s="403"/>
      <c r="R130" s="450"/>
    </row>
    <row r="131" spans="1:18" ht="13.5" customHeight="1" x14ac:dyDescent="0.45">
      <c r="A131" s="618"/>
      <c r="B131" s="451"/>
      <c r="C131" s="452"/>
      <c r="D131" s="453"/>
      <c r="E131" s="453"/>
      <c r="F131" s="453"/>
      <c r="G131" s="453"/>
      <c r="H131" s="453"/>
      <c r="I131" s="453"/>
      <c r="J131" s="453"/>
      <c r="K131" s="453"/>
      <c r="L131" s="453"/>
      <c r="M131" s="453"/>
      <c r="N131" s="453"/>
      <c r="O131" s="453"/>
      <c r="P131" s="453"/>
      <c r="Q131" s="453"/>
      <c r="R131" s="454"/>
    </row>
    <row r="132" spans="1:18" ht="13.5" customHeight="1" x14ac:dyDescent="0.45">
      <c r="A132" s="1"/>
      <c r="B132" s="1"/>
      <c r="C132" s="1"/>
      <c r="D132" s="1"/>
      <c r="E132" s="1"/>
      <c r="F132" s="1"/>
      <c r="G132" s="1"/>
      <c r="H132" s="1"/>
      <c r="I132" s="1"/>
      <c r="J132" s="1"/>
      <c r="K132" s="1"/>
      <c r="L132" s="1"/>
      <c r="M132" s="1"/>
      <c r="N132" s="1"/>
      <c r="O132" s="1"/>
      <c r="P132" s="1"/>
      <c r="Q132" s="1"/>
      <c r="R132" s="1"/>
    </row>
    <row r="133" spans="1:18" ht="13.5" customHeight="1" x14ac:dyDescent="0.45">
      <c r="A133" s="618"/>
      <c r="B133" s="26"/>
      <c r="C133" s="212"/>
      <c r="D133" s="211"/>
      <c r="E133" s="211"/>
      <c r="F133" s="211"/>
      <c r="G133" s="211"/>
      <c r="H133" s="211"/>
      <c r="I133" s="211"/>
      <c r="J133" s="211"/>
      <c r="K133" s="211"/>
      <c r="L133" s="211"/>
      <c r="M133" s="211"/>
      <c r="N133" s="211"/>
      <c r="O133" s="211"/>
      <c r="P133" s="211"/>
      <c r="Q133" s="211"/>
      <c r="R133" s="351"/>
    </row>
    <row r="134" spans="1:18" ht="13.5" customHeight="1" x14ac:dyDescent="0.45">
      <c r="A134" s="618"/>
      <c r="B134" s="215"/>
      <c r="C134" s="243"/>
      <c r="D134" s="285"/>
      <c r="E134" s="285"/>
      <c r="F134" s="285"/>
      <c r="G134" s="285"/>
      <c r="H134" s="285"/>
      <c r="I134" s="285"/>
      <c r="J134" s="285"/>
      <c r="K134" s="285"/>
      <c r="L134" s="285"/>
      <c r="M134" s="285"/>
      <c r="N134" s="285"/>
      <c r="O134" s="285"/>
      <c r="P134" s="285"/>
      <c r="Q134" s="285"/>
      <c r="R134" s="352"/>
    </row>
    <row r="135" spans="1:18" ht="13.5" customHeight="1" x14ac:dyDescent="0.45">
      <c r="A135" s="618"/>
      <c r="B135" s="215"/>
      <c r="C135" s="243"/>
      <c r="D135" s="285"/>
      <c r="E135" s="285"/>
      <c r="F135" s="285"/>
      <c r="G135" s="285"/>
      <c r="H135" s="285"/>
      <c r="I135" s="285"/>
      <c r="J135" s="285"/>
      <c r="K135" s="285"/>
      <c r="L135" s="285"/>
      <c r="M135" s="285"/>
      <c r="N135" s="285"/>
      <c r="O135" s="285"/>
      <c r="P135" s="285"/>
      <c r="Q135" s="285"/>
      <c r="R135" s="352"/>
    </row>
    <row r="136" spans="1:18" ht="13.5" customHeight="1" x14ac:dyDescent="0.45">
      <c r="A136" s="618"/>
      <c r="B136" s="215"/>
      <c r="C136" s="243"/>
      <c r="D136" s="285"/>
      <c r="E136" s="285"/>
      <c r="F136" s="285"/>
      <c r="G136" s="285"/>
      <c r="H136" s="285"/>
      <c r="I136" s="285"/>
      <c r="J136" s="285"/>
      <c r="K136" s="285"/>
      <c r="L136" s="285"/>
      <c r="M136" s="285"/>
      <c r="N136" s="285"/>
      <c r="O136" s="285"/>
      <c r="P136" s="285"/>
      <c r="Q136" s="285"/>
      <c r="R136" s="352"/>
    </row>
    <row r="137" spans="1:18" ht="13.5" customHeight="1" x14ac:dyDescent="0.45">
      <c r="A137" s="618"/>
      <c r="B137" s="215"/>
      <c r="C137" s="243"/>
      <c r="D137" s="285"/>
      <c r="E137" s="285"/>
      <c r="F137" s="285"/>
      <c r="G137" s="285"/>
      <c r="H137" s="285"/>
      <c r="I137" s="285"/>
      <c r="J137" s="285"/>
      <c r="K137" s="285"/>
      <c r="L137" s="285"/>
      <c r="M137" s="285"/>
      <c r="N137" s="285"/>
      <c r="O137" s="285"/>
      <c r="P137" s="285"/>
      <c r="Q137" s="285"/>
      <c r="R137" s="352"/>
    </row>
    <row r="138" spans="1:18" ht="13.5" customHeight="1" x14ac:dyDescent="0.45">
      <c r="A138" s="618"/>
      <c r="B138" s="215"/>
      <c r="C138" s="243"/>
      <c r="D138" s="285"/>
      <c r="E138" s="285"/>
      <c r="F138" s="285"/>
      <c r="G138" s="285"/>
      <c r="H138" s="285"/>
      <c r="I138" s="285"/>
      <c r="J138" s="285"/>
      <c r="K138" s="285"/>
      <c r="L138" s="285"/>
      <c r="M138" s="285"/>
      <c r="N138" s="285"/>
      <c r="O138" s="285"/>
      <c r="P138" s="285"/>
      <c r="Q138" s="285"/>
      <c r="R138" s="352"/>
    </row>
    <row r="139" spans="1:18" ht="13.5" customHeight="1" x14ac:dyDescent="0.45">
      <c r="A139" s="618"/>
      <c r="B139" s="215"/>
      <c r="C139" s="243"/>
      <c r="D139" s="285"/>
      <c r="E139" s="285"/>
      <c r="F139" s="285"/>
      <c r="G139" s="285"/>
      <c r="H139" s="285"/>
      <c r="I139" s="285"/>
      <c r="J139" s="285"/>
      <c r="K139" s="285"/>
      <c r="L139" s="285"/>
      <c r="M139" s="285"/>
      <c r="N139" s="285"/>
      <c r="O139" s="285"/>
      <c r="P139" s="285"/>
      <c r="Q139" s="285"/>
      <c r="R139" s="352"/>
    </row>
    <row r="140" spans="1:18" ht="13.5" customHeight="1" x14ac:dyDescent="0.45">
      <c r="A140" s="618"/>
      <c r="B140" s="215"/>
      <c r="C140" s="243"/>
      <c r="D140" s="285"/>
      <c r="E140" s="285"/>
      <c r="F140" s="285"/>
      <c r="G140" s="285"/>
      <c r="H140" s="285"/>
      <c r="I140" s="285"/>
      <c r="J140" s="285"/>
      <c r="K140" s="285"/>
      <c r="L140" s="285"/>
      <c r="M140" s="285"/>
      <c r="N140" s="285"/>
      <c r="O140" s="285"/>
      <c r="P140" s="285"/>
      <c r="Q140" s="285"/>
      <c r="R140" s="352"/>
    </row>
    <row r="141" spans="1:18" ht="13.5" customHeight="1" x14ac:dyDescent="0.45">
      <c r="A141" s="618"/>
      <c r="B141" s="215"/>
      <c r="C141" s="243"/>
      <c r="D141" s="285"/>
      <c r="E141" s="285"/>
      <c r="F141" s="285"/>
      <c r="G141" s="285"/>
      <c r="H141" s="285"/>
      <c r="I141" s="285"/>
      <c r="J141" s="285"/>
      <c r="K141" s="285"/>
      <c r="L141" s="285"/>
      <c r="M141" s="285"/>
      <c r="N141" s="285"/>
      <c r="O141" s="285"/>
      <c r="P141" s="285"/>
      <c r="Q141" s="285"/>
      <c r="R141" s="352"/>
    </row>
    <row r="142" spans="1:18" ht="13.5" customHeight="1" x14ac:dyDescent="0.45">
      <c r="A142" s="618"/>
      <c r="B142" s="215"/>
      <c r="C142" s="243"/>
      <c r="D142" s="285"/>
      <c r="E142" s="285"/>
      <c r="F142" s="285"/>
      <c r="G142" s="285"/>
      <c r="H142" s="285"/>
      <c r="I142" s="285"/>
      <c r="J142" s="285"/>
      <c r="K142" s="285"/>
      <c r="L142" s="285"/>
      <c r="M142" s="285"/>
      <c r="N142" s="285"/>
      <c r="O142" s="285"/>
      <c r="P142" s="285"/>
      <c r="Q142" s="285"/>
      <c r="R142" s="352"/>
    </row>
    <row r="143" spans="1:18" ht="13.5" customHeight="1" x14ac:dyDescent="0.45">
      <c r="A143" s="618"/>
      <c r="B143" s="215"/>
      <c r="C143" s="221"/>
      <c r="D143" s="293"/>
      <c r="E143" s="293"/>
      <c r="F143" s="293"/>
      <c r="G143" s="293"/>
      <c r="H143" s="293"/>
      <c r="I143" s="293"/>
      <c r="J143" s="293"/>
      <c r="K143" s="293"/>
      <c r="L143" s="285"/>
      <c r="M143" s="285"/>
      <c r="N143" s="285"/>
      <c r="O143" s="285"/>
      <c r="P143" s="285"/>
      <c r="Q143" s="285"/>
      <c r="R143" s="352"/>
    </row>
    <row r="144" spans="1:18" ht="13.5" customHeight="1" x14ac:dyDescent="0.45">
      <c r="A144" s="618"/>
      <c r="B144" s="215"/>
      <c r="C144" s="221"/>
      <c r="D144" s="293"/>
      <c r="E144" s="293"/>
      <c r="F144" s="293"/>
      <c r="G144" s="293"/>
      <c r="H144" s="293"/>
      <c r="I144" s="293"/>
      <c r="J144" s="293"/>
      <c r="K144" s="293"/>
      <c r="L144" s="285"/>
      <c r="M144" s="285"/>
      <c r="N144" s="285"/>
      <c r="O144" s="285"/>
      <c r="P144" s="285"/>
      <c r="Q144" s="285"/>
      <c r="R144" s="352"/>
    </row>
    <row r="145" spans="1:18" ht="13.5" customHeight="1" x14ac:dyDescent="0.45">
      <c r="A145" s="618"/>
      <c r="B145" s="215"/>
      <c r="C145" s="91"/>
      <c r="D145" s="455"/>
      <c r="E145" s="455"/>
      <c r="F145" s="455"/>
      <c r="G145" s="455"/>
      <c r="H145" s="455"/>
      <c r="I145" s="455"/>
      <c r="J145" s="455"/>
      <c r="K145" s="455"/>
      <c r="L145" s="285"/>
      <c r="M145" s="285"/>
      <c r="N145" s="285"/>
      <c r="O145" s="285"/>
      <c r="P145" s="285"/>
      <c r="Q145" s="285"/>
      <c r="R145" s="352"/>
    </row>
    <row r="146" spans="1:18" ht="13.5" customHeight="1" x14ac:dyDescent="0.45">
      <c r="A146" s="618"/>
      <c r="B146" s="215"/>
      <c r="C146" s="243"/>
      <c r="D146" s="285"/>
      <c r="E146" s="285"/>
      <c r="F146" s="285"/>
      <c r="G146" s="285"/>
      <c r="H146" s="285"/>
      <c r="I146" s="285"/>
      <c r="J146" s="285"/>
      <c r="K146" s="285"/>
      <c r="L146" s="285"/>
      <c r="M146" s="285"/>
      <c r="N146" s="285"/>
      <c r="O146" s="285"/>
      <c r="P146" s="285"/>
      <c r="Q146" s="285"/>
      <c r="R146" s="352"/>
    </row>
    <row r="147" spans="1:18" ht="13.5" customHeight="1" x14ac:dyDescent="0.45">
      <c r="A147" s="618"/>
      <c r="B147" s="215"/>
      <c r="C147" s="243"/>
      <c r="D147" s="285"/>
      <c r="E147" s="285"/>
      <c r="F147" s="285"/>
      <c r="G147" s="285"/>
      <c r="H147" s="285"/>
      <c r="I147" s="285"/>
      <c r="J147" s="285"/>
      <c r="K147" s="285"/>
      <c r="L147" s="285"/>
      <c r="M147" s="285"/>
      <c r="N147" s="285"/>
      <c r="O147" s="285"/>
      <c r="P147" s="285"/>
      <c r="Q147" s="285"/>
      <c r="R147" s="352"/>
    </row>
    <row r="148" spans="1:18" ht="13.5" customHeight="1" x14ac:dyDescent="0.45">
      <c r="A148" s="618"/>
      <c r="B148" s="215"/>
      <c r="C148" s="221"/>
      <c r="D148" s="293"/>
      <c r="E148" s="293"/>
      <c r="F148" s="293"/>
      <c r="G148" s="293"/>
      <c r="H148" s="293"/>
      <c r="I148" s="293"/>
      <c r="J148" s="293"/>
      <c r="K148" s="293"/>
      <c r="L148" s="285"/>
      <c r="M148" s="285"/>
      <c r="N148" s="285"/>
      <c r="O148" s="285"/>
      <c r="P148" s="285"/>
      <c r="Q148" s="285"/>
      <c r="R148" s="352"/>
    </row>
    <row r="149" spans="1:18" ht="13.5" customHeight="1" x14ac:dyDescent="0.45">
      <c r="A149" s="618"/>
      <c r="B149" s="215"/>
      <c r="C149" s="221"/>
      <c r="D149" s="293"/>
      <c r="E149" s="293"/>
      <c r="F149" s="293"/>
      <c r="G149" s="293"/>
      <c r="H149" s="293"/>
      <c r="I149" s="293"/>
      <c r="J149" s="293"/>
      <c r="K149" s="293"/>
      <c r="L149" s="285"/>
      <c r="M149" s="285"/>
      <c r="N149" s="285"/>
      <c r="O149" s="285"/>
      <c r="P149" s="285"/>
      <c r="Q149" s="285"/>
      <c r="R149" s="352"/>
    </row>
    <row r="150" spans="1:18" ht="13.5" customHeight="1" x14ac:dyDescent="0.45">
      <c r="A150" s="618"/>
      <c r="B150" s="215"/>
      <c r="C150" s="221"/>
      <c r="D150" s="293"/>
      <c r="E150" s="293"/>
      <c r="F150" s="293"/>
      <c r="G150" s="293"/>
      <c r="H150" s="293"/>
      <c r="I150" s="293"/>
      <c r="J150" s="293"/>
      <c r="K150" s="293"/>
      <c r="L150" s="285"/>
      <c r="M150" s="285"/>
      <c r="N150" s="285"/>
      <c r="O150" s="285"/>
      <c r="P150" s="285"/>
      <c r="Q150" s="285"/>
      <c r="R150" s="352"/>
    </row>
    <row r="151" spans="1:18" ht="13.5" customHeight="1" x14ac:dyDescent="0.45">
      <c r="A151" s="618"/>
      <c r="B151" s="258"/>
      <c r="C151" s="329"/>
      <c r="D151" s="259"/>
      <c r="E151" s="259"/>
      <c r="F151" s="259"/>
      <c r="G151" s="259"/>
      <c r="H151" s="259"/>
      <c r="I151" s="259"/>
      <c r="J151" s="259"/>
      <c r="K151" s="259"/>
      <c r="L151" s="259"/>
      <c r="M151" s="259"/>
      <c r="N151" s="259"/>
      <c r="O151" s="259"/>
      <c r="P151" s="259"/>
      <c r="Q151" s="259"/>
      <c r="R151" s="425"/>
    </row>
    <row r="152" spans="1:18" ht="13.5" customHeight="1" x14ac:dyDescent="0.45">
      <c r="A152" s="1"/>
      <c r="B152" s="1"/>
      <c r="C152" s="1"/>
      <c r="D152" s="1"/>
      <c r="E152" s="1"/>
      <c r="F152" s="1"/>
      <c r="G152" s="1"/>
      <c r="H152" s="1"/>
      <c r="I152" s="1"/>
      <c r="J152" s="1"/>
      <c r="K152" s="1"/>
      <c r="L152" s="1"/>
      <c r="M152" s="1"/>
      <c r="N152" s="1"/>
      <c r="O152" s="1"/>
      <c r="P152" s="1"/>
      <c r="Q152" s="1"/>
      <c r="R152" s="1"/>
    </row>
    <row r="153" spans="1:18" ht="13.5" customHeight="1" x14ac:dyDescent="0.45">
      <c r="A153" s="1"/>
      <c r="B153" s="1"/>
      <c r="C153" s="18"/>
      <c r="D153" s="93"/>
      <c r="E153" s="93"/>
      <c r="F153" s="93"/>
      <c r="G153" s="93"/>
      <c r="H153" s="93"/>
      <c r="I153" s="93"/>
      <c r="J153" s="93"/>
      <c r="K153" s="93"/>
      <c r="L153" s="1"/>
      <c r="M153" s="1"/>
      <c r="N153" s="1"/>
      <c r="O153" s="1"/>
      <c r="P153" s="1"/>
      <c r="Q153" s="1"/>
      <c r="R153" s="1"/>
    </row>
    <row r="154" spans="1:18" ht="13.5" customHeight="1" x14ac:dyDescent="0.45">
      <c r="A154" s="1"/>
      <c r="B154" s="1"/>
      <c r="C154" s="1"/>
      <c r="D154" s="1"/>
      <c r="E154" s="1"/>
      <c r="F154" s="1"/>
      <c r="G154" s="1"/>
      <c r="H154" s="1"/>
      <c r="I154" s="1"/>
      <c r="J154" s="1"/>
      <c r="K154" s="1"/>
      <c r="L154" s="1"/>
      <c r="M154" s="1"/>
      <c r="N154" s="1"/>
      <c r="O154" s="1"/>
      <c r="P154" s="1"/>
      <c r="Q154" s="1"/>
      <c r="R154" s="1"/>
    </row>
    <row r="155" spans="1:18" ht="13.5" customHeight="1" x14ac:dyDescent="0.45">
      <c r="A155" s="618"/>
      <c r="B155" s="26"/>
      <c r="C155" s="212"/>
      <c r="D155" s="211"/>
      <c r="E155" s="211"/>
      <c r="F155" s="211"/>
      <c r="G155" s="211"/>
      <c r="H155" s="211"/>
      <c r="I155" s="211"/>
      <c r="J155" s="211"/>
      <c r="K155" s="211"/>
      <c r="L155" s="211"/>
      <c r="M155" s="211"/>
      <c r="N155" s="211"/>
      <c r="O155" s="211"/>
      <c r="P155" s="211"/>
      <c r="Q155" s="211"/>
      <c r="R155" s="351"/>
    </row>
    <row r="156" spans="1:18" ht="20.25" customHeight="1" x14ac:dyDescent="0.45">
      <c r="A156" s="618"/>
      <c r="B156" s="215"/>
      <c r="C156" s="444" t="s">
        <v>587</v>
      </c>
      <c r="D156" s="220"/>
      <c r="E156" s="220"/>
      <c r="F156" s="220"/>
      <c r="G156" s="220"/>
      <c r="H156" s="220"/>
      <c r="I156" s="220"/>
      <c r="J156" s="220"/>
      <c r="K156" s="220"/>
      <c r="L156" s="220"/>
      <c r="M156" s="220"/>
      <c r="N156" s="220"/>
      <c r="O156" s="220"/>
      <c r="P156" s="220"/>
      <c r="Q156" s="220"/>
      <c r="R156" s="352"/>
    </row>
    <row r="157" spans="1:18" ht="13.5" customHeight="1" x14ac:dyDescent="0.45">
      <c r="A157" s="618"/>
      <c r="B157" s="215"/>
      <c r="C157" s="221" t="s">
        <v>588</v>
      </c>
      <c r="D157" s="293" t="e">
        <f>#REF!*#REF!</f>
        <v>#REF!</v>
      </c>
      <c r="E157" s="293" t="e">
        <f>#REF!*#REF!</f>
        <v>#REF!</v>
      </c>
      <c r="F157" s="293" t="e">
        <f>#REF!*#REF!</f>
        <v>#REF!</v>
      </c>
      <c r="G157" s="293" t="e">
        <f>#REF!*#REF!</f>
        <v>#REF!</v>
      </c>
      <c r="H157" s="293"/>
      <c r="I157" s="293"/>
      <c r="J157" s="293"/>
      <c r="K157" s="293"/>
      <c r="L157" s="285"/>
      <c r="M157" s="285"/>
      <c r="N157" s="285"/>
      <c r="O157" s="285"/>
      <c r="P157" s="285"/>
      <c r="Q157" s="285"/>
      <c r="R157" s="352"/>
    </row>
    <row r="158" spans="1:18" ht="13.5" customHeight="1" x14ac:dyDescent="0.45">
      <c r="A158" s="618"/>
      <c r="B158" s="215"/>
      <c r="C158" s="243"/>
      <c r="D158" s="285"/>
      <c r="E158" s="285"/>
      <c r="F158" s="285"/>
      <c r="G158" s="285"/>
      <c r="H158" s="285"/>
      <c r="I158" s="285"/>
      <c r="J158" s="285"/>
      <c r="K158" s="285"/>
      <c r="L158" s="285"/>
      <c r="M158" s="285"/>
      <c r="N158" s="285"/>
      <c r="O158" s="285"/>
      <c r="P158" s="285"/>
      <c r="Q158" s="285"/>
      <c r="R158" s="352"/>
    </row>
    <row r="159" spans="1:18" ht="15.75" customHeight="1" x14ac:dyDescent="0.45">
      <c r="A159" s="618"/>
      <c r="B159" s="215"/>
      <c r="C159" s="457" t="s">
        <v>589</v>
      </c>
      <c r="D159" s="474" t="e">
        <f>D102/D157</f>
        <v>#REF!</v>
      </c>
      <c r="E159" s="474" t="e">
        <f>E102/E157</f>
        <v>#REF!</v>
      </c>
      <c r="F159" s="474" t="e">
        <f>F102/F157</f>
        <v>#REF!</v>
      </c>
      <c r="G159" s="474" t="e">
        <f>G102/G157</f>
        <v>#REF!</v>
      </c>
      <c r="H159" s="474"/>
      <c r="I159" s="474"/>
      <c r="J159" s="474"/>
      <c r="K159" s="474"/>
      <c r="L159" s="285"/>
      <c r="M159" s="285"/>
      <c r="N159" s="285"/>
      <c r="O159" s="285"/>
      <c r="P159" s="285"/>
      <c r="Q159" s="285"/>
      <c r="R159" s="352"/>
    </row>
    <row r="160" spans="1:18" ht="13.5" customHeight="1" x14ac:dyDescent="0.45">
      <c r="A160" s="618"/>
      <c r="B160" s="215"/>
      <c r="C160" s="221"/>
      <c r="D160" s="362"/>
      <c r="E160" s="362"/>
      <c r="F160" s="362"/>
      <c r="G160" s="362"/>
      <c r="H160" s="362"/>
      <c r="I160" s="362"/>
      <c r="J160" s="362"/>
      <c r="K160" s="362"/>
      <c r="L160" s="285"/>
      <c r="M160" s="285"/>
      <c r="N160" s="285"/>
      <c r="O160" s="285"/>
      <c r="P160" s="285"/>
      <c r="Q160" s="285"/>
      <c r="R160" s="352"/>
    </row>
    <row r="161" spans="1:18" ht="13.5" customHeight="1" x14ac:dyDescent="0.45">
      <c r="A161" s="618"/>
      <c r="B161" s="215"/>
      <c r="C161" s="221" t="s">
        <v>825</v>
      </c>
      <c r="D161" s="293" t="e">
        <f>#REF!/1000</f>
        <v>#REF!</v>
      </c>
      <c r="E161" s="362"/>
      <c r="F161" s="362"/>
      <c r="G161" s="362"/>
      <c r="H161" s="362"/>
      <c r="I161" s="362"/>
      <c r="J161" s="362"/>
      <c r="K161" s="362"/>
      <c r="L161" s="285"/>
      <c r="M161" s="285"/>
      <c r="N161" s="285"/>
      <c r="O161" s="285"/>
      <c r="P161" s="285"/>
      <c r="Q161" s="285"/>
      <c r="R161" s="352"/>
    </row>
    <row r="162" spans="1:18" ht="13.5" customHeight="1" x14ac:dyDescent="0.45">
      <c r="A162" s="618"/>
      <c r="B162" s="215"/>
      <c r="C162" s="221" t="s">
        <v>826</v>
      </c>
      <c r="D162" s="293" t="e">
        <f>#REF!/1000</f>
        <v>#REF!</v>
      </c>
      <c r="E162" s="362"/>
      <c r="F162" s="362"/>
      <c r="G162" s="362"/>
      <c r="H162" s="362"/>
      <c r="I162" s="362"/>
      <c r="J162" s="362"/>
      <c r="K162" s="362"/>
      <c r="L162" s="285"/>
      <c r="M162" s="285"/>
      <c r="N162" s="285"/>
      <c r="O162" s="285"/>
      <c r="P162" s="285"/>
      <c r="Q162" s="285"/>
      <c r="R162" s="352"/>
    </row>
    <row r="163" spans="1:18" ht="13.5" customHeight="1" x14ac:dyDescent="0.45">
      <c r="A163" s="618"/>
      <c r="B163" s="215"/>
      <c r="C163" s="221"/>
      <c r="D163" s="362"/>
      <c r="E163" s="362"/>
      <c r="F163" s="362"/>
      <c r="G163" s="362"/>
      <c r="H163" s="362"/>
      <c r="I163" s="362"/>
      <c r="J163" s="362"/>
      <c r="K163" s="362"/>
      <c r="L163" s="285"/>
      <c r="M163" s="285"/>
      <c r="N163" s="285"/>
      <c r="O163" s="285"/>
      <c r="P163" s="285"/>
      <c r="Q163" s="285"/>
      <c r="R163" s="352"/>
    </row>
    <row r="164" spans="1:18" ht="15.75" customHeight="1" x14ac:dyDescent="0.45">
      <c r="A164" s="618"/>
      <c r="B164" s="215"/>
      <c r="C164" s="457" t="s">
        <v>827</v>
      </c>
      <c r="D164" s="362" t="e">
        <f>D162/D161</f>
        <v>#REF!</v>
      </c>
      <c r="E164" s="362"/>
      <c r="F164" s="362"/>
      <c r="G164" s="362"/>
      <c r="H164" s="362"/>
      <c r="I164" s="362"/>
      <c r="J164" s="362"/>
      <c r="K164" s="362"/>
      <c r="L164" s="285"/>
      <c r="M164" s="285"/>
      <c r="N164" s="285"/>
      <c r="O164" s="285"/>
      <c r="P164" s="285"/>
      <c r="Q164" s="285"/>
      <c r="R164" s="352"/>
    </row>
    <row r="165" spans="1:18" ht="13.5" customHeight="1" x14ac:dyDescent="0.45">
      <c r="A165" s="618"/>
      <c r="B165" s="258"/>
      <c r="C165" s="329"/>
      <c r="D165" s="259"/>
      <c r="E165" s="259"/>
      <c r="F165" s="259"/>
      <c r="G165" s="259"/>
      <c r="H165" s="259"/>
      <c r="I165" s="259"/>
      <c r="J165" s="259"/>
      <c r="K165" s="259"/>
      <c r="L165" s="259"/>
      <c r="M165" s="259"/>
      <c r="N165" s="259"/>
      <c r="O165" s="259"/>
      <c r="P165" s="259"/>
      <c r="Q165" s="259"/>
      <c r="R165" s="425"/>
    </row>
    <row r="166" spans="1:18" ht="13.5" customHeight="1" x14ac:dyDescent="0.45">
      <c r="A166" s="1"/>
      <c r="B166" s="1"/>
      <c r="C166" s="1"/>
      <c r="D166" s="1"/>
      <c r="E166" s="1"/>
      <c r="F166" s="1"/>
      <c r="G166" s="1"/>
      <c r="H166" s="1"/>
      <c r="I166" s="1"/>
      <c r="J166" s="1"/>
      <c r="K166" s="1"/>
      <c r="L166" s="1"/>
      <c r="M166" s="1"/>
      <c r="N166" s="1"/>
      <c r="O166" s="1"/>
      <c r="P166" s="1"/>
      <c r="Q166" s="1"/>
      <c r="R166" s="1"/>
    </row>
    <row r="167" spans="1:18" ht="13.5" customHeight="1" x14ac:dyDescent="0.45">
      <c r="A167" s="1"/>
      <c r="B167" s="1"/>
      <c r="C167" s="1"/>
      <c r="D167" s="1"/>
      <c r="E167" s="1"/>
      <c r="F167" s="1"/>
      <c r="G167" s="1"/>
      <c r="H167" s="1"/>
      <c r="I167" s="1"/>
      <c r="J167" s="1"/>
      <c r="K167" s="1"/>
      <c r="L167" s="1"/>
      <c r="M167" s="1"/>
      <c r="N167" s="1"/>
      <c r="O167" s="1"/>
      <c r="P167" s="1"/>
      <c r="Q167" s="1"/>
      <c r="R167" s="1"/>
    </row>
    <row r="168" spans="1:18" ht="13.5" customHeight="1" x14ac:dyDescent="0.45">
      <c r="A168" s="1"/>
      <c r="B168" s="1"/>
      <c r="C168" s="1"/>
      <c r="D168" s="1"/>
      <c r="E168" s="1"/>
      <c r="F168" s="1"/>
      <c r="G168" s="1"/>
      <c r="H168" s="1"/>
      <c r="I168" s="1"/>
      <c r="J168" s="1"/>
      <c r="K168" s="1"/>
      <c r="L168" s="1"/>
      <c r="M168" s="1"/>
      <c r="N168" s="1"/>
      <c r="O168" s="1"/>
      <c r="P168" s="1"/>
      <c r="Q168" s="1"/>
      <c r="R168" s="1"/>
    </row>
    <row r="169" spans="1:18" ht="13.5" customHeight="1" x14ac:dyDescent="0.45">
      <c r="A169" s="1"/>
      <c r="B169" s="1"/>
      <c r="C169" s="1"/>
      <c r="D169" s="1"/>
      <c r="E169" s="1"/>
      <c r="F169" s="1"/>
      <c r="G169" s="1"/>
      <c r="H169" s="1"/>
      <c r="I169" s="1"/>
      <c r="J169" s="1"/>
      <c r="K169" s="1"/>
      <c r="L169" s="1"/>
      <c r="M169" s="1"/>
      <c r="N169" s="1"/>
      <c r="O169" s="1"/>
      <c r="P169" s="1"/>
      <c r="Q169" s="1"/>
      <c r="R169" s="1"/>
    </row>
    <row r="170" spans="1:18" ht="13.5" customHeight="1" x14ac:dyDescent="0.45">
      <c r="A170" s="1"/>
      <c r="B170" s="1"/>
      <c r="C170" s="1"/>
      <c r="D170" s="1"/>
      <c r="E170" s="1"/>
      <c r="F170" s="1"/>
      <c r="G170" s="1"/>
      <c r="H170" s="1"/>
      <c r="I170" s="1"/>
      <c r="J170" s="1"/>
      <c r="K170" s="1"/>
      <c r="L170" s="1"/>
      <c r="M170" s="1"/>
      <c r="N170" s="1"/>
      <c r="O170" s="1"/>
      <c r="P170" s="1"/>
      <c r="Q170" s="1"/>
      <c r="R170" s="1"/>
    </row>
    <row r="171" spans="1:18" ht="13.5" customHeight="1" x14ac:dyDescent="0.45">
      <c r="A171" s="1"/>
      <c r="B171" s="1"/>
      <c r="C171" s="1"/>
      <c r="D171" s="1"/>
      <c r="E171" s="1"/>
      <c r="F171" s="1"/>
      <c r="G171" s="1"/>
      <c r="H171" s="1"/>
      <c r="I171" s="1"/>
      <c r="J171" s="1"/>
      <c r="K171" s="1"/>
      <c r="L171" s="1"/>
      <c r="M171" s="1"/>
      <c r="N171" s="1"/>
      <c r="O171" s="1"/>
      <c r="P171" s="1"/>
      <c r="Q171" s="1"/>
      <c r="R171" s="1"/>
    </row>
    <row r="172" spans="1:18" ht="13.5" customHeight="1" x14ac:dyDescent="0.45">
      <c r="A172" s="1"/>
      <c r="B172" s="1"/>
      <c r="C172" s="1"/>
      <c r="D172" s="1"/>
      <c r="E172" s="1"/>
      <c r="F172" s="1"/>
      <c r="G172" s="1"/>
      <c r="H172" s="1"/>
      <c r="I172" s="1"/>
      <c r="J172" s="1"/>
      <c r="K172" s="1"/>
      <c r="L172" s="1"/>
      <c r="M172" s="1"/>
      <c r="N172" s="1"/>
      <c r="O172" s="1"/>
      <c r="P172" s="1"/>
      <c r="Q172" s="1"/>
      <c r="R172" s="1"/>
    </row>
    <row r="173" spans="1:18" ht="13.5" customHeight="1" x14ac:dyDescent="0.45">
      <c r="A173" s="1"/>
      <c r="B173" s="1"/>
      <c r="C173" s="1"/>
      <c r="D173" s="1"/>
      <c r="E173" s="1"/>
      <c r="F173" s="1"/>
      <c r="G173" s="1"/>
      <c r="H173" s="1"/>
      <c r="I173" s="1"/>
      <c r="J173" s="1"/>
      <c r="K173" s="1"/>
      <c r="L173" s="1"/>
      <c r="M173" s="1"/>
      <c r="N173" s="1"/>
      <c r="O173" s="1"/>
      <c r="P173" s="1"/>
      <c r="Q173" s="1"/>
      <c r="R173" s="1"/>
    </row>
    <row r="174" spans="1:18" ht="13.5" customHeight="1" x14ac:dyDescent="0.45">
      <c r="A174" s="1"/>
      <c r="B174" s="1"/>
      <c r="C174" s="1"/>
      <c r="D174" s="1"/>
      <c r="E174" s="1"/>
      <c r="F174" s="1"/>
      <c r="G174" s="1"/>
      <c r="H174" s="1"/>
      <c r="I174" s="1"/>
      <c r="J174" s="1"/>
      <c r="K174" s="1"/>
      <c r="L174" s="1"/>
      <c r="M174" s="1"/>
      <c r="N174" s="1"/>
      <c r="O174" s="1"/>
      <c r="P174" s="1"/>
      <c r="Q174" s="1"/>
      <c r="R174" s="1"/>
    </row>
    <row r="175" spans="1:18" ht="13.5" customHeight="1" x14ac:dyDescent="0.45">
      <c r="A175" s="1"/>
      <c r="B175" s="1"/>
      <c r="C175" s="1"/>
      <c r="D175" s="1"/>
      <c r="E175" s="1"/>
      <c r="F175" s="1"/>
      <c r="G175" s="1"/>
      <c r="H175" s="1"/>
      <c r="I175" s="1"/>
      <c r="J175" s="1"/>
      <c r="K175" s="1"/>
      <c r="L175" s="1"/>
      <c r="M175" s="1"/>
      <c r="N175" s="1"/>
      <c r="O175" s="1"/>
      <c r="P175" s="1"/>
      <c r="Q175" s="1"/>
      <c r="R175" s="1"/>
    </row>
    <row r="176" spans="1:18" ht="13.5" customHeight="1" x14ac:dyDescent="0.45">
      <c r="A176" s="1"/>
      <c r="B176" s="1"/>
      <c r="C176" s="1"/>
      <c r="D176" s="1"/>
      <c r="E176" s="1"/>
      <c r="F176" s="1"/>
      <c r="G176" s="1"/>
      <c r="H176" s="1"/>
      <c r="I176" s="1"/>
      <c r="J176" s="1"/>
      <c r="K176" s="1"/>
      <c r="L176" s="1"/>
      <c r="M176" s="1"/>
      <c r="N176" s="1"/>
      <c r="O176" s="1"/>
      <c r="P176" s="1"/>
      <c r="Q176" s="1"/>
      <c r="R176" s="1"/>
    </row>
    <row r="177" spans="1:18" ht="13.5" customHeight="1" x14ac:dyDescent="0.45">
      <c r="A177" s="1"/>
      <c r="B177" s="1"/>
      <c r="C177" s="1"/>
      <c r="D177" s="1"/>
      <c r="E177" s="1"/>
      <c r="F177" s="1"/>
      <c r="G177" s="1"/>
      <c r="H177" s="1"/>
      <c r="I177" s="1"/>
      <c r="J177" s="1"/>
      <c r="K177" s="1"/>
      <c r="L177" s="1"/>
      <c r="M177" s="1"/>
      <c r="N177" s="1"/>
      <c r="O177" s="1"/>
      <c r="P177" s="1"/>
      <c r="Q177" s="1"/>
      <c r="R177" s="1"/>
    </row>
    <row r="178" spans="1:18" ht="13.5" customHeight="1" x14ac:dyDescent="0.45">
      <c r="A178" s="1"/>
      <c r="B178" s="1"/>
      <c r="C178" s="1"/>
      <c r="D178" s="1"/>
      <c r="E178" s="1"/>
      <c r="F178" s="1"/>
      <c r="G178" s="1"/>
      <c r="H178" s="1"/>
      <c r="I178" s="1"/>
      <c r="J178" s="1"/>
      <c r="K178" s="1"/>
      <c r="L178" s="1"/>
      <c r="M178" s="1"/>
      <c r="N178" s="1"/>
      <c r="O178" s="1"/>
      <c r="P178" s="1"/>
      <c r="Q178" s="1"/>
      <c r="R178" s="1"/>
    </row>
    <row r="179" spans="1:18" ht="13.5" customHeight="1" x14ac:dyDescent="0.45">
      <c r="A179" s="1"/>
      <c r="B179" s="1"/>
      <c r="C179" s="1"/>
      <c r="D179" s="1"/>
      <c r="E179" s="1"/>
      <c r="F179" s="1"/>
      <c r="G179" s="1"/>
      <c r="H179" s="1"/>
      <c r="I179" s="1"/>
      <c r="J179" s="1"/>
      <c r="K179" s="1"/>
      <c r="L179" s="1"/>
      <c r="M179" s="1"/>
      <c r="N179" s="1"/>
      <c r="O179" s="1"/>
      <c r="P179" s="1"/>
      <c r="Q179" s="1"/>
      <c r="R179" s="1"/>
    </row>
    <row r="180" spans="1:18" ht="13.5" customHeight="1" x14ac:dyDescent="0.45">
      <c r="A180" s="1"/>
      <c r="B180" s="1"/>
      <c r="C180" s="1"/>
      <c r="D180" s="1"/>
      <c r="E180" s="1"/>
      <c r="F180" s="1"/>
      <c r="G180" s="1"/>
      <c r="H180" s="1"/>
      <c r="I180" s="1"/>
      <c r="J180" s="1"/>
      <c r="K180" s="1"/>
      <c r="L180" s="1"/>
      <c r="M180" s="1"/>
      <c r="N180" s="1"/>
      <c r="O180" s="1"/>
      <c r="P180" s="1"/>
      <c r="Q180" s="1"/>
      <c r="R180" s="1"/>
    </row>
    <row r="181" spans="1:18" ht="13.5" customHeight="1" x14ac:dyDescent="0.45">
      <c r="A181" s="1"/>
      <c r="B181" s="1"/>
      <c r="C181" s="1"/>
      <c r="D181" s="1"/>
      <c r="E181" s="1"/>
      <c r="F181" s="1"/>
      <c r="G181" s="1"/>
      <c r="H181" s="1"/>
      <c r="I181" s="1"/>
      <c r="J181" s="1"/>
      <c r="K181" s="1"/>
      <c r="L181" s="1"/>
      <c r="M181" s="1"/>
      <c r="N181" s="1"/>
      <c r="O181" s="1"/>
      <c r="P181" s="1"/>
      <c r="Q181" s="1"/>
      <c r="R181" s="1"/>
    </row>
    <row r="182" spans="1:18" ht="13.5" customHeight="1" x14ac:dyDescent="0.45">
      <c r="A182" s="1"/>
      <c r="B182" s="1"/>
      <c r="C182" s="1"/>
      <c r="D182" s="1"/>
      <c r="E182" s="1"/>
      <c r="F182" s="1"/>
      <c r="G182" s="1"/>
      <c r="H182" s="1"/>
      <c r="I182" s="1"/>
      <c r="J182" s="1"/>
      <c r="K182" s="1"/>
      <c r="L182" s="1"/>
      <c r="M182" s="1"/>
      <c r="N182" s="1"/>
      <c r="O182" s="1"/>
      <c r="P182" s="1"/>
      <c r="Q182" s="1"/>
      <c r="R182" s="1"/>
    </row>
    <row r="183" spans="1:18" ht="13.5" customHeight="1" x14ac:dyDescent="0.45">
      <c r="A183" s="1"/>
      <c r="B183" s="1"/>
      <c r="C183" s="1"/>
      <c r="D183" s="1"/>
      <c r="E183" s="1"/>
      <c r="F183" s="1"/>
      <c r="G183" s="1"/>
      <c r="H183" s="1"/>
      <c r="I183" s="1"/>
      <c r="J183" s="1"/>
      <c r="K183" s="1"/>
      <c r="L183" s="1"/>
      <c r="M183" s="1"/>
      <c r="N183" s="1"/>
      <c r="O183" s="1"/>
      <c r="P183" s="1"/>
      <c r="Q183" s="1"/>
      <c r="R183" s="1"/>
    </row>
    <row r="184" spans="1:18" ht="13.5" customHeight="1" x14ac:dyDescent="0.45">
      <c r="A184" s="1"/>
      <c r="B184" s="1"/>
      <c r="C184" s="1"/>
      <c r="D184" s="1"/>
      <c r="E184" s="1"/>
      <c r="F184" s="1"/>
      <c r="G184" s="1"/>
      <c r="H184" s="1"/>
      <c r="I184" s="1"/>
      <c r="J184" s="1"/>
      <c r="K184" s="1"/>
      <c r="L184" s="1"/>
      <c r="M184" s="1"/>
      <c r="N184" s="1"/>
      <c r="O184" s="1"/>
      <c r="P184" s="1"/>
      <c r="Q184" s="1"/>
      <c r="R184" s="1"/>
    </row>
    <row r="185" spans="1:18" ht="13.5" customHeight="1" x14ac:dyDescent="0.45">
      <c r="A185" s="1"/>
      <c r="B185" s="1"/>
      <c r="C185" s="1"/>
      <c r="D185" s="1"/>
      <c r="E185" s="1"/>
      <c r="F185" s="1"/>
      <c r="G185" s="1"/>
      <c r="H185" s="1"/>
      <c r="I185" s="1"/>
      <c r="J185" s="1"/>
      <c r="K185" s="1"/>
      <c r="L185" s="1"/>
      <c r="M185" s="1"/>
      <c r="N185" s="1"/>
      <c r="O185" s="1"/>
      <c r="P185" s="1"/>
      <c r="Q185" s="1"/>
      <c r="R185" s="1"/>
    </row>
    <row r="186" spans="1:18" ht="13.5" customHeight="1" x14ac:dyDescent="0.45">
      <c r="A186" s="1"/>
      <c r="B186" s="1"/>
      <c r="C186" s="1"/>
      <c r="D186" s="1"/>
      <c r="E186" s="1"/>
      <c r="F186" s="1"/>
      <c r="G186" s="1"/>
      <c r="H186" s="1"/>
      <c r="I186" s="1"/>
      <c r="J186" s="1"/>
      <c r="K186" s="1"/>
      <c r="L186" s="1"/>
      <c r="M186" s="1"/>
      <c r="N186" s="1"/>
      <c r="O186" s="1"/>
      <c r="P186" s="1"/>
      <c r="Q186" s="1"/>
      <c r="R186" s="1"/>
    </row>
    <row r="187" spans="1:18" ht="13.5" customHeight="1" x14ac:dyDescent="0.45">
      <c r="A187" s="1"/>
      <c r="B187" s="1"/>
      <c r="C187" s="1"/>
      <c r="D187" s="1"/>
      <c r="E187" s="1"/>
      <c r="F187" s="1"/>
      <c r="G187" s="1"/>
      <c r="H187" s="1"/>
      <c r="I187" s="1"/>
      <c r="J187" s="1"/>
      <c r="K187" s="1"/>
      <c r="L187" s="1"/>
      <c r="M187" s="1"/>
      <c r="N187" s="1"/>
      <c r="O187" s="1"/>
      <c r="P187" s="1"/>
      <c r="Q187" s="1"/>
      <c r="R187" s="1"/>
    </row>
    <row r="188" spans="1:18" ht="13.5" customHeight="1" x14ac:dyDescent="0.45">
      <c r="A188" s="1"/>
      <c r="B188" s="1"/>
      <c r="C188" s="1"/>
      <c r="D188" s="1"/>
      <c r="E188" s="1"/>
      <c r="F188" s="1"/>
      <c r="G188" s="1"/>
      <c r="H188" s="1"/>
      <c r="I188" s="1"/>
      <c r="J188" s="1"/>
      <c r="K188" s="1"/>
      <c r="L188" s="1"/>
      <c r="M188" s="1"/>
      <c r="N188" s="1"/>
      <c r="O188" s="1"/>
      <c r="P188" s="1"/>
      <c r="Q188" s="1"/>
      <c r="R188" s="1"/>
    </row>
    <row r="189" spans="1:18" ht="13.5" customHeight="1" x14ac:dyDescent="0.45">
      <c r="A189" s="1"/>
      <c r="B189" s="1"/>
      <c r="C189" s="1"/>
      <c r="D189" s="1"/>
      <c r="E189" s="1"/>
      <c r="F189" s="1"/>
      <c r="G189" s="1"/>
      <c r="H189" s="1"/>
      <c r="I189" s="1"/>
      <c r="J189" s="1"/>
      <c r="K189" s="1"/>
      <c r="L189" s="1"/>
      <c r="M189" s="1"/>
      <c r="N189" s="1"/>
      <c r="O189" s="1"/>
      <c r="P189" s="1"/>
      <c r="Q189" s="1"/>
      <c r="R189" s="1"/>
    </row>
    <row r="190" spans="1:18" ht="13.5" customHeight="1" x14ac:dyDescent="0.45">
      <c r="A190" s="1"/>
      <c r="B190" s="1"/>
      <c r="C190" s="1"/>
      <c r="D190" s="1"/>
      <c r="E190" s="1"/>
      <c r="F190" s="1"/>
      <c r="G190" s="1"/>
      <c r="H190" s="1"/>
      <c r="I190" s="1"/>
      <c r="J190" s="1"/>
      <c r="K190" s="1"/>
      <c r="L190" s="1"/>
      <c r="M190" s="1"/>
      <c r="N190" s="1"/>
      <c r="O190" s="1"/>
      <c r="P190" s="1"/>
      <c r="Q190" s="1"/>
      <c r="R190" s="1"/>
    </row>
    <row r="191" spans="1:18" ht="13.5" customHeight="1" x14ac:dyDescent="0.45">
      <c r="A191" s="1"/>
      <c r="B191" s="1"/>
      <c r="C191" s="1"/>
      <c r="D191" s="1"/>
      <c r="E191" s="1"/>
      <c r="F191" s="1"/>
      <c r="G191" s="1"/>
      <c r="H191" s="1"/>
      <c r="I191" s="1"/>
      <c r="J191" s="1"/>
      <c r="K191" s="1"/>
      <c r="L191" s="1"/>
      <c r="M191" s="1"/>
      <c r="N191" s="1"/>
      <c r="O191" s="1"/>
      <c r="P191" s="1"/>
      <c r="Q191" s="1"/>
      <c r="R191" s="1"/>
    </row>
    <row r="192" spans="1:18" ht="13.5" customHeight="1" x14ac:dyDescent="0.45">
      <c r="A192" s="1"/>
      <c r="B192" s="1"/>
      <c r="C192" s="1"/>
      <c r="D192" s="1"/>
      <c r="E192" s="1"/>
      <c r="F192" s="1"/>
      <c r="G192" s="1"/>
      <c r="H192" s="1"/>
      <c r="I192" s="1"/>
      <c r="J192" s="1"/>
      <c r="K192" s="1"/>
      <c r="L192" s="1"/>
      <c r="M192" s="1"/>
      <c r="N192" s="1"/>
      <c r="O192" s="1"/>
      <c r="P192" s="1"/>
      <c r="Q192" s="1"/>
      <c r="R192" s="1"/>
    </row>
    <row r="193" spans="1:18" ht="13.5" customHeight="1" x14ac:dyDescent="0.45">
      <c r="A193" s="1"/>
      <c r="B193" s="1"/>
      <c r="C193" s="1"/>
      <c r="D193" s="1"/>
      <c r="E193" s="1"/>
      <c r="F193" s="1"/>
      <c r="G193" s="1"/>
      <c r="H193" s="1"/>
      <c r="I193" s="1"/>
      <c r="J193" s="1"/>
      <c r="K193" s="1"/>
      <c r="L193" s="1"/>
      <c r="M193" s="1"/>
      <c r="N193" s="1"/>
      <c r="O193" s="1"/>
      <c r="P193" s="1"/>
      <c r="Q193" s="1"/>
      <c r="R193" s="1"/>
    </row>
    <row r="194" spans="1:18" ht="13.5" customHeight="1" x14ac:dyDescent="0.45">
      <c r="A194" s="1"/>
      <c r="B194" s="1"/>
      <c r="C194" s="1"/>
      <c r="D194" s="1"/>
      <c r="E194" s="1"/>
      <c r="F194" s="1"/>
      <c r="G194" s="1"/>
      <c r="H194" s="1"/>
      <c r="I194" s="1"/>
      <c r="J194" s="1"/>
      <c r="K194" s="1"/>
      <c r="L194" s="1"/>
      <c r="M194" s="1"/>
      <c r="N194" s="1"/>
      <c r="O194" s="1"/>
      <c r="P194" s="1"/>
      <c r="Q194" s="1"/>
      <c r="R194" s="1"/>
    </row>
    <row r="195" spans="1:18" ht="13.5" customHeight="1" x14ac:dyDescent="0.45">
      <c r="A195" s="1"/>
      <c r="B195" s="1"/>
      <c r="C195" s="1"/>
      <c r="D195" s="1"/>
      <c r="E195" s="1"/>
      <c r="F195" s="1"/>
      <c r="G195" s="1"/>
      <c r="H195" s="1"/>
      <c r="I195" s="1"/>
      <c r="J195" s="1"/>
      <c r="K195" s="1"/>
      <c r="L195" s="1"/>
      <c r="M195" s="1"/>
      <c r="N195" s="1"/>
      <c r="O195" s="1"/>
      <c r="P195" s="1"/>
      <c r="Q195" s="1"/>
      <c r="R195" s="1"/>
    </row>
    <row r="196" spans="1:18" ht="13.5" customHeight="1" x14ac:dyDescent="0.45">
      <c r="A196" s="1"/>
      <c r="B196" s="1"/>
      <c r="C196" s="1"/>
      <c r="D196" s="1"/>
      <c r="E196" s="1"/>
      <c r="F196" s="1"/>
      <c r="G196" s="1"/>
      <c r="H196" s="1"/>
      <c r="I196" s="1"/>
      <c r="J196" s="1"/>
      <c r="K196" s="1"/>
      <c r="L196" s="1"/>
      <c r="M196" s="1"/>
      <c r="N196" s="1"/>
      <c r="O196" s="1"/>
      <c r="P196" s="1"/>
      <c r="Q196" s="1"/>
      <c r="R196" s="1"/>
    </row>
    <row r="197" spans="1:18" ht="13.5" customHeight="1" x14ac:dyDescent="0.45">
      <c r="A197" s="1"/>
      <c r="B197" s="1"/>
      <c r="C197" s="1"/>
      <c r="D197" s="1"/>
      <c r="E197" s="1"/>
      <c r="F197" s="1"/>
      <c r="G197" s="1"/>
      <c r="H197" s="1"/>
      <c r="I197" s="1"/>
      <c r="J197" s="1"/>
      <c r="K197" s="1"/>
      <c r="L197" s="1"/>
      <c r="M197" s="1"/>
      <c r="N197" s="1"/>
      <c r="O197" s="1"/>
      <c r="P197" s="1"/>
      <c r="Q197" s="1"/>
      <c r="R197" s="1"/>
    </row>
    <row r="198" spans="1:18" ht="13.5" customHeight="1" x14ac:dyDescent="0.45">
      <c r="A198" s="1"/>
      <c r="B198" s="1"/>
      <c r="C198" s="1"/>
      <c r="D198" s="1"/>
      <c r="E198" s="1"/>
      <c r="F198" s="1"/>
      <c r="G198" s="1"/>
      <c r="H198" s="1"/>
      <c r="I198" s="1"/>
      <c r="J198" s="1"/>
      <c r="K198" s="1"/>
      <c r="L198" s="1"/>
      <c r="M198" s="1"/>
      <c r="N198" s="1"/>
      <c r="O198" s="1"/>
      <c r="P198" s="1"/>
      <c r="Q198" s="1"/>
      <c r="R198" s="1"/>
    </row>
    <row r="199" spans="1:18" ht="13.5" customHeight="1" x14ac:dyDescent="0.45">
      <c r="A199" s="1"/>
      <c r="B199" s="1"/>
      <c r="C199" s="1"/>
      <c r="D199" s="1"/>
      <c r="E199" s="1"/>
      <c r="F199" s="1"/>
      <c r="G199" s="1"/>
      <c r="H199" s="1"/>
      <c r="I199" s="1"/>
      <c r="J199" s="1"/>
      <c r="K199" s="1"/>
      <c r="L199" s="1"/>
      <c r="M199" s="1"/>
      <c r="N199" s="1"/>
      <c r="O199" s="1"/>
      <c r="P199" s="1"/>
      <c r="Q199" s="1"/>
      <c r="R199" s="1"/>
    </row>
    <row r="200" spans="1:18" ht="13.5" customHeight="1" x14ac:dyDescent="0.45">
      <c r="A200" s="1"/>
      <c r="B200" s="1"/>
      <c r="C200" s="1"/>
      <c r="D200" s="1"/>
      <c r="E200" s="1"/>
      <c r="F200" s="1"/>
      <c r="G200" s="1"/>
      <c r="H200" s="1"/>
      <c r="I200" s="1"/>
      <c r="J200" s="1"/>
      <c r="K200" s="1"/>
      <c r="L200" s="1"/>
      <c r="M200" s="1"/>
      <c r="N200" s="1"/>
      <c r="O200" s="1"/>
      <c r="P200" s="1"/>
      <c r="Q200" s="1"/>
      <c r="R200" s="1"/>
    </row>
    <row r="201" spans="1:18" ht="13.5" customHeight="1" x14ac:dyDescent="0.45">
      <c r="A201" s="1"/>
      <c r="B201" s="1"/>
      <c r="C201" s="1"/>
      <c r="D201" s="1"/>
      <c r="E201" s="1"/>
      <c r="F201" s="1"/>
      <c r="G201" s="1"/>
      <c r="H201" s="1"/>
      <c r="I201" s="1"/>
      <c r="J201" s="1"/>
      <c r="K201" s="1"/>
      <c r="L201" s="1"/>
      <c r="M201" s="1"/>
      <c r="N201" s="1"/>
      <c r="O201" s="1"/>
      <c r="P201" s="1"/>
      <c r="Q201" s="1"/>
      <c r="R201" s="1"/>
    </row>
    <row r="202" spans="1:18" ht="13.5" customHeight="1" x14ac:dyDescent="0.45">
      <c r="A202" s="1"/>
      <c r="B202" s="1"/>
      <c r="C202" s="1"/>
      <c r="D202" s="1"/>
      <c r="E202" s="1"/>
      <c r="F202" s="1"/>
      <c r="G202" s="1"/>
      <c r="H202" s="1"/>
      <c r="I202" s="1"/>
      <c r="J202" s="1"/>
      <c r="K202" s="1"/>
      <c r="L202" s="1"/>
      <c r="M202" s="1"/>
      <c r="N202" s="1"/>
      <c r="O202" s="1"/>
      <c r="P202" s="1"/>
      <c r="Q202" s="1"/>
      <c r="R202" s="1"/>
    </row>
    <row r="203" spans="1:18" ht="13.5" customHeight="1" x14ac:dyDescent="0.45">
      <c r="A203" s="1"/>
      <c r="B203" s="1"/>
      <c r="C203" s="1"/>
      <c r="D203" s="1"/>
      <c r="E203" s="1"/>
      <c r="F203" s="1"/>
      <c r="G203" s="1"/>
      <c r="H203" s="1"/>
      <c r="I203" s="1"/>
      <c r="J203" s="1"/>
      <c r="K203" s="1"/>
      <c r="L203" s="1"/>
      <c r="M203" s="1"/>
      <c r="N203" s="1"/>
      <c r="O203" s="1"/>
      <c r="P203" s="1"/>
      <c r="Q203" s="1"/>
      <c r="R203" s="1"/>
    </row>
    <row r="204" spans="1:18" ht="13.5" customHeight="1" x14ac:dyDescent="0.45">
      <c r="A204" s="1"/>
      <c r="B204" s="1"/>
      <c r="C204" s="1"/>
      <c r="D204" s="1"/>
      <c r="E204" s="1"/>
      <c r="F204" s="1"/>
      <c r="G204" s="1"/>
      <c r="H204" s="1"/>
      <c r="I204" s="1"/>
      <c r="J204" s="1"/>
      <c r="K204" s="1"/>
      <c r="L204" s="1"/>
      <c r="M204" s="1"/>
      <c r="N204" s="1"/>
      <c r="O204" s="1"/>
      <c r="P204" s="1"/>
      <c r="Q204" s="1"/>
      <c r="R204" s="1"/>
    </row>
    <row r="205" spans="1:18" ht="13.5" customHeight="1" x14ac:dyDescent="0.45">
      <c r="A205" s="1"/>
      <c r="B205" s="1"/>
      <c r="C205" s="1"/>
      <c r="D205" s="1"/>
      <c r="E205" s="1"/>
      <c r="F205" s="1"/>
      <c r="G205" s="1"/>
      <c r="H205" s="1"/>
      <c r="I205" s="1"/>
      <c r="J205" s="1"/>
      <c r="K205" s="1"/>
      <c r="L205" s="1"/>
      <c r="M205" s="1"/>
      <c r="N205" s="1"/>
      <c r="O205" s="1"/>
      <c r="P205" s="1"/>
      <c r="Q205" s="1"/>
      <c r="R205" s="1"/>
    </row>
    <row r="206" spans="1:18" ht="13.5" customHeight="1" x14ac:dyDescent="0.45">
      <c r="A206" s="1"/>
      <c r="B206" s="1"/>
      <c r="C206" s="1"/>
      <c r="D206" s="1"/>
      <c r="E206" s="1"/>
      <c r="F206" s="1"/>
      <c r="G206" s="1"/>
      <c r="H206" s="1"/>
      <c r="I206" s="1"/>
      <c r="J206" s="1"/>
      <c r="K206" s="1"/>
      <c r="L206" s="1"/>
      <c r="M206" s="1"/>
      <c r="N206" s="1"/>
      <c r="O206" s="1"/>
      <c r="P206" s="1"/>
      <c r="Q206" s="1"/>
      <c r="R206" s="1"/>
    </row>
    <row r="207" spans="1:18" ht="13.5" customHeight="1" x14ac:dyDescent="0.45">
      <c r="A207" s="1"/>
      <c r="B207" s="1"/>
      <c r="C207" s="1"/>
      <c r="D207" s="1"/>
      <c r="E207" s="1"/>
      <c r="F207" s="1"/>
      <c r="G207" s="1"/>
      <c r="H207" s="1"/>
      <c r="I207" s="1"/>
      <c r="J207" s="1"/>
      <c r="K207" s="1"/>
      <c r="L207" s="1"/>
      <c r="M207" s="1"/>
      <c r="N207" s="1"/>
      <c r="O207" s="1"/>
      <c r="P207" s="1"/>
      <c r="Q207" s="1"/>
      <c r="R207" s="1"/>
    </row>
    <row r="208" spans="1:18" ht="13.5" customHeight="1" x14ac:dyDescent="0.45">
      <c r="A208" s="1"/>
      <c r="B208" s="1"/>
      <c r="C208" s="1"/>
      <c r="D208" s="1"/>
      <c r="E208" s="1"/>
      <c r="F208" s="1"/>
      <c r="G208" s="1"/>
      <c r="H208" s="1"/>
      <c r="I208" s="1"/>
      <c r="J208" s="1"/>
      <c r="K208" s="1"/>
      <c r="L208" s="1"/>
      <c r="M208" s="1"/>
      <c r="N208" s="1"/>
      <c r="O208" s="1"/>
      <c r="P208" s="1"/>
      <c r="Q208" s="1"/>
      <c r="R208" s="1"/>
    </row>
    <row r="209" spans="1:18" ht="13.5" customHeight="1" x14ac:dyDescent="0.45">
      <c r="A209" s="1"/>
      <c r="B209" s="1"/>
      <c r="C209" s="1"/>
      <c r="D209" s="1"/>
      <c r="E209" s="1"/>
      <c r="F209" s="1"/>
      <c r="G209" s="1"/>
      <c r="H209" s="1"/>
      <c r="I209" s="1"/>
      <c r="J209" s="1"/>
      <c r="K209" s="1"/>
      <c r="L209" s="1"/>
      <c r="M209" s="1"/>
      <c r="N209" s="1"/>
      <c r="O209" s="1"/>
      <c r="P209" s="1"/>
      <c r="Q209" s="1"/>
      <c r="R209" s="1"/>
    </row>
    <row r="210" spans="1:18" ht="13.5" customHeight="1" x14ac:dyDescent="0.45">
      <c r="A210" s="1"/>
      <c r="B210" s="1"/>
      <c r="C210" s="1"/>
      <c r="D210" s="1"/>
      <c r="E210" s="1"/>
      <c r="F210" s="1"/>
      <c r="G210" s="1"/>
      <c r="H210" s="1"/>
      <c r="I210" s="1"/>
      <c r="J210" s="1"/>
      <c r="K210" s="1"/>
      <c r="L210" s="1"/>
      <c r="M210" s="1"/>
      <c r="N210" s="1"/>
      <c r="O210" s="1"/>
      <c r="P210" s="1"/>
      <c r="Q210" s="1"/>
      <c r="R210" s="1"/>
    </row>
    <row r="211" spans="1:18" ht="13.5" customHeight="1" x14ac:dyDescent="0.45">
      <c r="A211" s="1"/>
      <c r="B211" s="1"/>
      <c r="C211" s="1"/>
      <c r="D211" s="1"/>
      <c r="E211" s="1"/>
      <c r="F211" s="1"/>
      <c r="G211" s="1"/>
      <c r="H211" s="1"/>
      <c r="I211" s="1"/>
      <c r="J211" s="1"/>
      <c r="K211" s="1"/>
      <c r="L211" s="1"/>
      <c r="M211" s="1"/>
      <c r="N211" s="1"/>
      <c r="O211" s="1"/>
      <c r="P211" s="1"/>
      <c r="Q211" s="1"/>
      <c r="R211" s="1"/>
    </row>
    <row r="212" spans="1:18" ht="13.5" customHeight="1" x14ac:dyDescent="0.45">
      <c r="A212" s="1"/>
      <c r="B212" s="1"/>
      <c r="C212" s="1"/>
      <c r="D212" s="1"/>
      <c r="E212" s="1"/>
      <c r="F212" s="1"/>
      <c r="G212" s="1"/>
      <c r="H212" s="1"/>
      <c r="I212" s="1"/>
      <c r="J212" s="1"/>
      <c r="K212" s="1"/>
      <c r="L212" s="1"/>
      <c r="M212" s="1"/>
      <c r="N212" s="1"/>
      <c r="O212" s="1"/>
      <c r="P212" s="1"/>
      <c r="Q212" s="1"/>
      <c r="R212" s="1"/>
    </row>
    <row r="213" spans="1:18" ht="13.5" customHeight="1" x14ac:dyDescent="0.45">
      <c r="A213" s="1"/>
      <c r="B213" s="1"/>
      <c r="C213" s="1"/>
      <c r="D213" s="1"/>
      <c r="E213" s="1"/>
      <c r="F213" s="1"/>
      <c r="G213" s="1"/>
      <c r="H213" s="1"/>
      <c r="I213" s="1"/>
      <c r="J213" s="1"/>
      <c r="K213" s="1"/>
      <c r="L213" s="1"/>
      <c r="M213" s="1"/>
      <c r="N213" s="1"/>
      <c r="O213" s="1"/>
      <c r="P213" s="1"/>
      <c r="Q213" s="1"/>
      <c r="R213" s="1"/>
    </row>
    <row r="214" spans="1:18" ht="13.5" customHeight="1" x14ac:dyDescent="0.45">
      <c r="A214" s="1"/>
      <c r="B214" s="1"/>
      <c r="C214" s="1"/>
      <c r="D214" s="1"/>
      <c r="E214" s="1"/>
      <c r="F214" s="1"/>
      <c r="G214" s="1"/>
      <c r="H214" s="1"/>
      <c r="I214" s="1"/>
      <c r="J214" s="1"/>
      <c r="K214" s="1"/>
      <c r="L214" s="1"/>
      <c r="M214" s="1"/>
      <c r="N214" s="1"/>
      <c r="O214" s="1"/>
      <c r="P214" s="1"/>
      <c r="Q214" s="1"/>
      <c r="R214" s="1"/>
    </row>
    <row r="215" spans="1:18" ht="13.5" customHeight="1" x14ac:dyDescent="0.45">
      <c r="A215" s="1"/>
      <c r="B215" s="1"/>
      <c r="C215" s="1"/>
      <c r="D215" s="1"/>
      <c r="E215" s="1"/>
      <c r="F215" s="1"/>
      <c r="G215" s="1"/>
      <c r="H215" s="1"/>
      <c r="I215" s="1"/>
      <c r="J215" s="1"/>
      <c r="K215" s="1"/>
      <c r="L215" s="1"/>
      <c r="M215" s="1"/>
      <c r="N215" s="1"/>
      <c r="O215" s="1"/>
      <c r="P215" s="1"/>
      <c r="Q215" s="1"/>
      <c r="R215" s="1"/>
    </row>
    <row r="216" spans="1:18" ht="13.5" customHeight="1" x14ac:dyDescent="0.45">
      <c r="A216" s="1"/>
      <c r="B216" s="1"/>
      <c r="C216" s="1"/>
      <c r="D216" s="1"/>
      <c r="E216" s="1"/>
      <c r="F216" s="1"/>
      <c r="G216" s="1"/>
      <c r="H216" s="1"/>
      <c r="I216" s="1"/>
      <c r="J216" s="1"/>
      <c r="K216" s="1"/>
      <c r="L216" s="1"/>
      <c r="M216" s="1"/>
      <c r="N216" s="1"/>
      <c r="O216" s="1"/>
      <c r="P216" s="1"/>
      <c r="Q216" s="1"/>
      <c r="R216" s="1"/>
    </row>
    <row r="217" spans="1:18" ht="13.5" customHeight="1" x14ac:dyDescent="0.45">
      <c r="A217" s="1"/>
      <c r="B217" s="1"/>
      <c r="C217" s="1"/>
      <c r="D217" s="1"/>
      <c r="E217" s="1"/>
      <c r="F217" s="1"/>
      <c r="G217" s="1"/>
      <c r="H217" s="1"/>
      <c r="I217" s="1"/>
      <c r="J217" s="1"/>
      <c r="K217" s="1"/>
      <c r="L217" s="1"/>
      <c r="M217" s="1"/>
      <c r="N217" s="1"/>
      <c r="O217" s="1"/>
      <c r="P217" s="1"/>
      <c r="Q217" s="1"/>
      <c r="R217" s="1"/>
    </row>
    <row r="218" spans="1:18" ht="13.5" customHeight="1" x14ac:dyDescent="0.45">
      <c r="A218" s="1"/>
      <c r="B218" s="1"/>
      <c r="C218" s="1"/>
      <c r="D218" s="1"/>
      <c r="E218" s="1"/>
      <c r="F218" s="1"/>
      <c r="G218" s="1"/>
      <c r="H218" s="1"/>
      <c r="I218" s="1"/>
      <c r="J218" s="1"/>
      <c r="K218" s="1"/>
      <c r="L218" s="1"/>
      <c r="M218" s="1"/>
      <c r="N218" s="1"/>
      <c r="O218" s="1"/>
      <c r="P218" s="1"/>
      <c r="Q218" s="1"/>
      <c r="R218" s="1"/>
    </row>
    <row r="219" spans="1:18" ht="13.5" customHeight="1" x14ac:dyDescent="0.45">
      <c r="A219" s="1"/>
      <c r="B219" s="1"/>
      <c r="C219" s="1"/>
      <c r="D219" s="1"/>
      <c r="E219" s="1"/>
      <c r="F219" s="1"/>
      <c r="G219" s="1"/>
      <c r="H219" s="1"/>
      <c r="I219" s="1"/>
      <c r="J219" s="1"/>
      <c r="K219" s="1"/>
      <c r="L219" s="1"/>
      <c r="M219" s="1"/>
      <c r="N219" s="1"/>
      <c r="O219" s="1"/>
      <c r="P219" s="1"/>
      <c r="Q219" s="1"/>
      <c r="R219" s="1"/>
    </row>
    <row r="220" spans="1:18" ht="13.5" customHeight="1" x14ac:dyDescent="0.45">
      <c r="A220" s="1"/>
      <c r="B220" s="1"/>
      <c r="C220" s="1"/>
      <c r="D220" s="1"/>
      <c r="E220" s="1"/>
      <c r="F220" s="1"/>
      <c r="G220" s="1"/>
      <c r="H220" s="1"/>
      <c r="I220" s="1"/>
      <c r="J220" s="1"/>
      <c r="K220" s="1"/>
      <c r="L220" s="1"/>
      <c r="M220" s="1"/>
      <c r="N220" s="1"/>
      <c r="O220" s="1"/>
      <c r="P220" s="1"/>
      <c r="Q220" s="1"/>
      <c r="R220" s="1"/>
    </row>
    <row r="221" spans="1:18" ht="13.5" customHeight="1" x14ac:dyDescent="0.45">
      <c r="A221" s="1"/>
      <c r="B221" s="1"/>
      <c r="C221" s="1"/>
      <c r="D221" s="1"/>
      <c r="E221" s="1"/>
      <c r="F221" s="1"/>
      <c r="G221" s="1"/>
      <c r="H221" s="1"/>
      <c r="I221" s="1"/>
      <c r="J221" s="1"/>
      <c r="K221" s="1"/>
      <c r="L221" s="1"/>
      <c r="M221" s="1"/>
      <c r="N221" s="1"/>
      <c r="O221" s="1"/>
      <c r="P221" s="1"/>
      <c r="Q221" s="1"/>
      <c r="R221" s="1"/>
    </row>
    <row r="222" spans="1:18" ht="13.5" customHeight="1" x14ac:dyDescent="0.45">
      <c r="A222" s="1"/>
      <c r="B222" s="1"/>
      <c r="C222" s="1"/>
      <c r="D222" s="1"/>
      <c r="E222" s="1"/>
      <c r="F222" s="1"/>
      <c r="G222" s="1"/>
      <c r="H222" s="1"/>
      <c r="I222" s="1"/>
      <c r="J222" s="1"/>
      <c r="K222" s="1"/>
      <c r="L222" s="1"/>
      <c r="M222" s="1"/>
      <c r="N222" s="1"/>
      <c r="O222" s="1"/>
      <c r="P222" s="1"/>
      <c r="Q222" s="1"/>
      <c r="R222" s="1"/>
    </row>
    <row r="223" spans="1:18" ht="13.5" customHeight="1" x14ac:dyDescent="0.45">
      <c r="A223" s="1"/>
      <c r="B223" s="1"/>
      <c r="C223" s="1"/>
      <c r="D223" s="1"/>
      <c r="E223" s="1"/>
      <c r="F223" s="1"/>
      <c r="G223" s="1"/>
      <c r="H223" s="1"/>
      <c r="I223" s="1"/>
      <c r="J223" s="1"/>
      <c r="K223" s="1"/>
      <c r="L223" s="1"/>
      <c r="M223" s="1"/>
      <c r="N223" s="1"/>
      <c r="O223" s="1"/>
      <c r="P223" s="1"/>
      <c r="Q223" s="1"/>
      <c r="R223" s="1"/>
    </row>
    <row r="224" spans="1:18" ht="13.5" customHeight="1" x14ac:dyDescent="0.45">
      <c r="A224" s="1"/>
      <c r="B224" s="1"/>
      <c r="C224" s="1"/>
      <c r="D224" s="1"/>
      <c r="E224" s="1"/>
      <c r="F224" s="1"/>
      <c r="G224" s="1"/>
      <c r="H224" s="1"/>
      <c r="I224" s="1"/>
      <c r="J224" s="1"/>
      <c r="K224" s="1"/>
      <c r="L224" s="1"/>
      <c r="M224" s="1"/>
      <c r="N224" s="1"/>
      <c r="O224" s="1"/>
      <c r="P224" s="1"/>
      <c r="Q224" s="1"/>
      <c r="R224" s="1"/>
    </row>
    <row r="225" spans="1:18" ht="13.5" customHeight="1" x14ac:dyDescent="0.45">
      <c r="A225" s="1"/>
      <c r="B225" s="1"/>
      <c r="C225" s="1"/>
      <c r="D225" s="1"/>
      <c r="E225" s="1"/>
      <c r="F225" s="1"/>
      <c r="G225" s="1"/>
      <c r="H225" s="1"/>
      <c r="I225" s="1"/>
      <c r="J225" s="1"/>
      <c r="K225" s="1"/>
      <c r="L225" s="1"/>
      <c r="M225" s="1"/>
      <c r="N225" s="1"/>
      <c r="O225" s="1"/>
      <c r="P225" s="1"/>
      <c r="Q225" s="1"/>
      <c r="R225" s="1"/>
    </row>
    <row r="226" spans="1:18" ht="13.5" customHeight="1" x14ac:dyDescent="0.45">
      <c r="A226" s="1"/>
      <c r="B226" s="1"/>
      <c r="C226" s="1"/>
      <c r="D226" s="1"/>
      <c r="E226" s="1"/>
      <c r="F226" s="1"/>
      <c r="G226" s="1"/>
      <c r="H226" s="1"/>
      <c r="I226" s="1"/>
      <c r="J226" s="1"/>
      <c r="K226" s="1"/>
      <c r="L226" s="1"/>
      <c r="M226" s="1"/>
      <c r="N226" s="1"/>
      <c r="O226" s="1"/>
      <c r="P226" s="1"/>
      <c r="Q226" s="1"/>
      <c r="R226" s="1"/>
    </row>
    <row r="227" spans="1:18" ht="13.5" customHeight="1" x14ac:dyDescent="0.45">
      <c r="A227" s="1"/>
      <c r="B227" s="1"/>
      <c r="C227" s="1"/>
      <c r="D227" s="1"/>
      <c r="E227" s="1"/>
      <c r="F227" s="1"/>
      <c r="G227" s="1"/>
      <c r="H227" s="1"/>
      <c r="I227" s="1"/>
      <c r="J227" s="1"/>
      <c r="K227" s="1"/>
      <c r="L227" s="1"/>
      <c r="M227" s="1"/>
      <c r="N227" s="1"/>
      <c r="O227" s="1"/>
      <c r="P227" s="1"/>
      <c r="Q227" s="1"/>
      <c r="R227" s="1"/>
    </row>
    <row r="228" spans="1:18" ht="13.5" customHeight="1" x14ac:dyDescent="0.45">
      <c r="A228" s="1"/>
      <c r="B228" s="1"/>
      <c r="C228" s="1"/>
      <c r="D228" s="1"/>
      <c r="E228" s="1"/>
      <c r="F228" s="1"/>
      <c r="G228" s="1"/>
      <c r="H228" s="1"/>
      <c r="I228" s="1"/>
      <c r="J228" s="1"/>
      <c r="K228" s="1"/>
      <c r="L228" s="1"/>
      <c r="M228" s="1"/>
      <c r="N228" s="1"/>
      <c r="O228" s="1"/>
      <c r="P228" s="1"/>
      <c r="Q228" s="1"/>
      <c r="R228" s="1"/>
    </row>
    <row r="229" spans="1:18" ht="13.5" customHeight="1" x14ac:dyDescent="0.45">
      <c r="A229" s="1"/>
      <c r="B229" s="1"/>
      <c r="C229" s="1"/>
      <c r="D229" s="1"/>
      <c r="E229" s="1"/>
      <c r="F229" s="1"/>
      <c r="G229" s="1"/>
      <c r="H229" s="1"/>
      <c r="I229" s="1"/>
      <c r="J229" s="1"/>
      <c r="K229" s="1"/>
      <c r="L229" s="1"/>
      <c r="M229" s="1"/>
      <c r="N229" s="1"/>
      <c r="O229" s="1"/>
      <c r="P229" s="1"/>
      <c r="Q229" s="1"/>
      <c r="R229" s="1"/>
    </row>
    <row r="230" spans="1:18" ht="13.5" customHeight="1" x14ac:dyDescent="0.45">
      <c r="A230" s="1"/>
      <c r="B230" s="1"/>
      <c r="C230" s="1"/>
      <c r="D230" s="1"/>
      <c r="E230" s="1"/>
      <c r="F230" s="1"/>
      <c r="G230" s="1"/>
      <c r="H230" s="1"/>
      <c r="I230" s="1"/>
      <c r="J230" s="1"/>
      <c r="K230" s="1"/>
      <c r="L230" s="1"/>
      <c r="M230" s="1"/>
      <c r="N230" s="1"/>
      <c r="O230" s="1"/>
      <c r="P230" s="1"/>
      <c r="Q230" s="1"/>
      <c r="R230" s="1"/>
    </row>
    <row r="231" spans="1:18" ht="13.5" customHeight="1" x14ac:dyDescent="0.45">
      <c r="A231" s="1"/>
      <c r="B231" s="1"/>
      <c r="C231" s="1"/>
      <c r="D231" s="1"/>
      <c r="E231" s="1"/>
      <c r="F231" s="1"/>
      <c r="G231" s="1"/>
      <c r="H231" s="1"/>
      <c r="I231" s="1"/>
      <c r="J231" s="1"/>
      <c r="K231" s="1"/>
      <c r="L231" s="1"/>
      <c r="M231" s="1"/>
      <c r="N231" s="1"/>
      <c r="O231" s="1"/>
      <c r="P231" s="1"/>
      <c r="Q231" s="1"/>
      <c r="R231" s="1"/>
    </row>
    <row r="232" spans="1:18" ht="13.5" customHeight="1" x14ac:dyDescent="0.45">
      <c r="A232" s="1"/>
      <c r="B232" s="1"/>
      <c r="C232" s="1"/>
      <c r="D232" s="1"/>
      <c r="E232" s="1"/>
      <c r="F232" s="1"/>
      <c r="G232" s="1"/>
      <c r="H232" s="1"/>
      <c r="I232" s="1"/>
      <c r="J232" s="1"/>
      <c r="K232" s="1"/>
      <c r="L232" s="1"/>
      <c r="M232" s="1"/>
      <c r="N232" s="1"/>
      <c r="O232" s="1"/>
      <c r="P232" s="1"/>
      <c r="Q232" s="1"/>
      <c r="R232" s="1"/>
    </row>
    <row r="233" spans="1:18" ht="13.5" customHeight="1" x14ac:dyDescent="0.45">
      <c r="A233" s="1"/>
      <c r="B233" s="1"/>
      <c r="C233" s="1"/>
      <c r="D233" s="1"/>
      <c r="E233" s="1"/>
      <c r="F233" s="1"/>
      <c r="G233" s="1"/>
      <c r="H233" s="1"/>
      <c r="I233" s="1"/>
      <c r="J233" s="1"/>
      <c r="K233" s="1"/>
      <c r="L233" s="1"/>
      <c r="M233" s="1"/>
      <c r="N233" s="1"/>
      <c r="O233" s="1"/>
      <c r="P233" s="1"/>
      <c r="Q233" s="1"/>
      <c r="R233" s="1"/>
    </row>
    <row r="234" spans="1:18" ht="13.5" customHeight="1" x14ac:dyDescent="0.45">
      <c r="A234" s="1"/>
      <c r="B234" s="1"/>
      <c r="C234" s="1"/>
      <c r="D234" s="1"/>
      <c r="E234" s="1"/>
      <c r="F234" s="1"/>
      <c r="G234" s="1"/>
      <c r="H234" s="1"/>
      <c r="I234" s="1"/>
      <c r="J234" s="1"/>
      <c r="K234" s="1"/>
      <c r="L234" s="1"/>
      <c r="M234" s="1"/>
      <c r="N234" s="1"/>
      <c r="O234" s="1"/>
      <c r="P234" s="1"/>
      <c r="Q234" s="1"/>
      <c r="R234" s="1"/>
    </row>
    <row r="235" spans="1:18" ht="13.5" customHeight="1" x14ac:dyDescent="0.45">
      <c r="A235" s="1"/>
      <c r="B235" s="1"/>
      <c r="C235" s="1"/>
      <c r="D235" s="1"/>
      <c r="E235" s="1"/>
      <c r="F235" s="1"/>
      <c r="G235" s="1"/>
      <c r="H235" s="1"/>
      <c r="I235" s="1"/>
      <c r="J235" s="1"/>
      <c r="K235" s="1"/>
      <c r="L235" s="1"/>
      <c r="M235" s="1"/>
      <c r="N235" s="1"/>
      <c r="O235" s="1"/>
      <c r="P235" s="1"/>
      <c r="Q235" s="1"/>
      <c r="R235" s="1"/>
    </row>
    <row r="236" spans="1:18" ht="13.5" customHeight="1" x14ac:dyDescent="0.45">
      <c r="A236" s="1"/>
      <c r="B236" s="1"/>
      <c r="C236" s="1"/>
      <c r="D236" s="1"/>
      <c r="E236" s="1"/>
      <c r="F236" s="1"/>
      <c r="G236" s="1"/>
      <c r="H236" s="1"/>
      <c r="I236" s="1"/>
      <c r="J236" s="1"/>
      <c r="K236" s="1"/>
      <c r="L236" s="1"/>
      <c r="M236" s="1"/>
      <c r="N236" s="1"/>
      <c r="O236" s="1"/>
      <c r="P236" s="1"/>
      <c r="Q236" s="1"/>
      <c r="R236" s="1"/>
    </row>
    <row r="237" spans="1:18" ht="13.5" customHeight="1" x14ac:dyDescent="0.45">
      <c r="A237" s="1"/>
      <c r="B237" s="1"/>
      <c r="C237" s="1"/>
      <c r="D237" s="1"/>
      <c r="E237" s="1"/>
      <c r="F237" s="1"/>
      <c r="G237" s="1"/>
      <c r="H237" s="1"/>
      <c r="I237" s="1"/>
      <c r="J237" s="1"/>
      <c r="K237" s="1"/>
      <c r="L237" s="1"/>
      <c r="M237" s="1"/>
      <c r="N237" s="1"/>
      <c r="O237" s="1"/>
      <c r="P237" s="1"/>
      <c r="Q237" s="1"/>
      <c r="R237" s="1"/>
    </row>
    <row r="238" spans="1:18" ht="13.5" customHeight="1" x14ac:dyDescent="0.45">
      <c r="A238" s="1"/>
      <c r="B238" s="1"/>
      <c r="C238" s="1"/>
      <c r="D238" s="1"/>
      <c r="E238" s="1"/>
      <c r="F238" s="1"/>
      <c r="G238" s="1"/>
      <c r="H238" s="1"/>
      <c r="I238" s="1"/>
      <c r="J238" s="1"/>
      <c r="K238" s="1"/>
      <c r="L238" s="1"/>
      <c r="M238" s="1"/>
      <c r="N238" s="1"/>
      <c r="O238" s="1"/>
      <c r="P238" s="1"/>
      <c r="Q238" s="1"/>
      <c r="R238" s="1"/>
    </row>
    <row r="239" spans="1:18" ht="13.5" customHeight="1" x14ac:dyDescent="0.45">
      <c r="A239" s="1"/>
      <c r="B239" s="1"/>
      <c r="C239" s="1"/>
      <c r="D239" s="1"/>
      <c r="E239" s="1"/>
      <c r="F239" s="1"/>
      <c r="G239" s="1"/>
      <c r="H239" s="1"/>
      <c r="I239" s="1"/>
      <c r="J239" s="1"/>
      <c r="K239" s="1"/>
      <c r="L239" s="1"/>
      <c r="M239" s="1"/>
      <c r="N239" s="1"/>
      <c r="O239" s="1"/>
      <c r="P239" s="1"/>
      <c r="Q239" s="1"/>
      <c r="R239" s="1"/>
    </row>
    <row r="240" spans="1:18" ht="13.5" customHeight="1" x14ac:dyDescent="0.45">
      <c r="A240" s="1"/>
      <c r="B240" s="1"/>
      <c r="C240" s="1"/>
      <c r="D240" s="1"/>
      <c r="E240" s="1"/>
      <c r="F240" s="1"/>
      <c r="G240" s="1"/>
      <c r="H240" s="1"/>
      <c r="I240" s="1"/>
      <c r="J240" s="1"/>
      <c r="K240" s="1"/>
      <c r="L240" s="1"/>
      <c r="M240" s="1"/>
      <c r="N240" s="1"/>
      <c r="O240" s="1"/>
      <c r="P240" s="1"/>
      <c r="Q240" s="1"/>
      <c r="R240" s="1"/>
    </row>
    <row r="241" spans="1:18" ht="13.5" customHeight="1" x14ac:dyDescent="0.45">
      <c r="A241" s="1"/>
      <c r="B241" s="1"/>
      <c r="C241" s="1"/>
      <c r="D241" s="1"/>
      <c r="E241" s="1"/>
      <c r="F241" s="1"/>
      <c r="G241" s="1"/>
      <c r="H241" s="1"/>
      <c r="I241" s="1"/>
      <c r="J241" s="1"/>
      <c r="K241" s="1"/>
      <c r="L241" s="1"/>
      <c r="M241" s="1"/>
      <c r="N241" s="1"/>
      <c r="O241" s="1"/>
      <c r="P241" s="1"/>
      <c r="Q241" s="1"/>
      <c r="R241" s="1"/>
    </row>
    <row r="242" spans="1:18" ht="13.5" customHeight="1" x14ac:dyDescent="0.45">
      <c r="A242" s="1"/>
      <c r="B242" s="1"/>
      <c r="C242" s="1"/>
      <c r="D242" s="1"/>
      <c r="E242" s="1"/>
      <c r="F242" s="1"/>
      <c r="G242" s="1"/>
      <c r="H242" s="1"/>
      <c r="I242" s="1"/>
      <c r="J242" s="1"/>
      <c r="K242" s="1"/>
      <c r="L242" s="1"/>
      <c r="M242" s="1"/>
      <c r="N242" s="1"/>
      <c r="O242" s="1"/>
      <c r="P242" s="1"/>
      <c r="Q242" s="1"/>
      <c r="R242" s="1"/>
    </row>
    <row r="243" spans="1:18" ht="13.5" customHeight="1" x14ac:dyDescent="0.45">
      <c r="A243" s="1"/>
      <c r="B243" s="1"/>
      <c r="C243" s="1"/>
      <c r="D243" s="1"/>
      <c r="E243" s="1"/>
      <c r="F243" s="1"/>
      <c r="G243" s="1"/>
      <c r="H243" s="1"/>
      <c r="I243" s="1"/>
      <c r="J243" s="1"/>
      <c r="K243" s="1"/>
      <c r="L243" s="1"/>
      <c r="M243" s="1"/>
      <c r="N243" s="1"/>
      <c r="O243" s="1"/>
      <c r="P243" s="1"/>
      <c r="Q243" s="1"/>
      <c r="R243" s="1"/>
    </row>
    <row r="244" spans="1:18" ht="13.5" customHeight="1" x14ac:dyDescent="0.45">
      <c r="A244" s="1"/>
      <c r="B244" s="1"/>
      <c r="C244" s="1"/>
      <c r="D244" s="1"/>
      <c r="E244" s="1"/>
      <c r="F244" s="1"/>
      <c r="G244" s="1"/>
      <c r="H244" s="1"/>
      <c r="I244" s="1"/>
      <c r="J244" s="1"/>
      <c r="K244" s="1"/>
      <c r="L244" s="1"/>
      <c r="M244" s="1"/>
      <c r="N244" s="1"/>
      <c r="O244" s="1"/>
      <c r="P244" s="1"/>
      <c r="Q244" s="1"/>
      <c r="R244" s="1"/>
    </row>
    <row r="245" spans="1:18" ht="13.5" customHeight="1" x14ac:dyDescent="0.45">
      <c r="A245" s="1"/>
      <c r="B245" s="1"/>
      <c r="C245" s="1"/>
      <c r="D245" s="1"/>
      <c r="E245" s="1"/>
      <c r="F245" s="1"/>
      <c r="G245" s="1"/>
      <c r="H245" s="1"/>
      <c r="I245" s="1"/>
      <c r="J245" s="1"/>
      <c r="K245" s="1"/>
      <c r="L245" s="1"/>
      <c r="M245" s="1"/>
      <c r="N245" s="1"/>
      <c r="O245" s="1"/>
      <c r="P245" s="1"/>
      <c r="Q245" s="1"/>
      <c r="R245" s="1"/>
    </row>
    <row r="246" spans="1:18" ht="13.5" customHeight="1" x14ac:dyDescent="0.45">
      <c r="A246" s="1"/>
      <c r="B246" s="1"/>
      <c r="C246" s="1"/>
      <c r="D246" s="1"/>
      <c r="E246" s="1"/>
      <c r="F246" s="1"/>
      <c r="G246" s="1"/>
      <c r="H246" s="1"/>
      <c r="I246" s="1"/>
      <c r="J246" s="1"/>
      <c r="K246" s="1"/>
      <c r="L246" s="1"/>
      <c r="M246" s="1"/>
      <c r="N246" s="1"/>
      <c r="O246" s="1"/>
      <c r="P246" s="1"/>
      <c r="Q246" s="1"/>
      <c r="R246" s="1"/>
    </row>
    <row r="247" spans="1:18" ht="13.5" customHeight="1" x14ac:dyDescent="0.45">
      <c r="A247" s="1"/>
      <c r="B247" s="1"/>
      <c r="C247" s="1"/>
      <c r="D247" s="1"/>
      <c r="E247" s="1"/>
      <c r="F247" s="1"/>
      <c r="G247" s="1"/>
      <c r="H247" s="1"/>
      <c r="I247" s="1"/>
      <c r="J247" s="1"/>
      <c r="K247" s="1"/>
      <c r="L247" s="1"/>
      <c r="M247" s="1"/>
      <c r="N247" s="1"/>
      <c r="O247" s="1"/>
      <c r="P247" s="1"/>
      <c r="Q247" s="1"/>
      <c r="R247" s="1"/>
    </row>
    <row r="248" spans="1:18" ht="13.5" customHeight="1" x14ac:dyDescent="0.45">
      <c r="A248" s="1"/>
      <c r="B248" s="1"/>
      <c r="C248" s="1"/>
      <c r="D248" s="1"/>
      <c r="E248" s="1"/>
      <c r="F248" s="1"/>
      <c r="G248" s="1"/>
      <c r="H248" s="1"/>
      <c r="I248" s="1"/>
      <c r="J248" s="1"/>
      <c r="K248" s="1"/>
      <c r="L248" s="1"/>
      <c r="M248" s="1"/>
      <c r="N248" s="1"/>
      <c r="O248" s="1"/>
      <c r="P248" s="1"/>
      <c r="Q248" s="1"/>
      <c r="R248" s="1"/>
    </row>
    <row r="249" spans="1:18" ht="13.5" customHeight="1" x14ac:dyDescent="0.45">
      <c r="A249" s="1"/>
      <c r="B249" s="1"/>
      <c r="C249" s="1"/>
      <c r="D249" s="1"/>
      <c r="E249" s="1"/>
      <c r="F249" s="1"/>
      <c r="G249" s="1"/>
      <c r="H249" s="1"/>
      <c r="I249" s="1"/>
      <c r="J249" s="1"/>
      <c r="K249" s="1"/>
      <c r="L249" s="1"/>
      <c r="M249" s="1"/>
      <c r="N249" s="1"/>
      <c r="O249" s="1"/>
      <c r="P249" s="1"/>
      <c r="Q249" s="1"/>
      <c r="R249" s="1"/>
    </row>
    <row r="250" spans="1:18" ht="13.5" customHeight="1" x14ac:dyDescent="0.45">
      <c r="A250" s="1"/>
      <c r="B250" s="1"/>
      <c r="C250" s="1"/>
      <c r="D250" s="1"/>
      <c r="E250" s="1"/>
      <c r="F250" s="1"/>
      <c r="G250" s="1"/>
      <c r="H250" s="1"/>
      <c r="I250" s="1"/>
      <c r="J250" s="1"/>
      <c r="K250" s="1"/>
      <c r="L250" s="1"/>
      <c r="M250" s="1"/>
      <c r="N250" s="1"/>
      <c r="O250" s="1"/>
      <c r="P250" s="1"/>
      <c r="Q250" s="1"/>
      <c r="R250" s="1"/>
    </row>
    <row r="251" spans="1:18" ht="13.5" customHeight="1" x14ac:dyDescent="0.45">
      <c r="A251" s="1"/>
      <c r="B251" s="1"/>
      <c r="C251" s="1"/>
      <c r="D251" s="1"/>
      <c r="E251" s="1"/>
      <c r="F251" s="1"/>
      <c r="G251" s="1"/>
      <c r="H251" s="1"/>
      <c r="I251" s="1"/>
      <c r="J251" s="1"/>
      <c r="K251" s="1"/>
      <c r="L251" s="1"/>
      <c r="M251" s="1"/>
      <c r="N251" s="1"/>
      <c r="O251" s="1"/>
      <c r="P251" s="1"/>
      <c r="Q251" s="1"/>
      <c r="R251" s="1"/>
    </row>
    <row r="252" spans="1:18" ht="13.5" customHeight="1" x14ac:dyDescent="0.45">
      <c r="A252" s="1"/>
      <c r="B252" s="1"/>
      <c r="C252" s="1"/>
      <c r="D252" s="1"/>
      <c r="E252" s="1"/>
      <c r="F252" s="1"/>
      <c r="G252" s="1"/>
      <c r="H252" s="1"/>
      <c r="I252" s="1"/>
      <c r="J252" s="1"/>
      <c r="K252" s="1"/>
      <c r="L252" s="1"/>
      <c r="M252" s="1"/>
      <c r="N252" s="1"/>
      <c r="O252" s="1"/>
      <c r="P252" s="1"/>
      <c r="Q252" s="1"/>
      <c r="R252" s="1"/>
    </row>
    <row r="253" spans="1:18" ht="13.5" customHeight="1" x14ac:dyDescent="0.45">
      <c r="A253" s="1"/>
      <c r="B253" s="1"/>
      <c r="C253" s="1"/>
      <c r="D253" s="1"/>
      <c r="E253" s="1"/>
      <c r="F253" s="1"/>
      <c r="G253" s="1"/>
      <c r="H253" s="1"/>
      <c r="I253" s="1"/>
      <c r="J253" s="1"/>
      <c r="K253" s="1"/>
      <c r="L253" s="1"/>
      <c r="M253" s="1"/>
      <c r="N253" s="1"/>
      <c r="O253" s="1"/>
      <c r="P253" s="1"/>
      <c r="Q253" s="1"/>
      <c r="R253" s="1"/>
    </row>
    <row r="254" spans="1:18" ht="13.5" customHeight="1" x14ac:dyDescent="0.45">
      <c r="A254" s="1"/>
      <c r="B254" s="1"/>
      <c r="C254" s="1"/>
      <c r="D254" s="1"/>
      <c r="E254" s="1"/>
      <c r="F254" s="1"/>
      <c r="G254" s="1"/>
      <c r="H254" s="1"/>
      <c r="I254" s="1"/>
      <c r="J254" s="1"/>
      <c r="K254" s="1"/>
      <c r="L254" s="1"/>
      <c r="M254" s="1"/>
      <c r="N254" s="1"/>
      <c r="O254" s="1"/>
      <c r="P254" s="1"/>
      <c r="Q254" s="1"/>
      <c r="R254" s="1"/>
    </row>
    <row r="255" spans="1:18" ht="13.5" customHeight="1" x14ac:dyDescent="0.45">
      <c r="A255" s="1"/>
      <c r="B255" s="1"/>
      <c r="C255" s="1"/>
      <c r="D255" s="1"/>
      <c r="E255" s="1"/>
      <c r="F255" s="1"/>
      <c r="G255" s="1"/>
      <c r="H255" s="1"/>
      <c r="I255" s="1"/>
      <c r="J255" s="1"/>
      <c r="K255" s="1"/>
      <c r="L255" s="1"/>
      <c r="M255" s="1"/>
      <c r="N255" s="1"/>
      <c r="O255" s="1"/>
      <c r="P255" s="1"/>
      <c r="Q255" s="1"/>
      <c r="R255" s="1"/>
    </row>
    <row r="256" spans="1:18" ht="13.5" customHeight="1" x14ac:dyDescent="0.45">
      <c r="A256" s="1"/>
      <c r="B256" s="1"/>
      <c r="C256" s="1"/>
      <c r="D256" s="1"/>
      <c r="E256" s="1"/>
      <c r="F256" s="1"/>
      <c r="G256" s="1"/>
      <c r="H256" s="1"/>
      <c r="I256" s="1"/>
      <c r="J256" s="1"/>
      <c r="K256" s="1"/>
      <c r="L256" s="1"/>
      <c r="M256" s="1"/>
      <c r="N256" s="1"/>
      <c r="O256" s="1"/>
      <c r="P256" s="1"/>
      <c r="Q256" s="1"/>
      <c r="R256" s="1"/>
    </row>
    <row r="257" spans="1:18" ht="13.5" customHeight="1" x14ac:dyDescent="0.45">
      <c r="A257" s="1"/>
      <c r="B257" s="1"/>
      <c r="C257" s="1"/>
      <c r="D257" s="1"/>
      <c r="E257" s="1"/>
      <c r="F257" s="1"/>
      <c r="G257" s="1"/>
      <c r="H257" s="1"/>
      <c r="I257" s="1"/>
      <c r="J257" s="1"/>
      <c r="K257" s="1"/>
      <c r="L257" s="1"/>
      <c r="M257" s="1"/>
      <c r="N257" s="1"/>
      <c r="O257" s="1"/>
      <c r="P257" s="1"/>
      <c r="Q257" s="1"/>
      <c r="R257" s="1"/>
    </row>
    <row r="258" spans="1:18" ht="13.5" customHeight="1" x14ac:dyDescent="0.45">
      <c r="A258" s="1"/>
      <c r="B258" s="1"/>
      <c r="C258" s="1"/>
      <c r="D258" s="1"/>
      <c r="E258" s="1"/>
      <c r="F258" s="1"/>
      <c r="G258" s="1"/>
      <c r="H258" s="1"/>
      <c r="I258" s="1"/>
      <c r="J258" s="1"/>
      <c r="K258" s="1"/>
      <c r="L258" s="1"/>
      <c r="M258" s="1"/>
      <c r="N258" s="1"/>
      <c r="O258" s="1"/>
      <c r="P258" s="1"/>
      <c r="Q258" s="1"/>
      <c r="R258" s="1"/>
    </row>
    <row r="259" spans="1:18" ht="13.5" customHeight="1" x14ac:dyDescent="0.45">
      <c r="A259" s="1"/>
      <c r="B259" s="1"/>
      <c r="C259" s="1"/>
      <c r="D259" s="1"/>
      <c r="E259" s="1"/>
      <c r="F259" s="1"/>
      <c r="G259" s="1"/>
      <c r="H259" s="1"/>
      <c r="I259" s="1"/>
      <c r="J259" s="1"/>
      <c r="K259" s="1"/>
      <c r="L259" s="1"/>
      <c r="M259" s="1"/>
      <c r="N259" s="1"/>
      <c r="O259" s="1"/>
      <c r="P259" s="1"/>
      <c r="Q259" s="1"/>
      <c r="R259" s="1"/>
    </row>
    <row r="260" spans="1:18" ht="13.5" customHeight="1" x14ac:dyDescent="0.45">
      <c r="A260" s="1"/>
      <c r="B260" s="1"/>
      <c r="C260" s="1"/>
      <c r="D260" s="1"/>
      <c r="E260" s="1"/>
      <c r="F260" s="1"/>
      <c r="G260" s="1"/>
      <c r="H260" s="1"/>
      <c r="I260" s="1"/>
      <c r="J260" s="1"/>
      <c r="K260" s="1"/>
      <c r="L260" s="1"/>
      <c r="M260" s="1"/>
      <c r="N260" s="1"/>
      <c r="O260" s="1"/>
      <c r="P260" s="1"/>
      <c r="Q260" s="1"/>
      <c r="R260" s="1"/>
    </row>
    <row r="261" spans="1:18" ht="13.5" customHeight="1" x14ac:dyDescent="0.45">
      <c r="A261" s="1"/>
      <c r="B261" s="1"/>
      <c r="C261" s="1"/>
      <c r="D261" s="1"/>
      <c r="E261" s="1"/>
      <c r="F261" s="1"/>
      <c r="G261" s="1"/>
      <c r="H261" s="1"/>
      <c r="I261" s="1"/>
      <c r="J261" s="1"/>
      <c r="K261" s="1"/>
      <c r="L261" s="1"/>
      <c r="M261" s="1"/>
      <c r="N261" s="1"/>
      <c r="O261" s="1"/>
      <c r="P261" s="1"/>
      <c r="Q261" s="1"/>
      <c r="R261" s="1"/>
    </row>
    <row r="262" spans="1:18" ht="13.5" customHeight="1" x14ac:dyDescent="0.45">
      <c r="A262" s="1"/>
      <c r="B262" s="1"/>
      <c r="C262" s="1"/>
      <c r="D262" s="1"/>
      <c r="E262" s="1"/>
      <c r="F262" s="1"/>
      <c r="G262" s="1"/>
      <c r="H262" s="1"/>
      <c r="I262" s="1"/>
      <c r="J262" s="1"/>
      <c r="K262" s="1"/>
      <c r="L262" s="1"/>
      <c r="M262" s="1"/>
      <c r="N262" s="1"/>
      <c r="O262" s="1"/>
      <c r="P262" s="1"/>
      <c r="Q262" s="1"/>
      <c r="R262" s="1"/>
    </row>
    <row r="263" spans="1:18" ht="13.5" customHeight="1" x14ac:dyDescent="0.45">
      <c r="A263" s="1"/>
      <c r="B263" s="1"/>
      <c r="C263" s="1"/>
      <c r="D263" s="1"/>
      <c r="E263" s="1"/>
      <c r="F263" s="1"/>
      <c r="G263" s="1"/>
      <c r="H263" s="1"/>
      <c r="I263" s="1"/>
      <c r="J263" s="1"/>
      <c r="K263" s="1"/>
      <c r="L263" s="1"/>
      <c r="M263" s="1"/>
      <c r="N263" s="1"/>
      <c r="O263" s="1"/>
      <c r="P263" s="1"/>
      <c r="Q263" s="1"/>
      <c r="R263" s="1"/>
    </row>
    <row r="264" spans="1:18" ht="13.5" customHeight="1" x14ac:dyDescent="0.45">
      <c r="A264" s="1"/>
      <c r="B264" s="1"/>
      <c r="C264" s="1"/>
      <c r="D264" s="1"/>
      <c r="E264" s="1"/>
      <c r="F264" s="1"/>
      <c r="G264" s="1"/>
      <c r="H264" s="1"/>
      <c r="I264" s="1"/>
      <c r="J264" s="1"/>
      <c r="K264" s="1"/>
      <c r="L264" s="1"/>
      <c r="M264" s="1"/>
      <c r="N264" s="1"/>
      <c r="O264" s="1"/>
      <c r="P264" s="1"/>
      <c r="Q264" s="1"/>
      <c r="R264" s="1"/>
    </row>
    <row r="265" spans="1:18" ht="13.5" customHeight="1" x14ac:dyDescent="0.45">
      <c r="A265" s="1"/>
      <c r="B265" s="1"/>
      <c r="C265" s="1"/>
      <c r="D265" s="1"/>
      <c r="E265" s="1"/>
      <c r="F265" s="1"/>
      <c r="G265" s="1"/>
      <c r="H265" s="1"/>
      <c r="I265" s="1"/>
      <c r="J265" s="1"/>
      <c r="K265" s="1"/>
      <c r="L265" s="1"/>
      <c r="M265" s="1"/>
      <c r="N265" s="1"/>
      <c r="O265" s="1"/>
      <c r="P265" s="1"/>
      <c r="Q265" s="1"/>
      <c r="R265" s="1"/>
    </row>
    <row r="266" spans="1:18" ht="13.5" customHeight="1" x14ac:dyDescent="0.45">
      <c r="A266" s="1"/>
      <c r="B266" s="1"/>
      <c r="C266" s="1"/>
      <c r="D266" s="1"/>
      <c r="E266" s="1"/>
      <c r="F266" s="1"/>
      <c r="G266" s="1"/>
      <c r="H266" s="1"/>
      <c r="I266" s="1"/>
      <c r="J266" s="1"/>
      <c r="K266" s="1"/>
      <c r="L266" s="1"/>
      <c r="M266" s="1"/>
      <c r="N266" s="1"/>
      <c r="O266" s="1"/>
      <c r="P266" s="1"/>
      <c r="Q266" s="1"/>
      <c r="R266" s="1"/>
    </row>
    <row r="267" spans="1:18" ht="13.5" customHeight="1" x14ac:dyDescent="0.45">
      <c r="A267" s="1"/>
      <c r="B267" s="1"/>
      <c r="C267" s="1"/>
      <c r="D267" s="1"/>
      <c r="E267" s="1"/>
      <c r="F267" s="1"/>
      <c r="G267" s="1"/>
      <c r="H267" s="1"/>
      <c r="I267" s="1"/>
      <c r="J267" s="1"/>
      <c r="K267" s="1"/>
      <c r="L267" s="1"/>
      <c r="M267" s="1"/>
      <c r="N267" s="1"/>
      <c r="O267" s="1"/>
      <c r="P267" s="1"/>
      <c r="Q267" s="1"/>
      <c r="R267" s="1"/>
    </row>
    <row r="268" spans="1:18" ht="13.5" customHeight="1" x14ac:dyDescent="0.45">
      <c r="A268" s="1"/>
      <c r="B268" s="1"/>
      <c r="C268" s="1"/>
      <c r="D268" s="1"/>
      <c r="E268" s="1"/>
      <c r="F268" s="1"/>
      <c r="G268" s="1"/>
      <c r="H268" s="1"/>
      <c r="I268" s="1"/>
      <c r="J268" s="1"/>
      <c r="K268" s="1"/>
      <c r="L268" s="1"/>
      <c r="M268" s="1"/>
      <c r="N268" s="1"/>
      <c r="O268" s="1"/>
      <c r="P268" s="1"/>
      <c r="Q268" s="1"/>
      <c r="R268" s="1"/>
    </row>
    <row r="269" spans="1:18" ht="13.5" customHeight="1" x14ac:dyDescent="0.45">
      <c r="A269" s="1"/>
      <c r="B269" s="1"/>
      <c r="C269" s="1"/>
      <c r="D269" s="1"/>
      <c r="E269" s="1"/>
      <c r="F269" s="1"/>
      <c r="G269" s="1"/>
      <c r="H269" s="1"/>
      <c r="I269" s="1"/>
      <c r="J269" s="1"/>
      <c r="K269" s="1"/>
      <c r="L269" s="1"/>
      <c r="M269" s="1"/>
      <c r="N269" s="1"/>
      <c r="O269" s="1"/>
      <c r="P269" s="1"/>
      <c r="Q269" s="1"/>
      <c r="R269" s="1"/>
    </row>
    <row r="270" spans="1:18" ht="13.5" customHeight="1" x14ac:dyDescent="0.45">
      <c r="A270" s="1"/>
      <c r="B270" s="1"/>
      <c r="C270" s="1"/>
      <c r="D270" s="1"/>
      <c r="E270" s="1"/>
      <c r="F270" s="1"/>
      <c r="G270" s="1"/>
      <c r="H270" s="1"/>
      <c r="I270" s="1"/>
      <c r="J270" s="1"/>
      <c r="K270" s="1"/>
      <c r="L270" s="1"/>
      <c r="M270" s="1"/>
      <c r="N270" s="1"/>
      <c r="O270" s="1"/>
      <c r="P270" s="1"/>
      <c r="Q270" s="1"/>
      <c r="R270" s="1"/>
    </row>
    <row r="271" spans="1:18" ht="13.5" customHeight="1" x14ac:dyDescent="0.45">
      <c r="A271" s="1"/>
      <c r="B271" s="1"/>
      <c r="C271" s="1"/>
      <c r="D271" s="1"/>
      <c r="E271" s="1"/>
      <c r="F271" s="1"/>
      <c r="G271" s="1"/>
      <c r="H271" s="1"/>
      <c r="I271" s="1"/>
      <c r="J271" s="1"/>
      <c r="K271" s="1"/>
      <c r="L271" s="1"/>
      <c r="M271" s="1"/>
      <c r="N271" s="1"/>
      <c r="O271" s="1"/>
      <c r="P271" s="1"/>
      <c r="Q271" s="1"/>
      <c r="R271" s="1"/>
    </row>
    <row r="272" spans="1:18" ht="13.5" customHeight="1" x14ac:dyDescent="0.45">
      <c r="A272" s="1"/>
      <c r="B272" s="1"/>
      <c r="C272" s="1"/>
      <c r="D272" s="1"/>
      <c r="E272" s="1"/>
      <c r="F272" s="1"/>
      <c r="G272" s="1"/>
      <c r="H272" s="1"/>
      <c r="I272" s="1"/>
      <c r="J272" s="1"/>
      <c r="K272" s="1"/>
      <c r="L272" s="1"/>
      <c r="M272" s="1"/>
      <c r="N272" s="1"/>
      <c r="O272" s="1"/>
      <c r="P272" s="1"/>
      <c r="Q272" s="1"/>
      <c r="R272" s="1"/>
    </row>
    <row r="273" spans="1:18" ht="13.5" customHeight="1" x14ac:dyDescent="0.45">
      <c r="A273" s="1"/>
      <c r="B273" s="1"/>
      <c r="C273" s="1"/>
      <c r="D273" s="1"/>
      <c r="E273" s="1"/>
      <c r="F273" s="1"/>
      <c r="G273" s="1"/>
      <c r="H273" s="1"/>
      <c r="I273" s="1"/>
      <c r="J273" s="1"/>
      <c r="K273" s="1"/>
      <c r="L273" s="1"/>
      <c r="M273" s="1"/>
      <c r="N273" s="1"/>
      <c r="O273" s="1"/>
      <c r="P273" s="1"/>
      <c r="Q273" s="1"/>
      <c r="R273" s="1"/>
    </row>
    <row r="274" spans="1:18" ht="13.5" customHeight="1" x14ac:dyDescent="0.45">
      <c r="A274" s="1"/>
      <c r="B274" s="1"/>
      <c r="C274" s="1"/>
      <c r="D274" s="1"/>
      <c r="E274" s="1"/>
      <c r="F274" s="1"/>
      <c r="G274" s="1"/>
      <c r="H274" s="1"/>
      <c r="I274" s="1"/>
      <c r="J274" s="1"/>
      <c r="K274" s="1"/>
      <c r="L274" s="1"/>
      <c r="M274" s="1"/>
      <c r="N274" s="1"/>
      <c r="O274" s="1"/>
      <c r="P274" s="1"/>
      <c r="Q274" s="1"/>
      <c r="R274" s="1"/>
    </row>
    <row r="275" spans="1:18" ht="13.5" customHeight="1" x14ac:dyDescent="0.45">
      <c r="A275" s="1"/>
      <c r="B275" s="1"/>
      <c r="C275" s="1"/>
      <c r="D275" s="1"/>
      <c r="E275" s="1"/>
      <c r="F275" s="1"/>
      <c r="G275" s="1"/>
      <c r="H275" s="1"/>
      <c r="I275" s="1"/>
      <c r="J275" s="1"/>
      <c r="K275" s="1"/>
      <c r="L275" s="1"/>
      <c r="M275" s="1"/>
      <c r="N275" s="1"/>
      <c r="O275" s="1"/>
      <c r="P275" s="1"/>
      <c r="Q275" s="1"/>
      <c r="R275" s="1"/>
    </row>
    <row r="276" spans="1:18" ht="13.5" customHeight="1" x14ac:dyDescent="0.45">
      <c r="A276" s="1"/>
      <c r="B276" s="1"/>
      <c r="C276" s="1"/>
      <c r="D276" s="1"/>
      <c r="E276" s="1"/>
      <c r="F276" s="1"/>
      <c r="G276" s="1"/>
      <c r="H276" s="1"/>
      <c r="I276" s="1"/>
      <c r="J276" s="1"/>
      <c r="K276" s="1"/>
      <c r="L276" s="1"/>
      <c r="M276" s="1"/>
      <c r="N276" s="1"/>
      <c r="O276" s="1"/>
      <c r="P276" s="1"/>
      <c r="Q276" s="1"/>
      <c r="R276" s="1"/>
    </row>
    <row r="277" spans="1:18" ht="13.5" customHeight="1" x14ac:dyDescent="0.45">
      <c r="A277" s="1"/>
      <c r="B277" s="1"/>
      <c r="C277" s="1"/>
      <c r="D277" s="1"/>
      <c r="E277" s="1"/>
      <c r="F277" s="1"/>
      <c r="G277" s="1"/>
      <c r="H277" s="1"/>
      <c r="I277" s="1"/>
      <c r="J277" s="1"/>
      <c r="K277" s="1"/>
      <c r="L277" s="1"/>
      <c r="M277" s="1"/>
      <c r="N277" s="1"/>
      <c r="O277" s="1"/>
      <c r="P277" s="1"/>
      <c r="Q277" s="1"/>
      <c r="R277" s="1"/>
    </row>
    <row r="278" spans="1:18" ht="13.5" customHeight="1" x14ac:dyDescent="0.45">
      <c r="A278" s="1"/>
      <c r="B278" s="1"/>
      <c r="C278" s="1"/>
      <c r="D278" s="1"/>
      <c r="E278" s="1"/>
      <c r="F278" s="1"/>
      <c r="G278" s="1"/>
      <c r="H278" s="1"/>
      <c r="I278" s="1"/>
      <c r="J278" s="1"/>
      <c r="K278" s="1"/>
      <c r="L278" s="1"/>
      <c r="M278" s="1"/>
      <c r="N278" s="1"/>
      <c r="O278" s="1"/>
      <c r="P278" s="1"/>
      <c r="Q278" s="1"/>
      <c r="R278" s="1"/>
    </row>
    <row r="279" spans="1:18" ht="13.5" customHeight="1" x14ac:dyDescent="0.45">
      <c r="A279" s="1"/>
      <c r="B279" s="1"/>
      <c r="C279" s="1"/>
      <c r="D279" s="1"/>
      <c r="E279" s="1"/>
      <c r="F279" s="1"/>
      <c r="G279" s="1"/>
      <c r="H279" s="1"/>
      <c r="I279" s="1"/>
      <c r="J279" s="1"/>
      <c r="K279" s="1"/>
      <c r="L279" s="1"/>
      <c r="M279" s="1"/>
      <c r="N279" s="1"/>
      <c r="O279" s="1"/>
      <c r="P279" s="1"/>
      <c r="Q279" s="1"/>
      <c r="R279" s="1"/>
    </row>
    <row r="280" spans="1:18" ht="13.5" customHeight="1" x14ac:dyDescent="0.45">
      <c r="A280" s="1"/>
      <c r="B280" s="1"/>
      <c r="C280" s="1"/>
      <c r="D280" s="1"/>
      <c r="E280" s="1"/>
      <c r="F280" s="1"/>
      <c r="G280" s="1"/>
      <c r="H280" s="1"/>
      <c r="I280" s="1"/>
      <c r="J280" s="1"/>
      <c r="K280" s="1"/>
      <c r="L280" s="1"/>
      <c r="M280" s="1"/>
      <c r="N280" s="1"/>
      <c r="O280" s="1"/>
      <c r="P280" s="1"/>
      <c r="Q280" s="1"/>
      <c r="R280" s="1"/>
    </row>
    <row r="281" spans="1:18" ht="13.5" customHeight="1" x14ac:dyDescent="0.45">
      <c r="A281" s="1"/>
      <c r="B281" s="1"/>
      <c r="C281" s="1"/>
      <c r="D281" s="1"/>
      <c r="E281" s="1"/>
      <c r="F281" s="1"/>
      <c r="G281" s="1"/>
      <c r="H281" s="1"/>
      <c r="I281" s="1"/>
      <c r="J281" s="1"/>
      <c r="K281" s="1"/>
      <c r="L281" s="1"/>
      <c r="M281" s="1"/>
      <c r="N281" s="1"/>
      <c r="O281" s="1"/>
      <c r="P281" s="1"/>
      <c r="Q281" s="1"/>
      <c r="R281" s="1"/>
    </row>
    <row r="282" spans="1:18" ht="13.5" customHeight="1" x14ac:dyDescent="0.45">
      <c r="A282" s="1"/>
      <c r="B282" s="1"/>
      <c r="C282" s="1"/>
      <c r="D282" s="1"/>
      <c r="E282" s="1"/>
      <c r="F282" s="1"/>
      <c r="G282" s="1"/>
      <c r="H282" s="1"/>
      <c r="I282" s="1"/>
      <c r="J282" s="1"/>
      <c r="K282" s="1"/>
      <c r="L282" s="1"/>
      <c r="M282" s="1"/>
      <c r="N282" s="1"/>
      <c r="O282" s="1"/>
      <c r="P282" s="1"/>
      <c r="Q282" s="1"/>
      <c r="R282" s="1"/>
    </row>
    <row r="283" spans="1:18" ht="13.5" customHeight="1" x14ac:dyDescent="0.45">
      <c r="A283" s="1"/>
      <c r="B283" s="1"/>
      <c r="C283" s="1"/>
      <c r="D283" s="1"/>
      <c r="E283" s="1"/>
      <c r="F283" s="1"/>
      <c r="G283" s="1"/>
      <c r="H283" s="1"/>
      <c r="I283" s="1"/>
      <c r="J283" s="1"/>
      <c r="K283" s="1"/>
      <c r="L283" s="1"/>
      <c r="M283" s="1"/>
      <c r="N283" s="1"/>
      <c r="O283" s="1"/>
      <c r="P283" s="1"/>
      <c r="Q283" s="1"/>
      <c r="R283" s="1"/>
    </row>
    <row r="284" spans="1:18" ht="13.5" customHeight="1" x14ac:dyDescent="0.45">
      <c r="A284" s="1"/>
      <c r="B284" s="1"/>
      <c r="C284" s="1"/>
      <c r="D284" s="1"/>
      <c r="E284" s="1"/>
      <c r="F284" s="1"/>
      <c r="G284" s="1"/>
      <c r="H284" s="1"/>
      <c r="I284" s="1"/>
      <c r="J284" s="1"/>
      <c r="K284" s="1"/>
      <c r="L284" s="1"/>
      <c r="M284" s="1"/>
      <c r="N284" s="1"/>
      <c r="O284" s="1"/>
      <c r="P284" s="1"/>
      <c r="Q284" s="1"/>
      <c r="R284" s="1"/>
    </row>
    <row r="285" spans="1:18" ht="13.5" customHeight="1" x14ac:dyDescent="0.45">
      <c r="A285" s="1"/>
      <c r="B285" s="1"/>
      <c r="C285" s="1"/>
      <c r="D285" s="1"/>
      <c r="E285" s="1"/>
      <c r="F285" s="1"/>
      <c r="G285" s="1"/>
      <c r="H285" s="1"/>
      <c r="I285" s="1"/>
      <c r="J285" s="1"/>
      <c r="K285" s="1"/>
      <c r="L285" s="1"/>
      <c r="M285" s="1"/>
      <c r="N285" s="1"/>
      <c r="O285" s="1"/>
      <c r="P285" s="1"/>
      <c r="Q285" s="1"/>
      <c r="R285" s="1"/>
    </row>
    <row r="286" spans="1:18" ht="13.5" customHeight="1" x14ac:dyDescent="0.45">
      <c r="A286" s="1"/>
      <c r="B286" s="1"/>
      <c r="C286" s="1"/>
      <c r="D286" s="1"/>
      <c r="E286" s="1"/>
      <c r="F286" s="1"/>
      <c r="G286" s="1"/>
      <c r="H286" s="1"/>
      <c r="I286" s="1"/>
      <c r="J286" s="1"/>
      <c r="K286" s="1"/>
      <c r="L286" s="1"/>
      <c r="M286" s="1"/>
      <c r="N286" s="1"/>
      <c r="O286" s="1"/>
      <c r="P286" s="1"/>
      <c r="Q286" s="1"/>
      <c r="R286" s="1"/>
    </row>
    <row r="287" spans="1:18" ht="13.5" customHeight="1" x14ac:dyDescent="0.45">
      <c r="A287" s="1"/>
      <c r="B287" s="1"/>
      <c r="C287" s="1"/>
      <c r="D287" s="1"/>
      <c r="E287" s="1"/>
      <c r="F287" s="1"/>
      <c r="G287" s="1"/>
      <c r="H287" s="1"/>
      <c r="I287" s="1"/>
      <c r="J287" s="1"/>
      <c r="K287" s="1"/>
      <c r="L287" s="1"/>
      <c r="M287" s="1"/>
      <c r="N287" s="1"/>
      <c r="O287" s="1"/>
      <c r="P287" s="1"/>
      <c r="Q287" s="1"/>
      <c r="R287" s="1"/>
    </row>
    <row r="288" spans="1:18" ht="13.5" customHeight="1" x14ac:dyDescent="0.45">
      <c r="A288" s="1"/>
      <c r="B288" s="1"/>
      <c r="C288" s="1"/>
      <c r="D288" s="1"/>
      <c r="E288" s="1"/>
      <c r="F288" s="1"/>
      <c r="G288" s="1"/>
      <c r="H288" s="1"/>
      <c r="I288" s="1"/>
      <c r="J288" s="1"/>
      <c r="K288" s="1"/>
      <c r="L288" s="1"/>
      <c r="M288" s="1"/>
      <c r="N288" s="1"/>
      <c r="O288" s="1"/>
      <c r="P288" s="1"/>
      <c r="Q288" s="1"/>
      <c r="R288" s="1"/>
    </row>
    <row r="289" spans="1:18" ht="13.5" customHeight="1" x14ac:dyDescent="0.45">
      <c r="A289" s="1"/>
      <c r="B289" s="1"/>
      <c r="C289" s="1"/>
      <c r="D289" s="1"/>
      <c r="E289" s="1"/>
      <c r="F289" s="1"/>
      <c r="G289" s="1"/>
      <c r="H289" s="1"/>
      <c r="I289" s="1"/>
      <c r="J289" s="1"/>
      <c r="K289" s="1"/>
      <c r="L289" s="1"/>
      <c r="M289" s="1"/>
      <c r="N289" s="1"/>
      <c r="O289" s="1"/>
      <c r="P289" s="1"/>
      <c r="Q289" s="1"/>
      <c r="R289" s="1"/>
    </row>
    <row r="290" spans="1:18" ht="13.5" customHeight="1" x14ac:dyDescent="0.45">
      <c r="A290" s="1"/>
      <c r="B290" s="1"/>
      <c r="C290" s="1"/>
      <c r="D290" s="1"/>
      <c r="E290" s="1"/>
      <c r="F290" s="1"/>
      <c r="G290" s="1"/>
      <c r="H290" s="1"/>
      <c r="I290" s="1"/>
      <c r="J290" s="1"/>
      <c r="K290" s="1"/>
      <c r="L290" s="1"/>
      <c r="M290" s="1"/>
      <c r="N290" s="1"/>
      <c r="O290" s="1"/>
      <c r="P290" s="1"/>
      <c r="Q290" s="1"/>
      <c r="R290" s="1"/>
    </row>
    <row r="291" spans="1:18" ht="13.5" customHeight="1" x14ac:dyDescent="0.45">
      <c r="A291" s="1"/>
      <c r="B291" s="1"/>
      <c r="C291" s="1"/>
      <c r="D291" s="1"/>
      <c r="E291" s="1"/>
      <c r="F291" s="1"/>
      <c r="G291" s="1"/>
      <c r="H291" s="1"/>
      <c r="I291" s="1"/>
      <c r="J291" s="1"/>
      <c r="K291" s="1"/>
      <c r="L291" s="1"/>
      <c r="M291" s="1"/>
      <c r="N291" s="1"/>
      <c r="O291" s="1"/>
      <c r="P291" s="1"/>
      <c r="Q291" s="1"/>
      <c r="R291" s="1"/>
    </row>
    <row r="292" spans="1:18" ht="13.5" customHeight="1" x14ac:dyDescent="0.45">
      <c r="A292" s="1"/>
      <c r="B292" s="1"/>
      <c r="C292" s="1"/>
      <c r="D292" s="1"/>
      <c r="E292" s="1"/>
      <c r="F292" s="1"/>
      <c r="G292" s="1"/>
      <c r="H292" s="1"/>
      <c r="I292" s="1"/>
      <c r="J292" s="1"/>
      <c r="K292" s="1"/>
      <c r="L292" s="1"/>
      <c r="M292" s="1"/>
      <c r="N292" s="1"/>
      <c r="O292" s="1"/>
      <c r="P292" s="1"/>
      <c r="Q292" s="1"/>
      <c r="R292" s="1"/>
    </row>
    <row r="293" spans="1:18" ht="13.5" customHeight="1" x14ac:dyDescent="0.45">
      <c r="A293" s="1"/>
      <c r="B293" s="1"/>
      <c r="C293" s="1"/>
      <c r="D293" s="1"/>
      <c r="E293" s="1"/>
      <c r="F293" s="1"/>
      <c r="G293" s="1"/>
      <c r="H293" s="1"/>
      <c r="I293" s="1"/>
      <c r="J293" s="1"/>
      <c r="K293" s="1"/>
      <c r="L293" s="1"/>
      <c r="M293" s="1"/>
      <c r="N293" s="1"/>
      <c r="O293" s="1"/>
      <c r="P293" s="1"/>
      <c r="Q293" s="1"/>
      <c r="R293" s="1"/>
    </row>
    <row r="294" spans="1:18" ht="13.5" customHeight="1" x14ac:dyDescent="0.45">
      <c r="A294" s="1"/>
      <c r="B294" s="1"/>
      <c r="C294" s="1"/>
      <c r="D294" s="1"/>
      <c r="E294" s="1"/>
      <c r="F294" s="1"/>
      <c r="G294" s="1"/>
      <c r="H294" s="1"/>
      <c r="I294" s="1"/>
      <c r="J294" s="1"/>
      <c r="K294" s="1"/>
      <c r="L294" s="1"/>
      <c r="M294" s="1"/>
      <c r="N294" s="1"/>
      <c r="O294" s="1"/>
      <c r="P294" s="1"/>
      <c r="Q294" s="1"/>
      <c r="R294" s="1"/>
    </row>
    <row r="295" spans="1:18" ht="13.5" customHeight="1" x14ac:dyDescent="0.45">
      <c r="A295" s="1"/>
      <c r="B295" s="1"/>
      <c r="C295" s="1"/>
      <c r="D295" s="1"/>
      <c r="E295" s="1"/>
      <c r="F295" s="1"/>
      <c r="G295" s="1"/>
      <c r="H295" s="1"/>
      <c r="I295" s="1"/>
      <c r="J295" s="1"/>
      <c r="K295" s="1"/>
      <c r="L295" s="1"/>
      <c r="M295" s="1"/>
      <c r="N295" s="1"/>
      <c r="O295" s="1"/>
      <c r="P295" s="1"/>
      <c r="Q295" s="1"/>
      <c r="R295" s="1"/>
    </row>
    <row r="296" spans="1:18" ht="13.5" customHeight="1" x14ac:dyDescent="0.45">
      <c r="A296" s="1"/>
      <c r="B296" s="1"/>
      <c r="C296" s="1"/>
      <c r="D296" s="1"/>
      <c r="E296" s="1"/>
      <c r="F296" s="1"/>
      <c r="G296" s="1"/>
      <c r="H296" s="1"/>
      <c r="I296" s="1"/>
      <c r="J296" s="1"/>
      <c r="K296" s="1"/>
      <c r="L296" s="1"/>
      <c r="M296" s="1"/>
      <c r="N296" s="1"/>
      <c r="O296" s="1"/>
      <c r="P296" s="1"/>
      <c r="Q296" s="1"/>
      <c r="R296" s="1"/>
    </row>
    <row r="297" spans="1:18" ht="13.5" customHeight="1" x14ac:dyDescent="0.45">
      <c r="A297" s="1"/>
      <c r="B297" s="1"/>
      <c r="C297" s="1"/>
      <c r="D297" s="1"/>
      <c r="E297" s="1"/>
      <c r="F297" s="1"/>
      <c r="G297" s="1"/>
      <c r="H297" s="1"/>
      <c r="I297" s="1"/>
      <c r="J297" s="1"/>
      <c r="K297" s="1"/>
      <c r="L297" s="1"/>
      <c r="M297" s="1"/>
      <c r="N297" s="1"/>
      <c r="O297" s="1"/>
      <c r="P297" s="1"/>
      <c r="Q297" s="1"/>
      <c r="R297" s="1"/>
    </row>
    <row r="298" spans="1:18" ht="13.5" customHeight="1" x14ac:dyDescent="0.45">
      <c r="A298" s="1"/>
      <c r="B298" s="1"/>
      <c r="C298" s="1"/>
      <c r="D298" s="1"/>
      <c r="E298" s="1"/>
      <c r="F298" s="1"/>
      <c r="G298" s="1"/>
      <c r="H298" s="1"/>
      <c r="I298" s="1"/>
      <c r="J298" s="1"/>
      <c r="K298" s="1"/>
      <c r="L298" s="1"/>
      <c r="M298" s="1"/>
      <c r="N298" s="1"/>
      <c r="O298" s="1"/>
      <c r="P298" s="1"/>
      <c r="Q298" s="1"/>
      <c r="R298" s="1"/>
    </row>
    <row r="299" spans="1:18" ht="13.5" customHeight="1" x14ac:dyDescent="0.45">
      <c r="A299" s="1"/>
      <c r="B299" s="1"/>
      <c r="C299" s="1"/>
      <c r="D299" s="1"/>
      <c r="E299" s="1"/>
      <c r="F299" s="1"/>
      <c r="G299" s="1"/>
      <c r="H299" s="1"/>
      <c r="I299" s="1"/>
      <c r="J299" s="1"/>
      <c r="K299" s="1"/>
      <c r="L299" s="1"/>
      <c r="M299" s="1"/>
      <c r="N299" s="1"/>
      <c r="O299" s="1"/>
      <c r="P299" s="1"/>
      <c r="Q299" s="1"/>
      <c r="R299" s="1"/>
    </row>
    <row r="300" spans="1:18" ht="13.5" customHeight="1" x14ac:dyDescent="0.45">
      <c r="A300" s="1"/>
      <c r="B300" s="1"/>
      <c r="C300" s="1"/>
      <c r="D300" s="1"/>
      <c r="E300" s="1"/>
      <c r="F300" s="1"/>
      <c r="G300" s="1"/>
      <c r="H300" s="1"/>
      <c r="I300" s="1"/>
      <c r="J300" s="1"/>
      <c r="K300" s="1"/>
      <c r="L300" s="1"/>
      <c r="M300" s="1"/>
      <c r="N300" s="1"/>
      <c r="O300" s="1"/>
      <c r="P300" s="1"/>
      <c r="Q300" s="1"/>
      <c r="R300" s="1"/>
    </row>
    <row r="301" spans="1:18" ht="13.5" customHeight="1" x14ac:dyDescent="0.45">
      <c r="A301" s="1"/>
      <c r="B301" s="1"/>
      <c r="C301" s="1"/>
      <c r="D301" s="1"/>
      <c r="E301" s="1"/>
      <c r="F301" s="1"/>
      <c r="G301" s="1"/>
      <c r="H301" s="1"/>
      <c r="I301" s="1"/>
      <c r="J301" s="1"/>
      <c r="K301" s="1"/>
      <c r="L301" s="1"/>
      <c r="M301" s="1"/>
      <c r="N301" s="1"/>
      <c r="O301" s="1"/>
      <c r="P301" s="1"/>
      <c r="Q301" s="1"/>
      <c r="R301" s="1"/>
    </row>
    <row r="302" spans="1:18" ht="13.5" customHeight="1" x14ac:dyDescent="0.45">
      <c r="A302" s="1"/>
      <c r="B302" s="1"/>
      <c r="C302" s="1"/>
      <c r="D302" s="1"/>
      <c r="E302" s="1"/>
      <c r="F302" s="1"/>
      <c r="G302" s="1"/>
      <c r="H302" s="1"/>
      <c r="I302" s="1"/>
      <c r="J302" s="1"/>
      <c r="K302" s="1"/>
      <c r="L302" s="1"/>
      <c r="M302" s="1"/>
      <c r="N302" s="1"/>
      <c r="O302" s="1"/>
      <c r="P302" s="1"/>
      <c r="Q302" s="1"/>
      <c r="R302" s="1"/>
    </row>
    <row r="303" spans="1:18" ht="13.5" customHeight="1" x14ac:dyDescent="0.45">
      <c r="A303" s="1"/>
      <c r="B303" s="1"/>
      <c r="C303" s="1"/>
      <c r="D303" s="1"/>
      <c r="E303" s="1"/>
      <c r="F303" s="1"/>
      <c r="G303" s="1"/>
      <c r="H303" s="1"/>
      <c r="I303" s="1"/>
      <c r="J303" s="1"/>
      <c r="K303" s="1"/>
      <c r="L303" s="1"/>
      <c r="M303" s="1"/>
      <c r="N303" s="1"/>
      <c r="O303" s="1"/>
      <c r="P303" s="1"/>
      <c r="Q303" s="1"/>
      <c r="R303" s="1"/>
    </row>
    <row r="304" spans="1:18" ht="13.5" customHeight="1" x14ac:dyDescent="0.45">
      <c r="A304" s="1"/>
      <c r="B304" s="1"/>
      <c r="C304" s="1"/>
      <c r="D304" s="1"/>
      <c r="E304" s="1"/>
      <c r="F304" s="1"/>
      <c r="G304" s="1"/>
      <c r="H304" s="1"/>
      <c r="I304" s="1"/>
      <c r="J304" s="1"/>
      <c r="K304" s="1"/>
      <c r="L304" s="1"/>
      <c r="M304" s="1"/>
      <c r="N304" s="1"/>
      <c r="O304" s="1"/>
      <c r="P304" s="1"/>
      <c r="Q304" s="1"/>
      <c r="R304" s="1"/>
    </row>
    <row r="305" spans="1:18" ht="13.5" customHeight="1" x14ac:dyDescent="0.45">
      <c r="A305" s="1"/>
      <c r="B305" s="1"/>
      <c r="C305" s="1"/>
      <c r="D305" s="1"/>
      <c r="E305" s="1"/>
      <c r="F305" s="1"/>
      <c r="G305" s="1"/>
      <c r="H305" s="1"/>
      <c r="I305" s="1"/>
      <c r="J305" s="1"/>
      <c r="K305" s="1"/>
      <c r="L305" s="1"/>
      <c r="M305" s="1"/>
      <c r="N305" s="1"/>
      <c r="O305" s="1"/>
      <c r="P305" s="1"/>
      <c r="Q305" s="1"/>
      <c r="R305" s="1"/>
    </row>
    <row r="306" spans="1:18" ht="13.5" customHeight="1" x14ac:dyDescent="0.45">
      <c r="A306" s="1"/>
      <c r="B306" s="1"/>
      <c r="C306" s="1"/>
      <c r="D306" s="1"/>
      <c r="E306" s="1"/>
      <c r="F306" s="1"/>
      <c r="G306" s="1"/>
      <c r="H306" s="1"/>
      <c r="I306" s="1"/>
      <c r="J306" s="1"/>
      <c r="K306" s="1"/>
      <c r="L306" s="1"/>
      <c r="M306" s="1"/>
      <c r="N306" s="1"/>
      <c r="O306" s="1"/>
      <c r="P306" s="1"/>
      <c r="Q306" s="1"/>
      <c r="R306" s="1"/>
    </row>
    <row r="307" spans="1:18" ht="13.5" customHeight="1" x14ac:dyDescent="0.45">
      <c r="A307" s="1"/>
      <c r="B307" s="1"/>
      <c r="C307" s="1"/>
      <c r="D307" s="1"/>
      <c r="E307" s="1"/>
      <c r="F307" s="1"/>
      <c r="G307" s="1"/>
      <c r="H307" s="1"/>
      <c r="I307" s="1"/>
      <c r="J307" s="1"/>
      <c r="K307" s="1"/>
      <c r="L307" s="1"/>
      <c r="M307" s="1"/>
      <c r="N307" s="1"/>
      <c r="O307" s="1"/>
      <c r="P307" s="1"/>
      <c r="Q307" s="1"/>
      <c r="R307" s="1"/>
    </row>
    <row r="308" spans="1:18" ht="13.5" customHeight="1" x14ac:dyDescent="0.45">
      <c r="A308" s="1"/>
      <c r="B308" s="1"/>
      <c r="C308" s="1"/>
      <c r="D308" s="1"/>
      <c r="E308" s="1"/>
      <c r="F308" s="1"/>
      <c r="G308" s="1"/>
      <c r="H308" s="1"/>
      <c r="I308" s="1"/>
      <c r="J308" s="1"/>
      <c r="K308" s="1"/>
      <c r="L308" s="1"/>
      <c r="M308" s="1"/>
      <c r="N308" s="1"/>
      <c r="O308" s="1"/>
      <c r="P308" s="1"/>
      <c r="Q308" s="1"/>
      <c r="R308" s="1"/>
    </row>
    <row r="309" spans="1:18" ht="13.5" customHeight="1" x14ac:dyDescent="0.45">
      <c r="A309" s="1"/>
      <c r="B309" s="1"/>
      <c r="C309" s="1"/>
      <c r="D309" s="1"/>
      <c r="E309" s="1"/>
      <c r="F309" s="1"/>
      <c r="G309" s="1"/>
      <c r="H309" s="1"/>
      <c r="I309" s="1"/>
      <c r="J309" s="1"/>
      <c r="K309" s="1"/>
      <c r="L309" s="1"/>
      <c r="M309" s="1"/>
      <c r="N309" s="1"/>
      <c r="O309" s="1"/>
      <c r="P309" s="1"/>
      <c r="Q309" s="1"/>
      <c r="R309" s="1"/>
    </row>
    <row r="310" spans="1:18" ht="13.5" customHeight="1" x14ac:dyDescent="0.45">
      <c r="A310" s="1"/>
      <c r="B310" s="1"/>
      <c r="C310" s="1"/>
      <c r="D310" s="1"/>
      <c r="E310" s="1"/>
      <c r="F310" s="1"/>
      <c r="G310" s="1"/>
      <c r="H310" s="1"/>
      <c r="I310" s="1"/>
      <c r="J310" s="1"/>
      <c r="K310" s="1"/>
      <c r="L310" s="1"/>
      <c r="M310" s="1"/>
      <c r="N310" s="1"/>
      <c r="O310" s="1"/>
      <c r="P310" s="1"/>
      <c r="Q310" s="1"/>
      <c r="R310" s="1"/>
    </row>
    <row r="311" spans="1:18" ht="13.5" customHeight="1" x14ac:dyDescent="0.45">
      <c r="A311" s="1"/>
      <c r="B311" s="1"/>
      <c r="C311" s="1"/>
      <c r="D311" s="1"/>
      <c r="E311" s="1"/>
      <c r="F311" s="1"/>
      <c r="G311" s="1"/>
      <c r="H311" s="1"/>
      <c r="I311" s="1"/>
      <c r="J311" s="1"/>
      <c r="K311" s="1"/>
      <c r="L311" s="1"/>
      <c r="M311" s="1"/>
      <c r="N311" s="1"/>
      <c r="O311" s="1"/>
      <c r="P311" s="1"/>
      <c r="Q311" s="1"/>
      <c r="R311" s="1"/>
    </row>
    <row r="312" spans="1:18" ht="13.5" customHeight="1" x14ac:dyDescent="0.45">
      <c r="A312" s="1"/>
      <c r="B312" s="1"/>
      <c r="C312" s="1"/>
      <c r="D312" s="1"/>
      <c r="E312" s="1"/>
      <c r="F312" s="1"/>
      <c r="G312" s="1"/>
      <c r="H312" s="1"/>
      <c r="I312" s="1"/>
      <c r="J312" s="1"/>
      <c r="K312" s="1"/>
      <c r="L312" s="1"/>
      <c r="M312" s="1"/>
      <c r="N312" s="1"/>
      <c r="O312" s="1"/>
      <c r="P312" s="1"/>
      <c r="Q312" s="1"/>
      <c r="R312" s="1"/>
    </row>
    <row r="313" spans="1:18" ht="13.5" customHeight="1" x14ac:dyDescent="0.45">
      <c r="A313" s="1"/>
      <c r="B313" s="1"/>
      <c r="C313" s="1"/>
      <c r="D313" s="1"/>
      <c r="E313" s="1"/>
      <c r="F313" s="1"/>
      <c r="G313" s="1"/>
      <c r="H313" s="1"/>
      <c r="I313" s="1"/>
      <c r="J313" s="1"/>
      <c r="K313" s="1"/>
      <c r="L313" s="1"/>
      <c r="M313" s="1"/>
      <c r="N313" s="1"/>
      <c r="O313" s="1"/>
      <c r="P313" s="1"/>
      <c r="Q313" s="1"/>
      <c r="R313" s="1"/>
    </row>
    <row r="314" spans="1:18" ht="13.5" customHeight="1" x14ac:dyDescent="0.45">
      <c r="A314" s="1"/>
      <c r="B314" s="1"/>
      <c r="C314" s="1"/>
      <c r="D314" s="1"/>
      <c r="E314" s="1"/>
      <c r="F314" s="1"/>
      <c r="G314" s="1"/>
      <c r="H314" s="1"/>
      <c r="I314" s="1"/>
      <c r="J314" s="1"/>
      <c r="K314" s="1"/>
      <c r="L314" s="1"/>
      <c r="M314" s="1"/>
      <c r="N314" s="1"/>
      <c r="O314" s="1"/>
      <c r="P314" s="1"/>
      <c r="Q314" s="1"/>
      <c r="R314" s="1"/>
    </row>
    <row r="315" spans="1:18" ht="13.5" customHeight="1" x14ac:dyDescent="0.45">
      <c r="A315" s="1"/>
      <c r="B315" s="1"/>
      <c r="C315" s="1"/>
      <c r="D315" s="1"/>
      <c r="E315" s="1"/>
      <c r="F315" s="1"/>
      <c r="G315" s="1"/>
      <c r="H315" s="1"/>
      <c r="I315" s="1"/>
      <c r="J315" s="1"/>
      <c r="K315" s="1"/>
      <c r="L315" s="1"/>
      <c r="M315" s="1"/>
      <c r="N315" s="1"/>
      <c r="O315" s="1"/>
      <c r="P315" s="1"/>
      <c r="Q315" s="1"/>
      <c r="R315" s="1"/>
    </row>
    <row r="316" spans="1:18" ht="13.5" customHeight="1" x14ac:dyDescent="0.45">
      <c r="A316" s="1"/>
      <c r="B316" s="1"/>
      <c r="C316" s="1"/>
      <c r="D316" s="1"/>
      <c r="E316" s="1"/>
      <c r="F316" s="1"/>
      <c r="G316" s="1"/>
      <c r="H316" s="1"/>
      <c r="I316" s="1"/>
      <c r="J316" s="1"/>
      <c r="K316" s="1"/>
      <c r="L316" s="1"/>
      <c r="M316" s="1"/>
      <c r="N316" s="1"/>
      <c r="O316" s="1"/>
      <c r="P316" s="1"/>
      <c r="Q316" s="1"/>
      <c r="R316" s="1"/>
    </row>
    <row r="317" spans="1:18" ht="13.5" customHeight="1" x14ac:dyDescent="0.45">
      <c r="A317" s="1"/>
      <c r="B317" s="1"/>
      <c r="C317" s="1"/>
      <c r="D317" s="1"/>
      <c r="E317" s="1"/>
      <c r="F317" s="1"/>
      <c r="G317" s="1"/>
      <c r="H317" s="1"/>
      <c r="I317" s="1"/>
      <c r="J317" s="1"/>
      <c r="K317" s="1"/>
      <c r="L317" s="1"/>
      <c r="M317" s="1"/>
      <c r="N317" s="1"/>
      <c r="O317" s="1"/>
      <c r="P317" s="1"/>
      <c r="Q317" s="1"/>
      <c r="R317" s="1"/>
    </row>
    <row r="318" spans="1:18" ht="13.5" customHeight="1" x14ac:dyDescent="0.45">
      <c r="A318" s="1"/>
      <c r="B318" s="1"/>
      <c r="C318" s="1"/>
      <c r="D318" s="1"/>
      <c r="E318" s="1"/>
      <c r="F318" s="1"/>
      <c r="G318" s="1"/>
      <c r="H318" s="1"/>
      <c r="I318" s="1"/>
      <c r="J318" s="1"/>
      <c r="K318" s="1"/>
      <c r="L318" s="1"/>
      <c r="M318" s="1"/>
      <c r="N318" s="1"/>
      <c r="O318" s="1"/>
      <c r="P318" s="1"/>
      <c r="Q318" s="1"/>
      <c r="R318" s="1"/>
    </row>
    <row r="319" spans="1:18" ht="13.5" customHeight="1" x14ac:dyDescent="0.45">
      <c r="A319" s="1"/>
      <c r="B319" s="1"/>
      <c r="C319" s="1"/>
      <c r="D319" s="1"/>
      <c r="E319" s="1"/>
      <c r="F319" s="1"/>
      <c r="G319" s="1"/>
      <c r="H319" s="1"/>
      <c r="I319" s="1"/>
      <c r="J319" s="1"/>
      <c r="K319" s="1"/>
      <c r="L319" s="1"/>
      <c r="M319" s="1"/>
      <c r="N319" s="1"/>
      <c r="O319" s="1"/>
      <c r="P319" s="1"/>
      <c r="Q319" s="1"/>
      <c r="R319" s="1"/>
    </row>
    <row r="320" spans="1:18" ht="13.5" customHeight="1" x14ac:dyDescent="0.45">
      <c r="A320" s="1"/>
      <c r="B320" s="1"/>
      <c r="C320" s="1"/>
      <c r="D320" s="1"/>
      <c r="E320" s="1"/>
      <c r="F320" s="1"/>
      <c r="G320" s="1"/>
      <c r="H320" s="1"/>
      <c r="I320" s="1"/>
      <c r="J320" s="1"/>
      <c r="K320" s="1"/>
      <c r="L320" s="1"/>
      <c r="M320" s="1"/>
      <c r="N320" s="1"/>
      <c r="O320" s="1"/>
      <c r="P320" s="1"/>
      <c r="Q320" s="1"/>
      <c r="R320" s="1"/>
    </row>
    <row r="321" spans="1:18" ht="13.5" customHeight="1" x14ac:dyDescent="0.45">
      <c r="A321" s="1"/>
      <c r="B321" s="1"/>
      <c r="C321" s="1"/>
      <c r="D321" s="1"/>
      <c r="E321" s="1"/>
      <c r="F321" s="1"/>
      <c r="G321" s="1"/>
      <c r="H321" s="1"/>
      <c r="I321" s="1"/>
      <c r="J321" s="1"/>
      <c r="K321" s="1"/>
      <c r="L321" s="1"/>
      <c r="M321" s="1"/>
      <c r="N321" s="1"/>
      <c r="O321" s="1"/>
      <c r="P321" s="1"/>
      <c r="Q321" s="1"/>
      <c r="R321" s="1"/>
    </row>
    <row r="322" spans="1:18" ht="13.5" customHeight="1" x14ac:dyDescent="0.45">
      <c r="A322" s="1"/>
      <c r="B322" s="1"/>
      <c r="C322" s="1"/>
      <c r="D322" s="1"/>
      <c r="E322" s="1"/>
      <c r="F322" s="1"/>
      <c r="G322" s="1"/>
      <c r="H322" s="1"/>
      <c r="I322" s="1"/>
      <c r="J322" s="1"/>
      <c r="K322" s="1"/>
      <c r="L322" s="1"/>
      <c r="M322" s="1"/>
      <c r="N322" s="1"/>
      <c r="O322" s="1"/>
      <c r="P322" s="1"/>
      <c r="Q322" s="1"/>
      <c r="R322" s="1"/>
    </row>
    <row r="323" spans="1:18" ht="13.5" customHeight="1" x14ac:dyDescent="0.45">
      <c r="A323" s="1"/>
      <c r="B323" s="1"/>
      <c r="C323" s="1"/>
      <c r="D323" s="1"/>
      <c r="E323" s="1"/>
      <c r="F323" s="1"/>
      <c r="G323" s="1"/>
      <c r="H323" s="1"/>
      <c r="I323" s="1"/>
      <c r="J323" s="1"/>
      <c r="K323" s="1"/>
      <c r="L323" s="1"/>
      <c r="M323" s="1"/>
      <c r="N323" s="1"/>
      <c r="O323" s="1"/>
      <c r="P323" s="1"/>
      <c r="Q323" s="1"/>
      <c r="R323" s="1"/>
    </row>
    <row r="324" spans="1:18" ht="13.5" customHeight="1" x14ac:dyDescent="0.45">
      <c r="A324" s="1"/>
      <c r="B324" s="1"/>
      <c r="C324" s="1"/>
      <c r="D324" s="1"/>
      <c r="E324" s="1"/>
      <c r="F324" s="1"/>
      <c r="G324" s="1"/>
      <c r="H324" s="1"/>
      <c r="I324" s="1"/>
      <c r="J324" s="1"/>
      <c r="K324" s="1"/>
      <c r="L324" s="1"/>
      <c r="M324" s="1"/>
      <c r="N324" s="1"/>
      <c r="O324" s="1"/>
      <c r="P324" s="1"/>
      <c r="Q324" s="1"/>
      <c r="R324" s="1"/>
    </row>
    <row r="325" spans="1:18" ht="13.5" customHeight="1" x14ac:dyDescent="0.45">
      <c r="A325" s="1"/>
      <c r="B325" s="1"/>
      <c r="C325" s="1"/>
      <c r="D325" s="1"/>
      <c r="E325" s="1"/>
      <c r="F325" s="1"/>
      <c r="G325" s="1"/>
      <c r="H325" s="1"/>
      <c r="I325" s="1"/>
      <c r="J325" s="1"/>
      <c r="K325" s="1"/>
      <c r="L325" s="1"/>
      <c r="M325" s="1"/>
      <c r="N325" s="1"/>
      <c r="O325" s="1"/>
      <c r="P325" s="1"/>
      <c r="Q325" s="1"/>
      <c r="R325" s="1"/>
    </row>
    <row r="326" spans="1:18" ht="13.5" customHeight="1" x14ac:dyDescent="0.45">
      <c r="A326" s="1"/>
      <c r="B326" s="1"/>
      <c r="C326" s="1"/>
      <c r="D326" s="1"/>
      <c r="E326" s="1"/>
      <c r="F326" s="1"/>
      <c r="G326" s="1"/>
      <c r="H326" s="1"/>
      <c r="I326" s="1"/>
      <c r="J326" s="1"/>
      <c r="K326" s="1"/>
      <c r="L326" s="1"/>
      <c r="M326" s="1"/>
      <c r="N326" s="1"/>
      <c r="O326" s="1"/>
      <c r="P326" s="1"/>
      <c r="Q326" s="1"/>
      <c r="R326" s="1"/>
    </row>
    <row r="327" spans="1:18" ht="13.5" customHeight="1" x14ac:dyDescent="0.45">
      <c r="A327" s="1"/>
      <c r="B327" s="1"/>
      <c r="C327" s="1"/>
      <c r="D327" s="1"/>
      <c r="E327" s="1"/>
      <c r="F327" s="1"/>
      <c r="G327" s="1"/>
      <c r="H327" s="1"/>
      <c r="I327" s="1"/>
      <c r="J327" s="1"/>
      <c r="K327" s="1"/>
      <c r="L327" s="1"/>
      <c r="M327" s="1"/>
      <c r="N327" s="1"/>
      <c r="O327" s="1"/>
      <c r="P327" s="1"/>
      <c r="Q327" s="1"/>
      <c r="R327" s="1"/>
    </row>
    <row r="328" spans="1:18" ht="13.5" customHeight="1" x14ac:dyDescent="0.45">
      <c r="A328" s="1"/>
      <c r="B328" s="1"/>
      <c r="C328" s="1"/>
      <c r="D328" s="1"/>
      <c r="E328" s="1"/>
      <c r="F328" s="1"/>
      <c r="G328" s="1"/>
      <c r="H328" s="1"/>
      <c r="I328" s="1"/>
      <c r="J328" s="1"/>
      <c r="K328" s="1"/>
      <c r="L328" s="1"/>
      <c r="M328" s="1"/>
      <c r="N328" s="1"/>
      <c r="O328" s="1"/>
      <c r="P328" s="1"/>
      <c r="Q328" s="1"/>
      <c r="R328" s="1"/>
    </row>
    <row r="329" spans="1:18" ht="13.5" customHeight="1" x14ac:dyDescent="0.45">
      <c r="A329" s="1"/>
      <c r="B329" s="1"/>
      <c r="C329" s="1"/>
      <c r="D329" s="1"/>
      <c r="E329" s="1"/>
      <c r="F329" s="1"/>
      <c r="G329" s="1"/>
      <c r="H329" s="1"/>
      <c r="I329" s="1"/>
      <c r="J329" s="1"/>
      <c r="K329" s="1"/>
      <c r="L329" s="1"/>
      <c r="M329" s="1"/>
      <c r="N329" s="1"/>
      <c r="O329" s="1"/>
      <c r="P329" s="1"/>
      <c r="Q329" s="1"/>
      <c r="R329" s="1"/>
    </row>
    <row r="330" spans="1:18" ht="13.5" customHeight="1" x14ac:dyDescent="0.45">
      <c r="A330" s="1"/>
      <c r="B330" s="1"/>
      <c r="C330" s="1"/>
      <c r="D330" s="1"/>
      <c r="E330" s="1"/>
      <c r="F330" s="1"/>
      <c r="G330" s="1"/>
      <c r="H330" s="1"/>
      <c r="I330" s="1"/>
      <c r="J330" s="1"/>
      <c r="K330" s="1"/>
      <c r="L330" s="1"/>
      <c r="M330" s="1"/>
      <c r="N330" s="1"/>
      <c r="O330" s="1"/>
      <c r="P330" s="1"/>
      <c r="Q330" s="1"/>
      <c r="R330" s="1"/>
    </row>
    <row r="331" spans="1:18" ht="13.5" customHeight="1" x14ac:dyDescent="0.45">
      <c r="A331" s="1"/>
      <c r="B331" s="1"/>
      <c r="C331" s="1"/>
      <c r="D331" s="1"/>
      <c r="E331" s="1"/>
      <c r="F331" s="1"/>
      <c r="G331" s="1"/>
      <c r="H331" s="1"/>
      <c r="I331" s="1"/>
      <c r="J331" s="1"/>
      <c r="K331" s="1"/>
      <c r="L331" s="1"/>
      <c r="M331" s="1"/>
      <c r="N331" s="1"/>
      <c r="O331" s="1"/>
      <c r="P331" s="1"/>
      <c r="Q331" s="1"/>
      <c r="R331" s="1"/>
    </row>
    <row r="332" spans="1:18" ht="13.5" customHeight="1" x14ac:dyDescent="0.45">
      <c r="A332" s="1"/>
      <c r="B332" s="1"/>
      <c r="C332" s="1"/>
      <c r="D332" s="1"/>
      <c r="E332" s="1"/>
      <c r="F332" s="1"/>
      <c r="G332" s="1"/>
      <c r="H332" s="1"/>
      <c r="I332" s="1"/>
      <c r="J332" s="1"/>
      <c r="K332" s="1"/>
      <c r="L332" s="1"/>
      <c r="M332" s="1"/>
      <c r="N332" s="1"/>
      <c r="O332" s="1"/>
      <c r="P332" s="1"/>
      <c r="Q332" s="1"/>
      <c r="R332" s="1"/>
    </row>
    <row r="333" spans="1:18" ht="13.5" customHeight="1" x14ac:dyDescent="0.45">
      <c r="A333" s="1"/>
      <c r="B333" s="1"/>
      <c r="C333" s="1"/>
      <c r="D333" s="1"/>
      <c r="E333" s="1"/>
      <c r="F333" s="1"/>
      <c r="G333" s="1"/>
      <c r="H333" s="1"/>
      <c r="I333" s="1"/>
      <c r="J333" s="1"/>
      <c r="K333" s="1"/>
      <c r="L333" s="1"/>
      <c r="M333" s="1"/>
      <c r="N333" s="1"/>
      <c r="O333" s="1"/>
      <c r="P333" s="1"/>
      <c r="Q333" s="1"/>
      <c r="R333" s="1"/>
    </row>
    <row r="334" spans="1:18" ht="13.5" customHeight="1" x14ac:dyDescent="0.45">
      <c r="A334" s="1"/>
      <c r="B334" s="1"/>
      <c r="C334" s="1"/>
      <c r="D334" s="1"/>
      <c r="E334" s="1"/>
      <c r="F334" s="1"/>
      <c r="G334" s="1"/>
      <c r="H334" s="1"/>
      <c r="I334" s="1"/>
      <c r="J334" s="1"/>
      <c r="K334" s="1"/>
      <c r="L334" s="1"/>
      <c r="M334" s="1"/>
      <c r="N334" s="1"/>
      <c r="O334" s="1"/>
      <c r="P334" s="1"/>
      <c r="Q334" s="1"/>
      <c r="R334" s="1"/>
    </row>
    <row r="335" spans="1:18" ht="13.5" customHeight="1" x14ac:dyDescent="0.45">
      <c r="A335" s="1"/>
      <c r="B335" s="1"/>
      <c r="C335" s="1"/>
      <c r="D335" s="1"/>
      <c r="E335" s="1"/>
      <c r="F335" s="1"/>
      <c r="G335" s="1"/>
      <c r="H335" s="1"/>
      <c r="I335" s="1"/>
      <c r="J335" s="1"/>
      <c r="K335" s="1"/>
      <c r="L335" s="1"/>
      <c r="M335" s="1"/>
      <c r="N335" s="1"/>
      <c r="O335" s="1"/>
      <c r="P335" s="1"/>
      <c r="Q335" s="1"/>
      <c r="R335" s="1"/>
    </row>
    <row r="336" spans="1:18" ht="13.5" customHeight="1" x14ac:dyDescent="0.45">
      <c r="A336" s="1"/>
      <c r="B336" s="1"/>
      <c r="C336" s="1"/>
      <c r="D336" s="1"/>
      <c r="E336" s="1"/>
      <c r="F336" s="1"/>
      <c r="G336" s="1"/>
      <c r="H336" s="1"/>
      <c r="I336" s="1"/>
      <c r="J336" s="1"/>
      <c r="K336" s="1"/>
      <c r="L336" s="1"/>
      <c r="M336" s="1"/>
      <c r="N336" s="1"/>
      <c r="O336" s="1"/>
      <c r="P336" s="1"/>
      <c r="Q336" s="1"/>
      <c r="R336" s="1"/>
    </row>
    <row r="337" spans="1:18" ht="13.5" customHeight="1" x14ac:dyDescent="0.45">
      <c r="A337" s="1"/>
      <c r="B337" s="1"/>
      <c r="C337" s="1"/>
      <c r="D337" s="1"/>
      <c r="E337" s="1"/>
      <c r="F337" s="1"/>
      <c r="G337" s="1"/>
      <c r="H337" s="1"/>
      <c r="I337" s="1"/>
      <c r="J337" s="1"/>
      <c r="K337" s="1"/>
      <c r="L337" s="1"/>
      <c r="M337" s="1"/>
      <c r="N337" s="1"/>
      <c r="O337" s="1"/>
      <c r="P337" s="1"/>
      <c r="Q337" s="1"/>
      <c r="R337" s="1"/>
    </row>
    <row r="338" spans="1:18" ht="13.5" customHeight="1" x14ac:dyDescent="0.45">
      <c r="A338" s="1"/>
      <c r="B338" s="1"/>
      <c r="C338" s="1"/>
      <c r="D338" s="1"/>
      <c r="E338" s="1"/>
      <c r="F338" s="1"/>
      <c r="G338" s="1"/>
      <c r="H338" s="1"/>
      <c r="I338" s="1"/>
      <c r="J338" s="1"/>
      <c r="K338" s="1"/>
      <c r="L338" s="1"/>
      <c r="M338" s="1"/>
      <c r="N338" s="1"/>
      <c r="O338" s="1"/>
      <c r="P338" s="1"/>
      <c r="Q338" s="1"/>
      <c r="R338" s="1"/>
    </row>
    <row r="339" spans="1:18" ht="13.5" customHeight="1" x14ac:dyDescent="0.45">
      <c r="A339" s="1"/>
      <c r="B339" s="1"/>
      <c r="C339" s="1"/>
      <c r="D339" s="1"/>
      <c r="E339" s="1"/>
      <c r="F339" s="1"/>
      <c r="G339" s="1"/>
      <c r="H339" s="1"/>
      <c r="I339" s="1"/>
      <c r="J339" s="1"/>
      <c r="K339" s="1"/>
      <c r="L339" s="1"/>
      <c r="M339" s="1"/>
      <c r="N339" s="1"/>
      <c r="O339" s="1"/>
      <c r="P339" s="1"/>
      <c r="Q339" s="1"/>
      <c r="R339" s="1"/>
    </row>
    <row r="340" spans="1:18" ht="13.5" customHeight="1" x14ac:dyDescent="0.45">
      <c r="A340" s="1"/>
      <c r="B340" s="1"/>
      <c r="C340" s="1"/>
      <c r="D340" s="1"/>
      <c r="E340" s="1"/>
      <c r="F340" s="1"/>
      <c r="G340" s="1"/>
      <c r="H340" s="1"/>
      <c r="I340" s="1"/>
      <c r="J340" s="1"/>
      <c r="K340" s="1"/>
      <c r="L340" s="1"/>
      <c r="M340" s="1"/>
      <c r="N340" s="1"/>
      <c r="O340" s="1"/>
      <c r="P340" s="1"/>
      <c r="Q340" s="1"/>
      <c r="R340" s="1"/>
    </row>
    <row r="341" spans="1:18" ht="13.5" customHeight="1" x14ac:dyDescent="0.45">
      <c r="A341" s="1"/>
      <c r="B341" s="1"/>
      <c r="C341" s="1"/>
      <c r="D341" s="1"/>
      <c r="E341" s="1"/>
      <c r="F341" s="1"/>
      <c r="G341" s="1"/>
      <c r="H341" s="1"/>
      <c r="I341" s="1"/>
      <c r="J341" s="1"/>
      <c r="K341" s="1"/>
      <c r="L341" s="1"/>
      <c r="M341" s="1"/>
      <c r="N341" s="1"/>
      <c r="O341" s="1"/>
      <c r="P341" s="1"/>
      <c r="Q341" s="1"/>
      <c r="R341" s="1"/>
    </row>
    <row r="342" spans="1:18" ht="13.5" customHeight="1" x14ac:dyDescent="0.45">
      <c r="A342" s="1"/>
      <c r="B342" s="1"/>
      <c r="C342" s="1"/>
      <c r="D342" s="1"/>
      <c r="E342" s="1"/>
      <c r="F342" s="1"/>
      <c r="G342" s="1"/>
      <c r="H342" s="1"/>
      <c r="I342" s="1"/>
      <c r="J342" s="1"/>
      <c r="K342" s="1"/>
      <c r="L342" s="1"/>
      <c r="M342" s="1"/>
      <c r="N342" s="1"/>
      <c r="O342" s="1"/>
      <c r="P342" s="1"/>
      <c r="Q342" s="1"/>
      <c r="R342" s="1"/>
    </row>
    <row r="343" spans="1:18" ht="13.5" customHeight="1" x14ac:dyDescent="0.45">
      <c r="A343" s="1"/>
      <c r="B343" s="1"/>
      <c r="C343" s="1"/>
      <c r="D343" s="1"/>
      <c r="E343" s="1"/>
      <c r="F343" s="1"/>
      <c r="G343" s="1"/>
      <c r="H343" s="1"/>
      <c r="I343" s="1"/>
      <c r="J343" s="1"/>
      <c r="K343" s="1"/>
      <c r="L343" s="1"/>
      <c r="M343" s="1"/>
      <c r="N343" s="1"/>
      <c r="O343" s="1"/>
      <c r="P343" s="1"/>
      <c r="Q343" s="1"/>
      <c r="R343" s="1"/>
    </row>
    <row r="344" spans="1:18" ht="13.5" customHeight="1" x14ac:dyDescent="0.45">
      <c r="A344" s="1"/>
      <c r="B344" s="1"/>
      <c r="C344" s="1"/>
      <c r="D344" s="1"/>
      <c r="E344" s="1"/>
      <c r="F344" s="1"/>
      <c r="G344" s="1"/>
      <c r="H344" s="1"/>
      <c r="I344" s="1"/>
      <c r="J344" s="1"/>
      <c r="K344" s="1"/>
      <c r="L344" s="1"/>
      <c r="M344" s="1"/>
      <c r="N344" s="1"/>
      <c r="O344" s="1"/>
      <c r="P344" s="1"/>
      <c r="Q344" s="1"/>
      <c r="R344" s="1"/>
    </row>
    <row r="345" spans="1:18" ht="13.5" customHeight="1" x14ac:dyDescent="0.45">
      <c r="A345" s="1"/>
      <c r="B345" s="1"/>
      <c r="C345" s="1"/>
      <c r="D345" s="1"/>
      <c r="E345" s="1"/>
      <c r="F345" s="1"/>
      <c r="G345" s="1"/>
      <c r="H345" s="1"/>
      <c r="I345" s="1"/>
      <c r="J345" s="1"/>
      <c r="K345" s="1"/>
      <c r="L345" s="1"/>
      <c r="M345" s="1"/>
      <c r="N345" s="1"/>
      <c r="O345" s="1"/>
      <c r="P345" s="1"/>
      <c r="Q345" s="1"/>
      <c r="R345" s="1"/>
    </row>
    <row r="346" spans="1:18" ht="13.5" customHeight="1" x14ac:dyDescent="0.45">
      <c r="A346" s="1"/>
      <c r="B346" s="1"/>
      <c r="C346" s="1"/>
      <c r="D346" s="1"/>
      <c r="E346" s="1"/>
      <c r="F346" s="1"/>
      <c r="G346" s="1"/>
      <c r="H346" s="1"/>
      <c r="I346" s="1"/>
      <c r="J346" s="1"/>
      <c r="K346" s="1"/>
      <c r="L346" s="1"/>
      <c r="M346" s="1"/>
      <c r="N346" s="1"/>
      <c r="O346" s="1"/>
      <c r="P346" s="1"/>
      <c r="Q346" s="1"/>
      <c r="R346" s="1"/>
    </row>
    <row r="347" spans="1:18" ht="13.5" customHeight="1" x14ac:dyDescent="0.45">
      <c r="A347" s="1"/>
      <c r="B347" s="1"/>
      <c r="C347" s="1"/>
      <c r="D347" s="1"/>
      <c r="E347" s="1"/>
      <c r="F347" s="1"/>
      <c r="G347" s="1"/>
      <c r="H347" s="1"/>
      <c r="I347" s="1"/>
      <c r="J347" s="1"/>
      <c r="K347" s="1"/>
      <c r="L347" s="1"/>
      <c r="M347" s="1"/>
      <c r="N347" s="1"/>
      <c r="O347" s="1"/>
      <c r="P347" s="1"/>
      <c r="Q347" s="1"/>
      <c r="R347" s="1"/>
    </row>
    <row r="348" spans="1:18" ht="13.5" customHeight="1" x14ac:dyDescent="0.45">
      <c r="A348" s="1"/>
      <c r="B348" s="1"/>
      <c r="C348" s="1"/>
      <c r="D348" s="1"/>
      <c r="E348" s="1"/>
      <c r="F348" s="1"/>
      <c r="G348" s="1"/>
      <c r="H348" s="1"/>
      <c r="I348" s="1"/>
      <c r="J348" s="1"/>
      <c r="K348" s="1"/>
      <c r="L348" s="1"/>
      <c r="M348" s="1"/>
      <c r="N348" s="1"/>
      <c r="O348" s="1"/>
      <c r="P348" s="1"/>
      <c r="Q348" s="1"/>
      <c r="R348" s="1"/>
    </row>
    <row r="349" spans="1:18" ht="15.75" customHeight="1" x14ac:dyDescent="0.45">
      <c r="A349" s="1"/>
      <c r="B349" s="1"/>
      <c r="C349" s="1"/>
      <c r="D349" s="1"/>
      <c r="E349" s="1"/>
      <c r="F349" s="1"/>
      <c r="G349" s="1"/>
      <c r="H349" s="1"/>
      <c r="I349" s="1"/>
      <c r="J349" s="1"/>
      <c r="K349" s="1"/>
      <c r="L349" s="1"/>
      <c r="M349" s="1"/>
      <c r="N349" s="1"/>
      <c r="O349" s="1"/>
      <c r="P349" s="1"/>
      <c r="Q349" s="1"/>
      <c r="R349" s="1"/>
    </row>
    <row r="350" spans="1:18" ht="15.75" customHeight="1" x14ac:dyDescent="0.45">
      <c r="A350" s="1"/>
      <c r="B350" s="1"/>
      <c r="C350" s="1"/>
      <c r="D350" s="1"/>
      <c r="E350" s="1"/>
      <c r="F350" s="1"/>
      <c r="G350" s="1"/>
      <c r="H350" s="1"/>
      <c r="I350" s="1"/>
      <c r="J350" s="1"/>
      <c r="K350" s="1"/>
      <c r="L350" s="1"/>
      <c r="M350" s="1"/>
      <c r="N350" s="1"/>
      <c r="O350" s="1"/>
      <c r="P350" s="1"/>
      <c r="Q350" s="1"/>
      <c r="R350" s="1"/>
    </row>
    <row r="351" spans="1:18" ht="15.75" customHeight="1" x14ac:dyDescent="0.45">
      <c r="A351" s="1"/>
      <c r="B351" s="1"/>
      <c r="C351" s="1"/>
      <c r="D351" s="1"/>
      <c r="E351" s="1"/>
      <c r="F351" s="1"/>
      <c r="G351" s="1"/>
      <c r="H351" s="1"/>
      <c r="I351" s="1"/>
      <c r="J351" s="1"/>
      <c r="K351" s="1"/>
      <c r="L351" s="1"/>
      <c r="M351" s="1"/>
      <c r="N351" s="1"/>
      <c r="O351" s="1"/>
      <c r="P351" s="1"/>
      <c r="Q351" s="1"/>
      <c r="R351" s="1"/>
    </row>
    <row r="352" spans="1:18" ht="15.75" customHeight="1" x14ac:dyDescent="0.45">
      <c r="A352" s="1"/>
      <c r="B352" s="1"/>
      <c r="C352" s="1"/>
      <c r="D352" s="1"/>
      <c r="E352" s="1"/>
      <c r="F352" s="1"/>
      <c r="G352" s="1"/>
      <c r="H352" s="1"/>
      <c r="I352" s="1"/>
      <c r="J352" s="1"/>
      <c r="K352" s="1"/>
      <c r="L352" s="1"/>
      <c r="M352" s="1"/>
      <c r="N352" s="1"/>
      <c r="O352" s="1"/>
      <c r="P352" s="1"/>
      <c r="Q352" s="1"/>
      <c r="R352" s="1"/>
    </row>
    <row r="353" spans="1:18" ht="15.75" customHeight="1" x14ac:dyDescent="0.45">
      <c r="A353" s="1"/>
      <c r="B353" s="1"/>
      <c r="C353" s="1"/>
      <c r="D353" s="1"/>
      <c r="E353" s="1"/>
      <c r="F353" s="1"/>
      <c r="G353" s="1"/>
      <c r="H353" s="1"/>
      <c r="I353" s="1"/>
      <c r="J353" s="1"/>
      <c r="K353" s="1"/>
      <c r="L353" s="1"/>
      <c r="M353" s="1"/>
      <c r="N353" s="1"/>
      <c r="O353" s="1"/>
      <c r="P353" s="1"/>
      <c r="Q353" s="1"/>
      <c r="R353" s="1"/>
    </row>
    <row r="354" spans="1:18" ht="15.75" customHeight="1" x14ac:dyDescent="0.45">
      <c r="A354" s="1"/>
      <c r="B354" s="1"/>
      <c r="C354" s="1"/>
      <c r="D354" s="1"/>
      <c r="E354" s="1"/>
      <c r="F354" s="1"/>
      <c r="G354" s="1"/>
      <c r="H354" s="1"/>
      <c r="I354" s="1"/>
      <c r="J354" s="1"/>
      <c r="K354" s="1"/>
      <c r="L354" s="1"/>
      <c r="M354" s="1"/>
      <c r="N354" s="1"/>
      <c r="O354" s="1"/>
      <c r="P354" s="1"/>
      <c r="Q354" s="1"/>
      <c r="R354" s="1"/>
    </row>
    <row r="355" spans="1:18" ht="15.75" customHeight="1" x14ac:dyDescent="0.45">
      <c r="A355" s="1"/>
      <c r="B355" s="1"/>
      <c r="C355" s="1"/>
      <c r="D355" s="1"/>
      <c r="E355" s="1"/>
      <c r="F355" s="1"/>
      <c r="G355" s="1"/>
      <c r="H355" s="1"/>
      <c r="I355" s="1"/>
      <c r="J355" s="1"/>
      <c r="K355" s="1"/>
      <c r="L355" s="1"/>
      <c r="M355" s="1"/>
      <c r="N355" s="1"/>
      <c r="O355" s="1"/>
      <c r="P355" s="1"/>
      <c r="Q355" s="1"/>
      <c r="R355" s="1"/>
    </row>
    <row r="356" spans="1:18" ht="15.75" customHeight="1" x14ac:dyDescent="0.45">
      <c r="A356" s="1"/>
      <c r="B356" s="1"/>
      <c r="C356" s="1"/>
      <c r="D356" s="1"/>
      <c r="E356" s="1"/>
      <c r="F356" s="1"/>
      <c r="G356" s="1"/>
      <c r="H356" s="1"/>
      <c r="I356" s="1"/>
      <c r="J356" s="1"/>
      <c r="K356" s="1"/>
      <c r="L356" s="1"/>
      <c r="M356" s="1"/>
      <c r="N356" s="1"/>
      <c r="O356" s="1"/>
      <c r="P356" s="1"/>
      <c r="Q356" s="1"/>
      <c r="R356" s="1"/>
    </row>
    <row r="357" spans="1:18" ht="15.75" customHeight="1" x14ac:dyDescent="0.45">
      <c r="A357" s="1"/>
      <c r="B357" s="1"/>
      <c r="C357" s="1"/>
      <c r="D357" s="1"/>
      <c r="E357" s="1"/>
      <c r="F357" s="1"/>
      <c r="G357" s="1"/>
      <c r="H357" s="1"/>
      <c r="I357" s="1"/>
      <c r="J357" s="1"/>
      <c r="K357" s="1"/>
      <c r="L357" s="1"/>
      <c r="M357" s="1"/>
      <c r="N357" s="1"/>
      <c r="O357" s="1"/>
      <c r="P357" s="1"/>
      <c r="Q357" s="1"/>
      <c r="R357" s="1"/>
    </row>
    <row r="358" spans="1:18" ht="15.75" customHeight="1" x14ac:dyDescent="0.45">
      <c r="A358" s="1"/>
      <c r="B358" s="1"/>
      <c r="C358" s="1"/>
      <c r="D358" s="1"/>
      <c r="E358" s="1"/>
      <c r="F358" s="1"/>
      <c r="G358" s="1"/>
      <c r="H358" s="1"/>
      <c r="I358" s="1"/>
      <c r="J358" s="1"/>
      <c r="K358" s="1"/>
      <c r="L358" s="1"/>
      <c r="M358" s="1"/>
      <c r="N358" s="1"/>
      <c r="O358" s="1"/>
      <c r="P358" s="1"/>
      <c r="Q358" s="1"/>
      <c r="R358" s="1"/>
    </row>
    <row r="359" spans="1:18" ht="15.75" customHeight="1" x14ac:dyDescent="0.45">
      <c r="A359" s="1"/>
      <c r="B359" s="1"/>
      <c r="C359" s="1"/>
      <c r="D359" s="1"/>
      <c r="E359" s="1"/>
      <c r="F359" s="1"/>
      <c r="G359" s="1"/>
      <c r="H359" s="1"/>
      <c r="I359" s="1"/>
      <c r="J359" s="1"/>
      <c r="K359" s="1"/>
      <c r="L359" s="1"/>
      <c r="M359" s="1"/>
      <c r="N359" s="1"/>
      <c r="O359" s="1"/>
      <c r="P359" s="1"/>
      <c r="Q359" s="1"/>
      <c r="R359" s="1"/>
    </row>
    <row r="360" spans="1:18" ht="15.75" customHeight="1" x14ac:dyDescent="0.45">
      <c r="A360" s="1"/>
      <c r="B360" s="1"/>
      <c r="C360" s="1"/>
      <c r="D360" s="1"/>
      <c r="E360" s="1"/>
      <c r="F360" s="1"/>
      <c r="G360" s="1"/>
      <c r="H360" s="1"/>
      <c r="I360" s="1"/>
      <c r="J360" s="1"/>
      <c r="K360" s="1"/>
      <c r="L360" s="1"/>
      <c r="M360" s="1"/>
      <c r="N360" s="1"/>
      <c r="O360" s="1"/>
      <c r="P360" s="1"/>
      <c r="Q360" s="1"/>
      <c r="R360" s="1"/>
    </row>
    <row r="361" spans="1:18" ht="15.75" customHeight="1" x14ac:dyDescent="0.45">
      <c r="A361" s="1"/>
      <c r="B361" s="1"/>
      <c r="C361" s="1"/>
      <c r="D361" s="1"/>
      <c r="E361" s="1"/>
      <c r="F361" s="1"/>
      <c r="G361" s="1"/>
      <c r="H361" s="1"/>
      <c r="I361" s="1"/>
      <c r="J361" s="1"/>
      <c r="K361" s="1"/>
      <c r="L361" s="1"/>
      <c r="M361" s="1"/>
      <c r="N361" s="1"/>
      <c r="O361" s="1"/>
      <c r="P361" s="1"/>
      <c r="Q361" s="1"/>
      <c r="R361" s="1"/>
    </row>
    <row r="362" spans="1:18" ht="15.75" customHeight="1" x14ac:dyDescent="0.45">
      <c r="A362" s="1"/>
      <c r="B362" s="1"/>
      <c r="C362" s="1"/>
      <c r="D362" s="1"/>
      <c r="E362" s="1"/>
      <c r="F362" s="1"/>
      <c r="G362" s="1"/>
      <c r="H362" s="1"/>
      <c r="I362" s="1"/>
      <c r="J362" s="1"/>
      <c r="K362" s="1"/>
      <c r="L362" s="1"/>
      <c r="M362" s="1"/>
      <c r="N362" s="1"/>
      <c r="O362" s="1"/>
      <c r="P362" s="1"/>
      <c r="Q362" s="1"/>
      <c r="R362" s="1"/>
    </row>
    <row r="363" spans="1:18" ht="15.75" customHeight="1" x14ac:dyDescent="0.45">
      <c r="A363" s="1"/>
      <c r="B363" s="1"/>
      <c r="C363" s="1"/>
      <c r="D363" s="1"/>
      <c r="E363" s="1"/>
      <c r="F363" s="1"/>
      <c r="G363" s="1"/>
      <c r="H363" s="1"/>
      <c r="I363" s="1"/>
      <c r="J363" s="1"/>
      <c r="K363" s="1"/>
      <c r="L363" s="1"/>
      <c r="M363" s="1"/>
      <c r="N363" s="1"/>
      <c r="O363" s="1"/>
      <c r="P363" s="1"/>
      <c r="Q363" s="1"/>
      <c r="R363" s="1"/>
    </row>
    <row r="364" spans="1:18" ht="15.75" customHeight="1" x14ac:dyDescent="0.45">
      <c r="A364" s="1"/>
      <c r="B364" s="1"/>
      <c r="C364" s="1"/>
      <c r="D364" s="1"/>
      <c r="E364" s="1"/>
      <c r="F364" s="1"/>
      <c r="G364" s="1"/>
      <c r="H364" s="1"/>
      <c r="I364" s="1"/>
      <c r="J364" s="1"/>
      <c r="K364" s="1"/>
      <c r="L364" s="1"/>
      <c r="M364" s="1"/>
      <c r="N364" s="1"/>
      <c r="O364" s="1"/>
      <c r="P364" s="1"/>
      <c r="Q364" s="1"/>
      <c r="R364" s="1"/>
    </row>
    <row r="365" spans="1:18" ht="15.75" customHeight="1" x14ac:dyDescent="0.45">
      <c r="A365" s="3"/>
      <c r="B365" s="3"/>
      <c r="C365" s="3"/>
      <c r="D365" s="3"/>
      <c r="E365" s="3"/>
      <c r="F365" s="3"/>
      <c r="G365" s="3"/>
      <c r="H365" s="3"/>
      <c r="I365" s="3"/>
      <c r="J365" s="3"/>
      <c r="K365" s="3"/>
      <c r="L365" s="3"/>
      <c r="M365" s="3"/>
      <c r="N365" s="3"/>
      <c r="O365" s="3"/>
      <c r="P365" s="3"/>
      <c r="Q365" s="3"/>
      <c r="R365" s="3"/>
    </row>
    <row r="366" spans="1:18" ht="15.75" customHeight="1" x14ac:dyDescent="0.45">
      <c r="A366" s="3"/>
      <c r="B366" s="3"/>
      <c r="C366" s="3"/>
      <c r="D366" s="3"/>
      <c r="E366" s="3"/>
      <c r="F366" s="3"/>
      <c r="G366" s="3"/>
      <c r="H366" s="3"/>
      <c r="I366" s="3"/>
      <c r="J366" s="3"/>
      <c r="K366" s="3"/>
      <c r="L366" s="3"/>
      <c r="M366" s="3"/>
      <c r="N366" s="3"/>
      <c r="O366" s="3"/>
      <c r="P366" s="3"/>
      <c r="Q366" s="3"/>
      <c r="R366" s="3"/>
    </row>
    <row r="367" spans="1:18" ht="15.75" customHeight="1" x14ac:dyDescent="0.45">
      <c r="A367" s="3"/>
      <c r="B367" s="3"/>
      <c r="C367" s="3"/>
      <c r="D367" s="3"/>
      <c r="E367" s="3"/>
      <c r="F367" s="3"/>
      <c r="G367" s="3"/>
      <c r="H367" s="3"/>
      <c r="I367" s="3"/>
      <c r="J367" s="3"/>
      <c r="K367" s="3"/>
      <c r="L367" s="3"/>
      <c r="M367" s="3"/>
      <c r="N367" s="3"/>
      <c r="O367" s="3"/>
      <c r="P367" s="3"/>
      <c r="Q367" s="3"/>
      <c r="R367" s="3"/>
    </row>
    <row r="368" spans="1:18" ht="15.75" customHeight="1" x14ac:dyDescent="0.45">
      <c r="A368" s="3"/>
      <c r="B368" s="3"/>
      <c r="C368" s="3"/>
      <c r="D368" s="3"/>
      <c r="E368" s="3"/>
      <c r="F368" s="3"/>
      <c r="G368" s="3"/>
      <c r="H368" s="3"/>
      <c r="I368" s="3"/>
      <c r="J368" s="3"/>
      <c r="K368" s="3"/>
      <c r="L368" s="3"/>
      <c r="M368" s="3"/>
      <c r="N368" s="3"/>
      <c r="O368" s="3"/>
      <c r="P368" s="3"/>
      <c r="Q368" s="3"/>
      <c r="R368" s="3"/>
    </row>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C1:Q1"/>
  </mergeCells>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1000"/>
  <sheetViews>
    <sheetView workbookViewId="0"/>
  </sheetViews>
  <sheetFormatPr defaultColWidth="12.69140625" defaultRowHeight="15" customHeight="1" x14ac:dyDescent="0.45"/>
  <cols>
    <col min="1" max="1" width="8.3828125" customWidth="1"/>
    <col min="2" max="2" width="3.3828125" customWidth="1"/>
    <col min="3" max="31" width="8.3828125" customWidth="1"/>
    <col min="32" max="36" width="12.3828125" customWidth="1"/>
  </cols>
  <sheetData>
    <row r="1" spans="1:36" ht="14.25" customHeight="1" x14ac:dyDescent="0.45">
      <c r="A1" s="618"/>
      <c r="B1" s="54"/>
      <c r="C1" s="619" t="s">
        <v>19</v>
      </c>
      <c r="D1" s="475">
        <v>2018</v>
      </c>
      <c r="E1" s="475">
        <v>2019</v>
      </c>
      <c r="F1" s="475">
        <v>2020</v>
      </c>
      <c r="G1" s="475">
        <v>2021</v>
      </c>
      <c r="H1" s="476">
        <v>2022</v>
      </c>
      <c r="I1" s="476">
        <v>2023</v>
      </c>
      <c r="J1" s="476">
        <v>2024</v>
      </c>
      <c r="K1" s="477">
        <v>2025</v>
      </c>
      <c r="L1" s="349">
        <v>2026</v>
      </c>
      <c r="M1" s="349">
        <v>2027</v>
      </c>
      <c r="N1" s="349">
        <v>2028</v>
      </c>
      <c r="O1" s="349">
        <v>2029</v>
      </c>
      <c r="P1" s="478">
        <v>2030</v>
      </c>
      <c r="Q1" s="349">
        <v>2031</v>
      </c>
      <c r="R1" s="349">
        <v>2032</v>
      </c>
      <c r="S1" s="349">
        <v>2033</v>
      </c>
      <c r="T1" s="349">
        <v>2034</v>
      </c>
      <c r="U1" s="478">
        <v>2035</v>
      </c>
      <c r="V1" s="349">
        <v>2036</v>
      </c>
      <c r="W1" s="349">
        <v>2037</v>
      </c>
      <c r="X1" s="349">
        <v>2038</v>
      </c>
      <c r="Y1" s="349">
        <v>2039</v>
      </c>
      <c r="Z1" s="478">
        <v>2040</v>
      </c>
      <c r="AA1" s="349">
        <v>2041</v>
      </c>
      <c r="AB1" s="349">
        <v>2042</v>
      </c>
      <c r="AC1" s="349">
        <v>2043</v>
      </c>
      <c r="AD1" s="349">
        <v>2044</v>
      </c>
      <c r="AE1" s="478">
        <v>2045</v>
      </c>
      <c r="AF1" s="349">
        <v>2046</v>
      </c>
      <c r="AG1" s="349">
        <v>2047</v>
      </c>
      <c r="AH1" s="349">
        <v>2048</v>
      </c>
      <c r="AI1" s="349">
        <v>2049</v>
      </c>
      <c r="AJ1" s="478">
        <v>2050</v>
      </c>
    </row>
    <row r="2" spans="1:36" ht="16.5" customHeight="1" x14ac:dyDescent="0.45">
      <c r="A2" s="3"/>
      <c r="B2" s="97"/>
      <c r="C2" s="3" t="s">
        <v>828</v>
      </c>
      <c r="D2" s="3"/>
      <c r="E2" s="3"/>
      <c r="F2" s="3"/>
      <c r="G2" s="3"/>
      <c r="H2" s="3">
        <v>3.0425139190670945E-2</v>
      </c>
      <c r="I2" s="3">
        <v>2.5876257290315705E-2</v>
      </c>
      <c r="J2" s="3">
        <v>2.8673474225395023E-2</v>
      </c>
      <c r="K2" s="3">
        <v>2.9836119159228725E-2</v>
      </c>
      <c r="L2" s="3">
        <v>3.0666570873052367E-2</v>
      </c>
      <c r="M2" s="3">
        <v>2.6567680567706545E-2</v>
      </c>
      <c r="N2" s="3">
        <v>2.8559838492622048E-2</v>
      </c>
      <c r="O2" s="3">
        <v>2.2055656926664679E-2</v>
      </c>
      <c r="P2" s="3">
        <v>2.391508792337688E-2</v>
      </c>
      <c r="Q2" s="3">
        <v>3.177292305412735E-2</v>
      </c>
      <c r="R2" s="3">
        <v>2.4761359920334854E-2</v>
      </c>
      <c r="S2" s="3">
        <v>2.9006503515840013E-2</v>
      </c>
      <c r="T2" s="3">
        <v>2.3756839890677367E-2</v>
      </c>
      <c r="U2" s="3">
        <v>2.3733451321362658E-2</v>
      </c>
      <c r="V2" s="3">
        <v>2.5625717977004445E-2</v>
      </c>
      <c r="W2" s="3">
        <v>2.277743242915245E-2</v>
      </c>
      <c r="X2" s="3">
        <v>2.3511909817542913E-2</v>
      </c>
      <c r="Y2" s="3">
        <v>2.5294853328545776E-2</v>
      </c>
      <c r="Z2" s="3">
        <v>2.279702021591809E-2</v>
      </c>
      <c r="AA2" s="3">
        <v>2.2906837723958344E-2</v>
      </c>
      <c r="AB2" s="3">
        <v>2.2360652112870708E-2</v>
      </c>
      <c r="AC2" s="3">
        <v>1.7570572923074061E-2</v>
      </c>
      <c r="AD2" s="3">
        <v>2.1993282181575386E-2</v>
      </c>
      <c r="AE2" s="3">
        <v>1.8665848063301446E-2</v>
      </c>
      <c r="AF2" s="3">
        <v>2.2935696728031269E-2</v>
      </c>
      <c r="AG2" s="3">
        <v>1.8503000047629156E-2</v>
      </c>
      <c r="AH2" s="3">
        <v>1.7991157418718606E-2</v>
      </c>
      <c r="AI2" s="3">
        <v>1.8323178503552202E-2</v>
      </c>
      <c r="AJ2" s="3">
        <v>1.8128680484224884E-2</v>
      </c>
    </row>
    <row r="3" spans="1:36" ht="16.5" customHeight="1" x14ac:dyDescent="0.4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row>
    <row r="4" spans="1:36" ht="16.5" customHeight="1" x14ac:dyDescent="0.4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row>
    <row r="5" spans="1:36" ht="16.5" customHeight="1" x14ac:dyDescent="0.4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row>
    <row r="6" spans="1:36" ht="16.5" customHeight="1" x14ac:dyDescent="0.4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ht="16.5" customHeight="1" x14ac:dyDescent="0.4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row>
    <row r="8" spans="1:36" ht="16.5" customHeight="1" x14ac:dyDescent="0.4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row>
    <row r="9" spans="1:36" ht="16.5" customHeight="1" x14ac:dyDescent="0.4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row>
    <row r="10" spans="1:36" ht="16.5" customHeight="1" x14ac:dyDescent="0.4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ht="16.5" customHeight="1" x14ac:dyDescent="0.4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row>
    <row r="12" spans="1:36" ht="16.5" customHeight="1" x14ac:dyDescent="0.4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ht="16.5" customHeight="1" x14ac:dyDescent="0.4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spans="1:36" ht="16.5" customHeight="1" x14ac:dyDescent="0.4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ht="16.5" customHeight="1" x14ac:dyDescent="0.4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spans="1:36" ht="16.5" customHeight="1" x14ac:dyDescent="0.4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ht="16.5" customHeight="1" x14ac:dyDescent="0.45"/>
    <row r="18" ht="16.5" customHeight="1" x14ac:dyDescent="0.45"/>
    <row r="19" ht="16.5" customHeight="1" x14ac:dyDescent="0.45"/>
    <row r="20" ht="16.5" customHeight="1" x14ac:dyDescent="0.45"/>
    <row r="21" ht="16.5" customHeight="1" x14ac:dyDescent="0.45"/>
    <row r="22" ht="16.5" customHeight="1" x14ac:dyDescent="0.45"/>
    <row r="23" ht="16.5" customHeight="1" x14ac:dyDescent="0.45"/>
    <row r="24" ht="16.5" customHeight="1" x14ac:dyDescent="0.45"/>
    <row r="25" ht="16.5" customHeight="1" x14ac:dyDescent="0.45"/>
    <row r="26" ht="16.5" customHeight="1" x14ac:dyDescent="0.45"/>
    <row r="27" ht="16.5" customHeight="1" x14ac:dyDescent="0.45"/>
    <row r="28" ht="16.5" customHeight="1" x14ac:dyDescent="0.45"/>
    <row r="29" ht="16.5" customHeight="1" x14ac:dyDescent="0.45"/>
    <row r="30" ht="16.5" customHeight="1" x14ac:dyDescent="0.45"/>
    <row r="31" ht="16.5" customHeight="1" x14ac:dyDescent="0.45"/>
    <row r="32" ht="16.5" customHeight="1" x14ac:dyDescent="0.45"/>
    <row r="33" ht="16.5" customHeight="1" x14ac:dyDescent="0.45"/>
    <row r="34" ht="16.5" customHeight="1" x14ac:dyDescent="0.45"/>
    <row r="35" ht="16.5" customHeight="1" x14ac:dyDescent="0.45"/>
    <row r="36" ht="16.5" customHeight="1" x14ac:dyDescent="0.45"/>
    <row r="37" ht="16.5" customHeight="1" x14ac:dyDescent="0.45"/>
    <row r="38" ht="16.5" customHeight="1" x14ac:dyDescent="0.45"/>
    <row r="39" ht="16.5" customHeight="1" x14ac:dyDescent="0.45"/>
    <row r="40" ht="16.5" customHeight="1" x14ac:dyDescent="0.45"/>
    <row r="41" ht="16.5" customHeight="1" x14ac:dyDescent="0.45"/>
    <row r="42" ht="16.5" customHeight="1" x14ac:dyDescent="0.45"/>
    <row r="43" ht="16.5" customHeight="1" x14ac:dyDescent="0.45"/>
    <row r="44" ht="16.5" customHeight="1" x14ac:dyDescent="0.45"/>
    <row r="45" ht="16.5" customHeight="1" x14ac:dyDescent="0.45"/>
    <row r="46" ht="16.5" customHeight="1" x14ac:dyDescent="0.45"/>
    <row r="47" ht="16.5" customHeight="1" x14ac:dyDescent="0.45"/>
    <row r="48" ht="16.5" customHeight="1" x14ac:dyDescent="0.45"/>
    <row r="49" ht="16.5" customHeight="1" x14ac:dyDescent="0.45"/>
    <row r="50" ht="16.5" customHeight="1" x14ac:dyDescent="0.45"/>
    <row r="51" ht="16.5" customHeight="1" x14ac:dyDescent="0.45"/>
    <row r="52" ht="16.5" customHeight="1" x14ac:dyDescent="0.45"/>
    <row r="53" ht="16.5" customHeight="1" x14ac:dyDescent="0.45"/>
    <row r="54" ht="16.5" customHeight="1" x14ac:dyDescent="0.45"/>
    <row r="55" ht="16.5" customHeight="1" x14ac:dyDescent="0.45"/>
    <row r="56" ht="16.5" customHeight="1" x14ac:dyDescent="0.45"/>
    <row r="57" ht="16.5" customHeight="1" x14ac:dyDescent="0.45"/>
    <row r="58" ht="16.5" customHeight="1" x14ac:dyDescent="0.45"/>
    <row r="59" ht="16.5" customHeight="1" x14ac:dyDescent="0.45"/>
    <row r="60" ht="16.5" customHeight="1" x14ac:dyDescent="0.45"/>
    <row r="61" ht="16.5" customHeight="1" x14ac:dyDescent="0.45"/>
    <row r="62" ht="16.5" customHeight="1" x14ac:dyDescent="0.45"/>
    <row r="63" ht="16.5" customHeight="1" x14ac:dyDescent="0.45"/>
    <row r="64" ht="16.5" customHeight="1" x14ac:dyDescent="0.45"/>
    <row r="65" ht="16.5" customHeight="1" x14ac:dyDescent="0.45"/>
    <row r="66" ht="16.5" customHeight="1" x14ac:dyDescent="0.45"/>
    <row r="67" ht="16.5" customHeight="1" x14ac:dyDescent="0.45"/>
    <row r="68" ht="16.5" customHeight="1" x14ac:dyDescent="0.45"/>
    <row r="69" ht="16.5" customHeight="1" x14ac:dyDescent="0.45"/>
    <row r="70" ht="16.5" customHeight="1" x14ac:dyDescent="0.45"/>
    <row r="71" ht="16.5" customHeight="1" x14ac:dyDescent="0.45"/>
    <row r="72" ht="16.5" customHeight="1" x14ac:dyDescent="0.45"/>
    <row r="73" ht="16.5" customHeight="1" x14ac:dyDescent="0.45"/>
    <row r="74" ht="16.5" customHeight="1" x14ac:dyDescent="0.45"/>
    <row r="75" ht="16.5" customHeight="1" x14ac:dyDescent="0.45"/>
    <row r="76" ht="16.5" customHeight="1" x14ac:dyDescent="0.45"/>
    <row r="77" ht="16.5" customHeight="1" x14ac:dyDescent="0.45"/>
    <row r="78" ht="16.5" customHeight="1" x14ac:dyDescent="0.45"/>
    <row r="79" ht="16.5" customHeight="1" x14ac:dyDescent="0.45"/>
    <row r="80" ht="16.5" customHeight="1" x14ac:dyDescent="0.45"/>
    <row r="81" ht="16.5" customHeight="1" x14ac:dyDescent="0.45"/>
    <row r="82" ht="16.5" customHeight="1" x14ac:dyDescent="0.45"/>
    <row r="83" ht="16.5" customHeight="1" x14ac:dyDescent="0.45"/>
    <row r="84" ht="16.5" customHeight="1" x14ac:dyDescent="0.45"/>
    <row r="85" ht="16.5" customHeight="1" x14ac:dyDescent="0.45"/>
    <row r="86" ht="16.5" customHeight="1" x14ac:dyDescent="0.45"/>
    <row r="87" ht="16.5" customHeight="1" x14ac:dyDescent="0.45"/>
    <row r="88" ht="16.5" customHeight="1" x14ac:dyDescent="0.45"/>
    <row r="89" ht="16.5" customHeight="1" x14ac:dyDescent="0.45"/>
    <row r="90" ht="16.5" customHeight="1" x14ac:dyDescent="0.45"/>
    <row r="91" ht="16.5" customHeight="1" x14ac:dyDescent="0.45"/>
    <row r="92" ht="16.5" customHeight="1" x14ac:dyDescent="0.45"/>
    <row r="93" ht="16.5" customHeight="1" x14ac:dyDescent="0.45"/>
    <row r="94" ht="16.5" customHeight="1" x14ac:dyDescent="0.45"/>
    <row r="95" ht="16.5" customHeight="1" x14ac:dyDescent="0.45"/>
    <row r="96" ht="16.5" customHeight="1" x14ac:dyDescent="0.45"/>
    <row r="97" ht="16.5" customHeight="1" x14ac:dyDescent="0.45"/>
    <row r="98" ht="16.5" customHeight="1" x14ac:dyDescent="0.45"/>
    <row r="99" ht="16.5" customHeight="1" x14ac:dyDescent="0.45"/>
    <row r="100" ht="16.5" customHeight="1" x14ac:dyDescent="0.45"/>
    <row r="101" ht="16.5" customHeight="1" x14ac:dyDescent="0.45"/>
    <row r="102" ht="16.5" customHeight="1" x14ac:dyDescent="0.45"/>
    <row r="103" ht="16.5" customHeight="1" x14ac:dyDescent="0.45"/>
    <row r="104" ht="16.5" customHeight="1" x14ac:dyDescent="0.45"/>
    <row r="105" ht="16.5" customHeight="1" x14ac:dyDescent="0.45"/>
    <row r="106" ht="16.5" customHeight="1" x14ac:dyDescent="0.45"/>
    <row r="107" ht="16.5" customHeight="1" x14ac:dyDescent="0.45"/>
    <row r="108" ht="16.5" customHeight="1" x14ac:dyDescent="0.45"/>
    <row r="109" ht="16.5" customHeight="1" x14ac:dyDescent="0.45"/>
    <row r="110" ht="16.5" customHeight="1" x14ac:dyDescent="0.45"/>
    <row r="111" ht="16.5" customHeight="1" x14ac:dyDescent="0.45"/>
    <row r="112" ht="16.5" customHeight="1" x14ac:dyDescent="0.45"/>
    <row r="113" ht="16.5" customHeight="1" x14ac:dyDescent="0.45"/>
    <row r="114" ht="16.5" customHeight="1" x14ac:dyDescent="0.45"/>
    <row r="115" ht="16.5" customHeight="1" x14ac:dyDescent="0.45"/>
    <row r="116" ht="16.5" customHeight="1" x14ac:dyDescent="0.45"/>
    <row r="117" ht="16.5" customHeight="1" x14ac:dyDescent="0.45"/>
    <row r="118" ht="16.5" customHeight="1" x14ac:dyDescent="0.45"/>
    <row r="119" ht="16.5" customHeight="1" x14ac:dyDescent="0.45"/>
    <row r="120" ht="16.5" customHeight="1" x14ac:dyDescent="0.45"/>
    <row r="121" ht="16.5" customHeight="1" x14ac:dyDescent="0.45"/>
    <row r="122" ht="16.5" customHeight="1" x14ac:dyDescent="0.45"/>
    <row r="123" ht="16.5" customHeight="1" x14ac:dyDescent="0.45"/>
    <row r="124" ht="16.5" customHeight="1" x14ac:dyDescent="0.45"/>
    <row r="125" ht="16.5" customHeight="1" x14ac:dyDescent="0.45"/>
    <row r="126" ht="16.5" customHeight="1" x14ac:dyDescent="0.45"/>
    <row r="127" ht="16.5" customHeight="1" x14ac:dyDescent="0.45"/>
    <row r="128" ht="16.5" customHeight="1" x14ac:dyDescent="0.45"/>
    <row r="129" ht="16.5" customHeight="1" x14ac:dyDescent="0.45"/>
    <row r="130" ht="16.5" customHeight="1" x14ac:dyDescent="0.45"/>
    <row r="131" ht="16.5" customHeight="1" x14ac:dyDescent="0.45"/>
    <row r="132" ht="16.5" customHeight="1" x14ac:dyDescent="0.45"/>
    <row r="133" ht="16.5" customHeight="1" x14ac:dyDescent="0.45"/>
    <row r="134" ht="16.5" customHeight="1" x14ac:dyDescent="0.45"/>
    <row r="135" ht="16.5" customHeight="1" x14ac:dyDescent="0.45"/>
    <row r="136" ht="16.5" customHeight="1" x14ac:dyDescent="0.45"/>
    <row r="137" ht="16.5" customHeight="1" x14ac:dyDescent="0.45"/>
    <row r="138" ht="16.5" customHeight="1" x14ac:dyDescent="0.45"/>
    <row r="139" ht="16.5" customHeight="1" x14ac:dyDescent="0.45"/>
    <row r="140" ht="16.5" customHeight="1" x14ac:dyDescent="0.45"/>
    <row r="141" ht="16.5" customHeight="1" x14ac:dyDescent="0.45"/>
    <row r="142" ht="16.5" customHeight="1" x14ac:dyDescent="0.45"/>
    <row r="143" ht="16.5" customHeight="1" x14ac:dyDescent="0.45"/>
    <row r="144" ht="16.5" customHeight="1" x14ac:dyDescent="0.45"/>
    <row r="145" ht="16.5" customHeight="1" x14ac:dyDescent="0.45"/>
    <row r="146" ht="16.5" customHeight="1" x14ac:dyDescent="0.45"/>
    <row r="147" ht="16.5" customHeight="1" x14ac:dyDescent="0.45"/>
    <row r="148" ht="16.5" customHeight="1" x14ac:dyDescent="0.45"/>
    <row r="149" ht="16.5" customHeight="1" x14ac:dyDescent="0.45"/>
    <row r="150" ht="16.5" customHeight="1" x14ac:dyDescent="0.45"/>
    <row r="151" ht="16.5" customHeight="1" x14ac:dyDescent="0.45"/>
    <row r="152" ht="16.5" customHeight="1" x14ac:dyDescent="0.45"/>
    <row r="153" ht="16.5" customHeight="1" x14ac:dyDescent="0.45"/>
    <row r="154" ht="16.5" customHeight="1" x14ac:dyDescent="0.45"/>
    <row r="155" ht="16.5" customHeight="1" x14ac:dyDescent="0.45"/>
    <row r="156" ht="16.5" customHeight="1" x14ac:dyDescent="0.45"/>
    <row r="157" ht="16.5" customHeight="1" x14ac:dyDescent="0.45"/>
    <row r="158" ht="16.5" customHeight="1" x14ac:dyDescent="0.45"/>
    <row r="159" ht="16.5" customHeight="1" x14ac:dyDescent="0.45"/>
    <row r="160" ht="16.5" customHeight="1" x14ac:dyDescent="0.45"/>
    <row r="161" ht="16.5" customHeight="1" x14ac:dyDescent="0.45"/>
    <row r="162" ht="16.5" customHeight="1" x14ac:dyDescent="0.45"/>
    <row r="163" ht="16.5" customHeight="1" x14ac:dyDescent="0.45"/>
    <row r="164" ht="16.5" customHeight="1" x14ac:dyDescent="0.45"/>
    <row r="165" ht="16.5" customHeight="1" x14ac:dyDescent="0.45"/>
    <row r="166" ht="16.5" customHeight="1" x14ac:dyDescent="0.45"/>
    <row r="167" ht="16.5" customHeight="1" x14ac:dyDescent="0.45"/>
    <row r="168" ht="16.5" customHeight="1" x14ac:dyDescent="0.45"/>
    <row r="169" ht="16.5" customHeight="1" x14ac:dyDescent="0.45"/>
    <row r="170" ht="16.5" customHeight="1" x14ac:dyDescent="0.45"/>
    <row r="171" ht="16.5" customHeight="1" x14ac:dyDescent="0.45"/>
    <row r="172" ht="16.5" customHeight="1" x14ac:dyDescent="0.45"/>
    <row r="173" ht="16.5" customHeight="1" x14ac:dyDescent="0.45"/>
    <row r="174" ht="16.5" customHeight="1" x14ac:dyDescent="0.45"/>
    <row r="175" ht="16.5" customHeight="1" x14ac:dyDescent="0.45"/>
    <row r="176" ht="16.5" customHeight="1" x14ac:dyDescent="0.45"/>
    <row r="177" ht="16.5" customHeight="1" x14ac:dyDescent="0.45"/>
    <row r="178" ht="16.5" customHeight="1" x14ac:dyDescent="0.45"/>
    <row r="179" ht="16.5" customHeight="1" x14ac:dyDescent="0.45"/>
    <row r="180" ht="16.5" customHeight="1" x14ac:dyDescent="0.45"/>
    <row r="181" ht="16.5" customHeight="1" x14ac:dyDescent="0.45"/>
    <row r="182" ht="16.5" customHeight="1" x14ac:dyDescent="0.45"/>
    <row r="183" ht="16.5" customHeight="1" x14ac:dyDescent="0.45"/>
    <row r="184" ht="16.5" customHeight="1" x14ac:dyDescent="0.45"/>
    <row r="185" ht="16.5" customHeight="1" x14ac:dyDescent="0.45"/>
    <row r="186" ht="16.5" customHeight="1" x14ac:dyDescent="0.45"/>
    <row r="187" ht="16.5" customHeight="1" x14ac:dyDescent="0.45"/>
    <row r="188" ht="16.5" customHeight="1" x14ac:dyDescent="0.45"/>
    <row r="189" ht="16.5" customHeight="1" x14ac:dyDescent="0.45"/>
    <row r="190" ht="16.5" customHeight="1" x14ac:dyDescent="0.45"/>
    <row r="191" ht="16.5" customHeight="1" x14ac:dyDescent="0.45"/>
    <row r="192" ht="16.5" customHeight="1" x14ac:dyDescent="0.45"/>
    <row r="193" ht="16.5" customHeight="1" x14ac:dyDescent="0.45"/>
    <row r="194" ht="16.5" customHeight="1" x14ac:dyDescent="0.45"/>
    <row r="195" ht="16.5" customHeight="1" x14ac:dyDescent="0.45"/>
    <row r="196" ht="16.5" customHeight="1" x14ac:dyDescent="0.45"/>
    <row r="197" ht="16.5" customHeight="1" x14ac:dyDescent="0.45"/>
    <row r="198" ht="16.5" customHeight="1" x14ac:dyDescent="0.45"/>
    <row r="199" ht="16.5" customHeight="1" x14ac:dyDescent="0.45"/>
    <row r="200" ht="16.5" customHeight="1" x14ac:dyDescent="0.45"/>
    <row r="201" ht="16.5" customHeight="1" x14ac:dyDescent="0.45"/>
    <row r="202" ht="16.5" customHeight="1" x14ac:dyDescent="0.45"/>
    <row r="203" ht="16.5" customHeight="1" x14ac:dyDescent="0.45"/>
    <row r="204" ht="16.5" customHeight="1" x14ac:dyDescent="0.45"/>
    <row r="205" ht="16.5" customHeight="1" x14ac:dyDescent="0.45"/>
    <row r="206" ht="16.5" customHeight="1" x14ac:dyDescent="0.45"/>
    <row r="207" ht="16.5" customHeight="1" x14ac:dyDescent="0.45"/>
    <row r="208" ht="16.5" customHeight="1" x14ac:dyDescent="0.45"/>
    <row r="209" ht="16.5" customHeight="1" x14ac:dyDescent="0.45"/>
    <row r="210" ht="16.5" customHeight="1" x14ac:dyDescent="0.45"/>
    <row r="211" ht="16.5" customHeight="1" x14ac:dyDescent="0.45"/>
    <row r="212" ht="16.5" customHeight="1" x14ac:dyDescent="0.45"/>
    <row r="213" ht="16.5" customHeight="1" x14ac:dyDescent="0.45"/>
    <row r="214" ht="16.5" customHeight="1" x14ac:dyDescent="0.45"/>
    <row r="215" ht="16.5" customHeight="1" x14ac:dyDescent="0.45"/>
    <row r="216" ht="16.5" customHeight="1" x14ac:dyDescent="0.45"/>
    <row r="217" ht="16.5" customHeight="1" x14ac:dyDescent="0.45"/>
    <row r="218" ht="16.5" customHeight="1" x14ac:dyDescent="0.45"/>
    <row r="219" ht="16.5" customHeight="1" x14ac:dyDescent="0.45"/>
    <row r="220" ht="16.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1000"/>
  <sheetViews>
    <sheetView workbookViewId="0"/>
  </sheetViews>
  <sheetFormatPr defaultColWidth="12.69140625" defaultRowHeight="15" customHeight="1" x14ac:dyDescent="0.45"/>
  <cols>
    <col min="1" max="1" width="8.3828125" customWidth="1"/>
    <col min="2" max="2" width="2.3828125" customWidth="1"/>
    <col min="3" max="3" width="44.3828125" customWidth="1"/>
    <col min="4" max="4" width="9.3828125" customWidth="1"/>
    <col min="5" max="5" width="13.23046875" customWidth="1"/>
    <col min="6" max="6" width="9.3828125" customWidth="1"/>
    <col min="7" max="7" width="10.3828125" customWidth="1"/>
    <col min="8" max="27" width="13.3828125" customWidth="1"/>
    <col min="28" max="29" width="12.23046875" customWidth="1"/>
    <col min="30" max="36" width="13.3828125" customWidth="1"/>
    <col min="37" max="37" width="8.3828125" customWidth="1"/>
  </cols>
  <sheetData>
    <row r="1" spans="1:37" ht="14.25" customHeight="1" x14ac:dyDescent="0.45">
      <c r="A1" s="618"/>
      <c r="B1" s="54"/>
      <c r="C1" s="619" t="s">
        <v>19</v>
      </c>
      <c r="D1" s="475">
        <v>2018</v>
      </c>
      <c r="E1" s="475">
        <v>2019</v>
      </c>
      <c r="F1" s="475">
        <v>2020</v>
      </c>
      <c r="G1" s="475">
        <v>2021</v>
      </c>
      <c r="H1" s="476">
        <v>2022</v>
      </c>
      <c r="I1" s="476">
        <v>2023</v>
      </c>
      <c r="J1" s="476">
        <v>2024</v>
      </c>
      <c r="K1" s="477">
        <v>2025</v>
      </c>
      <c r="L1" s="349">
        <v>2026</v>
      </c>
      <c r="M1" s="349">
        <v>2027</v>
      </c>
      <c r="N1" s="349">
        <v>2028</v>
      </c>
      <c r="O1" s="349">
        <v>2029</v>
      </c>
      <c r="P1" s="478">
        <v>2030</v>
      </c>
      <c r="Q1" s="349">
        <v>2031</v>
      </c>
      <c r="R1" s="349">
        <v>2032</v>
      </c>
      <c r="S1" s="349">
        <v>2033</v>
      </c>
      <c r="T1" s="349">
        <v>2034</v>
      </c>
      <c r="U1" s="478">
        <v>2035</v>
      </c>
      <c r="V1" s="349">
        <v>2036</v>
      </c>
      <c r="W1" s="349">
        <v>2037</v>
      </c>
      <c r="X1" s="349">
        <v>2038</v>
      </c>
      <c r="Y1" s="349">
        <v>2039</v>
      </c>
      <c r="Z1" s="478">
        <v>2040</v>
      </c>
      <c r="AA1" s="349">
        <v>2041</v>
      </c>
      <c r="AB1" s="349">
        <v>2042</v>
      </c>
      <c r="AC1" s="349">
        <v>2043</v>
      </c>
      <c r="AD1" s="349">
        <v>2044</v>
      </c>
      <c r="AE1" s="478">
        <v>2045</v>
      </c>
      <c r="AF1" s="349">
        <v>2046</v>
      </c>
      <c r="AG1" s="349">
        <v>2047</v>
      </c>
      <c r="AH1" s="349">
        <v>2048</v>
      </c>
      <c r="AI1" s="349">
        <v>2049</v>
      </c>
      <c r="AJ1" s="478">
        <v>2050</v>
      </c>
      <c r="AK1" s="71"/>
    </row>
    <row r="2" spans="1:37" ht="14.25" customHeight="1" x14ac:dyDescent="0.45">
      <c r="A2" s="1"/>
      <c r="B2" s="1"/>
      <c r="C2" s="1"/>
      <c r="D2" s="18"/>
      <c r="E2" s="18"/>
      <c r="F2" s="18"/>
      <c r="G2" s="18"/>
      <c r="H2" s="98"/>
      <c r="I2" s="98"/>
      <c r="J2" s="98"/>
      <c r="K2" s="99"/>
      <c r="L2" s="1"/>
      <c r="M2" s="1"/>
      <c r="N2" s="1"/>
      <c r="O2" s="1"/>
      <c r="P2" s="18"/>
      <c r="Q2" s="1"/>
      <c r="R2" s="1"/>
      <c r="S2" s="1"/>
      <c r="T2" s="1"/>
      <c r="U2" s="18"/>
      <c r="V2" s="1"/>
      <c r="W2" s="1"/>
      <c r="X2" s="1"/>
      <c r="Y2" s="1"/>
      <c r="Z2" s="18"/>
      <c r="AA2" s="1"/>
      <c r="AB2" s="1"/>
      <c r="AC2" s="1"/>
      <c r="AD2" s="1"/>
      <c r="AE2" s="18"/>
      <c r="AF2" s="1"/>
      <c r="AG2" s="1"/>
      <c r="AH2" s="1"/>
      <c r="AI2" s="1"/>
      <c r="AJ2" s="18"/>
      <c r="AK2" s="1"/>
    </row>
    <row r="3" spans="1:37" ht="14.25" customHeight="1" x14ac:dyDescent="0.45">
      <c r="A3" s="618"/>
      <c r="B3" s="63"/>
      <c r="C3" s="399"/>
      <c r="D3" s="479"/>
      <c r="E3" s="479"/>
      <c r="F3" s="479"/>
      <c r="G3" s="479"/>
      <c r="H3" s="480"/>
      <c r="I3" s="480"/>
      <c r="J3" s="480"/>
      <c r="K3" s="481"/>
      <c r="L3" s="398"/>
      <c r="M3" s="398"/>
      <c r="N3" s="398"/>
      <c r="O3" s="398"/>
      <c r="P3" s="479"/>
      <c r="Q3" s="398"/>
      <c r="R3" s="398"/>
      <c r="S3" s="398"/>
      <c r="T3" s="398"/>
      <c r="U3" s="479"/>
      <c r="V3" s="398"/>
      <c r="W3" s="398"/>
      <c r="X3" s="398"/>
      <c r="Y3" s="398"/>
      <c r="Z3" s="479"/>
      <c r="AA3" s="398"/>
      <c r="AB3" s="398"/>
      <c r="AC3" s="398"/>
      <c r="AD3" s="398"/>
      <c r="AE3" s="479"/>
      <c r="AF3" s="398"/>
      <c r="AG3" s="398"/>
      <c r="AH3" s="398"/>
      <c r="AI3" s="398"/>
      <c r="AJ3" s="479"/>
      <c r="AK3" s="449"/>
    </row>
    <row r="4" spans="1:37" ht="14.25" customHeight="1" x14ac:dyDescent="0.45">
      <c r="A4" s="618"/>
      <c r="B4" s="400"/>
      <c r="C4" s="402" t="s">
        <v>478</v>
      </c>
      <c r="D4" s="415"/>
      <c r="E4" s="415"/>
      <c r="F4" s="415"/>
      <c r="G4" s="415"/>
      <c r="H4" s="482"/>
      <c r="I4" s="482"/>
      <c r="J4" s="482"/>
      <c r="K4" s="483"/>
      <c r="L4" s="403"/>
      <c r="M4" s="403"/>
      <c r="N4" s="403"/>
      <c r="O4" s="403"/>
      <c r="P4" s="415"/>
      <c r="Q4" s="403"/>
      <c r="R4" s="403"/>
      <c r="S4" s="403"/>
      <c r="T4" s="403"/>
      <c r="U4" s="415"/>
      <c r="V4" s="403"/>
      <c r="W4" s="403"/>
      <c r="X4" s="403"/>
      <c r="Y4" s="403"/>
      <c r="Z4" s="415"/>
      <c r="AA4" s="403"/>
      <c r="AB4" s="403"/>
      <c r="AC4" s="403"/>
      <c r="AD4" s="403"/>
      <c r="AE4" s="415"/>
      <c r="AF4" s="403"/>
      <c r="AG4" s="403"/>
      <c r="AH4" s="403"/>
      <c r="AI4" s="403"/>
      <c r="AJ4" s="415"/>
      <c r="AK4" s="450"/>
    </row>
    <row r="5" spans="1:37" ht="14.25" customHeight="1" x14ac:dyDescent="0.45">
      <c r="A5" s="618"/>
      <c r="B5" s="400"/>
      <c r="C5" s="404" t="s">
        <v>479</v>
      </c>
      <c r="D5" s="415"/>
      <c r="E5" s="415"/>
      <c r="F5" s="415"/>
      <c r="G5" s="415"/>
      <c r="H5" s="482"/>
      <c r="I5" s="482"/>
      <c r="J5" s="482"/>
      <c r="K5" s="483"/>
      <c r="L5" s="403"/>
      <c r="M5" s="403"/>
      <c r="N5" s="403"/>
      <c r="O5" s="403"/>
      <c r="P5" s="415"/>
      <c r="Q5" s="403"/>
      <c r="R5" s="403"/>
      <c r="S5" s="403"/>
      <c r="T5" s="403"/>
      <c r="U5" s="415"/>
      <c r="V5" s="403"/>
      <c r="W5" s="403"/>
      <c r="X5" s="403"/>
      <c r="Y5" s="403"/>
      <c r="Z5" s="415"/>
      <c r="AA5" s="403"/>
      <c r="AB5" s="403"/>
      <c r="AC5" s="403"/>
      <c r="AD5" s="403"/>
      <c r="AE5" s="415"/>
      <c r="AF5" s="403"/>
      <c r="AG5" s="403"/>
      <c r="AH5" s="403"/>
      <c r="AI5" s="403"/>
      <c r="AJ5" s="415"/>
      <c r="AK5" s="450"/>
    </row>
    <row r="6" spans="1:37" ht="14.25" customHeight="1" x14ac:dyDescent="0.45">
      <c r="A6" s="618">
        <v>1</v>
      </c>
      <c r="B6" s="400"/>
      <c r="C6" s="405" t="s">
        <v>480</v>
      </c>
      <c r="D6" s="406"/>
      <c r="E6" s="406"/>
      <c r="F6" s="406"/>
      <c r="G6" s="406"/>
      <c r="H6" s="482">
        <f>G6*(1+'Driver PIB'!H$2)</f>
        <v>0</v>
      </c>
      <c r="I6" s="482">
        <f>H6*(1+'Driver PIB'!I$2)</f>
        <v>0</v>
      </c>
      <c r="J6" s="482">
        <f>I6*(1+'Driver PIB'!J$2)</f>
        <v>0</v>
      </c>
      <c r="K6" s="482">
        <f>J6*(1+'Driver PIB'!K$2)</f>
        <v>0</v>
      </c>
      <c r="L6" s="406">
        <f>K6*(1+'Driver PIB'!L$2)</f>
        <v>0</v>
      </c>
      <c r="M6" s="406">
        <f>L6*(1+'Driver PIB'!M$2)</f>
        <v>0</v>
      </c>
      <c r="N6" s="406">
        <f>M6*(1+'Driver PIB'!N$2)</f>
        <v>0</v>
      </c>
      <c r="O6" s="406">
        <f>N6*(1+'Driver PIB'!O$2)</f>
        <v>0</v>
      </c>
      <c r="P6" s="406">
        <f>O6*(1+'Driver PIB'!P$2)</f>
        <v>0</v>
      </c>
      <c r="Q6" s="406">
        <f>P6*(1+'Driver PIB'!Q$2)</f>
        <v>0</v>
      </c>
      <c r="R6" s="406">
        <f>Q6*(1+'Driver PIB'!R$2)</f>
        <v>0</v>
      </c>
      <c r="S6" s="406">
        <f>R6*(1+'Driver PIB'!S$2)</f>
        <v>0</v>
      </c>
      <c r="T6" s="406">
        <f>S6*(1+'Driver PIB'!T$2)</f>
        <v>0</v>
      </c>
      <c r="U6" s="406">
        <f>T6*(1+'Driver PIB'!U$2)</f>
        <v>0</v>
      </c>
      <c r="V6" s="406">
        <f>U6*(1+'Driver PIB'!V$2)</f>
        <v>0</v>
      </c>
      <c r="W6" s="406">
        <f>V6*(1+'Driver PIB'!W$2)</f>
        <v>0</v>
      </c>
      <c r="X6" s="406">
        <f>W6*(1+'Driver PIB'!X$2)</f>
        <v>0</v>
      </c>
      <c r="Y6" s="406">
        <f>X6*(1+'Driver PIB'!Y$2)</f>
        <v>0</v>
      </c>
      <c r="Z6" s="406">
        <f>Y6*(1+'Driver PIB'!Z$2)</f>
        <v>0</v>
      </c>
      <c r="AA6" s="406">
        <f>Z6*(1+'Driver PIB'!AA$2)</f>
        <v>0</v>
      </c>
      <c r="AB6" s="406">
        <f>AA6*(1+'Driver PIB'!AB$2)</f>
        <v>0</v>
      </c>
      <c r="AC6" s="406">
        <f>AB6*(1+'Driver PIB'!AC$2)</f>
        <v>0</v>
      </c>
      <c r="AD6" s="406">
        <f>AC6*(1+'Driver PIB'!AD$2)</f>
        <v>0</v>
      </c>
      <c r="AE6" s="406">
        <f>AD6*(1+'Driver PIB'!AE$2)</f>
        <v>0</v>
      </c>
      <c r="AF6" s="406">
        <f>AE6*(1+'Driver PIB'!AF$2)</f>
        <v>0</v>
      </c>
      <c r="AG6" s="406">
        <f>AF6*(1+'Driver PIB'!AG$2)</f>
        <v>0</v>
      </c>
      <c r="AH6" s="406">
        <f>AG6*(1+'Driver PIB'!AH$2)</f>
        <v>0</v>
      </c>
      <c r="AI6" s="406">
        <f>AH6*(1+'Driver PIB'!AI$2)</f>
        <v>0</v>
      </c>
      <c r="AJ6" s="406">
        <f>AI6*(1+'Driver PIB'!AJ$2)</f>
        <v>0</v>
      </c>
      <c r="AK6" s="450"/>
    </row>
    <row r="7" spans="1:37" ht="14.25" customHeight="1" x14ac:dyDescent="0.45">
      <c r="A7" s="618">
        <v>1</v>
      </c>
      <c r="B7" s="400"/>
      <c r="C7" s="405" t="s">
        <v>482</v>
      </c>
      <c r="D7" s="406">
        <f>'Copia de Demandas de energía '!D7*1000*($E$110)</f>
        <v>0.10753598003325099</v>
      </c>
      <c r="E7" s="406">
        <f>'Copia de Demandas de energía '!E7*1000*($E$110)</f>
        <v>0.13348047518949099</v>
      </c>
      <c r="F7" s="406">
        <f>'Copia de Demandas de energía '!F7*1000*($E$110)</f>
        <v>3.7533503399101699E-2</v>
      </c>
      <c r="G7" s="406">
        <f>'Copia de Demandas de energía '!G7*1000*($E$110)</f>
        <v>0.25710469247349299</v>
      </c>
      <c r="H7" s="482">
        <f>G7*(1+'Driver PIB'!H$2)</f>
        <v>0.26492713852857364</v>
      </c>
      <c r="I7" s="482">
        <f>H7*(1+'Driver PIB'!I$2)</f>
        <v>0.27178246132832612</v>
      </c>
      <c r="J7" s="482">
        <f>I7*(1+'Driver PIB'!J$2)</f>
        <v>0.27957540872813835</v>
      </c>
      <c r="K7" s="482">
        <f>J7*(1+'Driver PIB'!K$2)</f>
        <v>0.28791685393694116</v>
      </c>
      <c r="L7" s="406">
        <f>K7*(1+'Driver PIB'!L$2)</f>
        <v>0.29674627654374469</v>
      </c>
      <c r="M7" s="406">
        <f>L7*(1+'Driver PIB'!M$2)</f>
        <v>0.30463013682861523</v>
      </c>
      <c r="N7" s="406">
        <f>M7*(1+'Driver PIB'!N$2)</f>
        <v>0.31333032433642583</v>
      </c>
      <c r="O7" s="406">
        <f>N7*(1+'Driver PIB'!O$2)</f>
        <v>0.32024103047471064</v>
      </c>
      <c r="P7" s="406">
        <f>O7*(1+'Driver PIB'!P$2)</f>
        <v>0.3278996228751862</v>
      </c>
      <c r="Q7" s="406">
        <f>P7*(1+'Driver PIB'!Q$2)</f>
        <v>0.33831795236227685</v>
      </c>
      <c r="R7" s="406">
        <f>Q7*(1+'Driver PIB'!R$2)</f>
        <v>0.34669516494822988</v>
      </c>
      <c r="S7" s="406">
        <f>R7*(1+'Driver PIB'!S$2)</f>
        <v>0.35675157946922542</v>
      </c>
      <c r="T7" s="406">
        <f>S7*(1+'Driver PIB'!T$2)</f>
        <v>0.36522686962342205</v>
      </c>
      <c r="U7" s="406">
        <f>T7*(1+'Driver PIB'!U$2)</f>
        <v>0.37389496375488324</v>
      </c>
      <c r="V7" s="406">
        <f>U7*(1+'Driver PIB'!V$2)</f>
        <v>0.38347629064908823</v>
      </c>
      <c r="W7" s="406">
        <f>V7*(1+'Driver PIB'!W$2)</f>
        <v>0.39221089594752989</v>
      </c>
      <c r="X7" s="406">
        <f>W7*(1+'Driver PIB'!X$2)</f>
        <v>0.40143252316250594</v>
      </c>
      <c r="Y7" s="406">
        <f>X7*(1+'Driver PIB'!Y$2)</f>
        <v>0.41158669995720959</v>
      </c>
      <c r="Z7" s="406">
        <f>Y7*(1+'Driver PIB'!Z$2)</f>
        <v>0.42096965027673705</v>
      </c>
      <c r="AA7" s="406">
        <f>Z7*(1+'Driver PIB'!AA$2)</f>
        <v>0.43061273374233772</v>
      </c>
      <c r="AB7" s="406">
        <f>AA7*(1+'Driver PIB'!AB$2)</f>
        <v>0.44024151527692235</v>
      </c>
      <c r="AC7" s="406">
        <f>AB7*(1+'Driver PIB'!AC$2)</f>
        <v>0.44797681092486008</v>
      </c>
      <c r="AD7" s="406">
        <f>AC7*(1+'Driver PIB'!AD$2)</f>
        <v>0.45782929133833278</v>
      </c>
      <c r="AE7" s="406">
        <f>AD7*(1+'Driver PIB'!AE$2)</f>
        <v>0.46637506332938311</v>
      </c>
      <c r="AF7" s="406">
        <f>AE7*(1+'Driver PIB'!AF$2)</f>
        <v>0.47707170034342217</v>
      </c>
      <c r="AG7" s="406">
        <f>AF7*(1+'Driver PIB'!AG$2)</f>
        <v>0.48589895803759903</v>
      </c>
      <c r="AH7" s="406">
        <f>AG7*(1+'Driver PIB'!AH$2)</f>
        <v>0.49464084268124481</v>
      </c>
      <c r="AI7" s="406">
        <f>AH7*(1+'Driver PIB'!AI$2)</f>
        <v>0.50370423513684082</v>
      </c>
      <c r="AJ7" s="406">
        <f>AI7*(1+'Driver PIB'!AJ$2)</f>
        <v>0.51283572827418744</v>
      </c>
      <c r="AK7" s="450"/>
    </row>
    <row r="8" spans="1:37" ht="14.25" customHeight="1" x14ac:dyDescent="0.45">
      <c r="A8" s="618" t="s">
        <v>31</v>
      </c>
      <c r="B8" s="400"/>
      <c r="C8" s="405" t="s">
        <v>484</v>
      </c>
      <c r="D8" s="406">
        <f>'Copia de Demandas de energía '!D8*1000*($E$110)</f>
        <v>0.66585640816406999</v>
      </c>
      <c r="E8" s="406">
        <f>'Copia de Demandas de energía '!E8*1000*($E$110)</f>
        <v>0.92659609384781993</v>
      </c>
      <c r="F8" s="406">
        <f>'Copia de Demandas de energía '!F8*1000*($E$110)</f>
        <v>0.81172486629373997</v>
      </c>
      <c r="G8" s="406">
        <f>'Copia de Demandas de energía '!G8*1000*($E$110)</f>
        <v>1.12630898796705</v>
      </c>
      <c r="H8" s="482">
        <f>G8*(1+'Driver PIB'!H$2)</f>
        <v>1.1605770956976513</v>
      </c>
      <c r="I8" s="482">
        <f>H8*(1+'Driver PIB'!I$2)</f>
        <v>1.1906084872311711</v>
      </c>
      <c r="J8" s="482">
        <f>I8*(1+'Driver PIB'!J$2)</f>
        <v>1.2247473690023307</v>
      </c>
      <c r="K8" s="482">
        <f>J8*(1+'Driver PIB'!K$2)</f>
        <v>1.2612890774438361</v>
      </c>
      <c r="L8" s="406">
        <f>K8*(1+'Driver PIB'!L$2)</f>
        <v>1.2999684883286744</v>
      </c>
      <c r="M8" s="406">
        <f>L8*(1+'Driver PIB'!M$2)</f>
        <v>1.3345056358746752</v>
      </c>
      <c r="N8" s="406">
        <f>M8*(1+'Driver PIB'!N$2)</f>
        <v>1.3726189013027497</v>
      </c>
      <c r="O8" s="406">
        <f>N8*(1+'Driver PIB'!O$2)</f>
        <v>1.4028929128809386</v>
      </c>
      <c r="P8" s="406">
        <f>O8*(1+'Driver PIB'!P$2)</f>
        <v>1.4364432202395687</v>
      </c>
      <c r="Q8" s="406">
        <f>P8*(1+'Driver PIB'!Q$2)</f>
        <v>1.4820832201478633</v>
      </c>
      <c r="R8" s="406">
        <f>Q8*(1+'Driver PIB'!R$2)</f>
        <v>1.5187816161938335</v>
      </c>
      <c r="S8" s="406">
        <f>R8*(1+'Driver PIB'!S$2)</f>
        <v>1.5628361604837531</v>
      </c>
      <c r="T8" s="406">
        <f>S8*(1+'Driver PIB'!T$2)</f>
        <v>1.5999642089237265</v>
      </c>
      <c r="U8" s="406">
        <f>T8*(1+'Driver PIB'!U$2)</f>
        <v>1.6379368815921405</v>
      </c>
      <c r="V8" s="406">
        <f>U8*(1+'Driver PIB'!V$2)</f>
        <v>1.6799101901839548</v>
      </c>
      <c r="W8" s="406">
        <f>V8*(1+'Driver PIB'!W$2)</f>
        <v>1.7181742310279147</v>
      </c>
      <c r="X8" s="406">
        <f>W8*(1+'Driver PIB'!X$2)</f>
        <v>1.7585717885986691</v>
      </c>
      <c r="Y8" s="406">
        <f>X8*(1+'Driver PIB'!Y$2)</f>
        <v>1.8030546040589908</v>
      </c>
      <c r="Z8" s="406">
        <f>Y8*(1+'Driver PIB'!Z$2)</f>
        <v>1.8441588763181276</v>
      </c>
      <c r="AA8" s="406">
        <f>Z8*(1+'Driver PIB'!AA$2)</f>
        <v>1.8864027244351442</v>
      </c>
      <c r="AB8" s="406">
        <f>AA8*(1+'Driver PIB'!AB$2)</f>
        <v>1.9285839195010102</v>
      </c>
      <c r="AC8" s="406">
        <f>AB8*(1+'Driver PIB'!AC$2)</f>
        <v>1.9624702438968704</v>
      </c>
      <c r="AD8" s="406">
        <f>AC8*(1+'Driver PIB'!AD$2)</f>
        <v>2.0056314057438391</v>
      </c>
      <c r="AE8" s="406">
        <f>AD8*(1+'Driver PIB'!AE$2)</f>
        <v>2.0430682168344396</v>
      </c>
      <c r="AF8" s="406">
        <f>AE8*(1+'Driver PIB'!AF$2)</f>
        <v>2.0899274098504339</v>
      </c>
      <c r="AG8" s="406">
        <f>AF8*(1+'Driver PIB'!AG$2)</f>
        <v>2.1285973368144382</v>
      </c>
      <c r="AH8" s="406">
        <f>AG8*(1+'Driver PIB'!AH$2)</f>
        <v>2.1668932665821319</v>
      </c>
      <c r="AI8" s="406">
        <f>AH8*(1+'Driver PIB'!AI$2)</f>
        <v>2.2065976387038617</v>
      </c>
      <c r="AJ8" s="406">
        <f>AI8*(1+'Driver PIB'!AJ$2)</f>
        <v>2.2466003422531693</v>
      </c>
      <c r="AK8" s="450"/>
    </row>
    <row r="9" spans="1:37" ht="14.25" customHeight="1" x14ac:dyDescent="0.45">
      <c r="A9" s="618">
        <v>1</v>
      </c>
      <c r="B9" s="400"/>
      <c r="C9" s="408" t="s">
        <v>486</v>
      </c>
      <c r="D9" s="406">
        <f>'Copia de Demandas de energía '!D9*1000*($E$110)</f>
        <v>37.916716605347496</v>
      </c>
      <c r="E9" s="406">
        <f>'Copia de Demandas de energía '!E9*1000*($E$110)</f>
        <v>35.371445443652199</v>
      </c>
      <c r="F9" s="406">
        <f>'Copia de Demandas de energía '!F9*1000*($E$110)</f>
        <v>27.236610140916</v>
      </c>
      <c r="G9" s="406">
        <f>'Copia de Demandas de energía '!G9*1000*($E$110)</f>
        <v>22.024953281190701</v>
      </c>
      <c r="H9" s="482">
        <f>G9*(1+'Driver PIB'!H$2)</f>
        <v>22.695065550438951</v>
      </c>
      <c r="I9" s="482">
        <f>H9*(1+'Driver PIB'!I$2)</f>
        <v>23.282328905842689</v>
      </c>
      <c r="J9" s="482">
        <f>I9*(1+'Driver PIB'!J$2)</f>
        <v>23.94991416363154</v>
      </c>
      <c r="K9" s="482">
        <f>J9*(1+'Driver PIB'!K$2)</f>
        <v>24.664486656470949</v>
      </c>
      <c r="L9" s="406">
        <f>K9*(1+'Driver PIB'!L$2)</f>
        <v>25.420861884569071</v>
      </c>
      <c r="M9" s="406">
        <f>L9*(1+'Driver PIB'!M$2)</f>
        <v>26.096235222874093</v>
      </c>
      <c r="N9" s="406">
        <f>M9*(1+'Driver PIB'!N$2)</f>
        <v>26.84153948610485</v>
      </c>
      <c r="O9" s="406">
        <f>N9*(1+'Driver PIB'!O$2)</f>
        <v>27.433547272393906</v>
      </c>
      <c r="P9" s="406">
        <f>O9*(1+'Driver PIB'!P$2)</f>
        <v>28.089622967463324</v>
      </c>
      <c r="Q9" s="406">
        <f>P9*(1+'Driver PIB'!Q$2)</f>
        <v>28.982112396627983</v>
      </c>
      <c r="R9" s="406">
        <f>Q9*(1+'Driver PIB'!R$2)</f>
        <v>29.699748912932488</v>
      </c>
      <c r="S9" s="406">
        <f>R9*(1+'Driver PIB'!S$2)</f>
        <v>30.56123478419503</v>
      </c>
      <c r="T9" s="406">
        <f>S9*(1+'Driver PIB'!T$2)</f>
        <v>31.28727314582455</v>
      </c>
      <c r="U9" s="406">
        <f>T9*(1+'Driver PIB'!U$2)</f>
        <v>32.029828120009157</v>
      </c>
      <c r="V9" s="406">
        <f>U9*(1+'Driver PIB'!V$2)</f>
        <v>32.850615462264443</v>
      </c>
      <c r="W9" s="406">
        <f>V9*(1+'Driver PIB'!W$2)</f>
        <v>33.598868136212246</v>
      </c>
      <c r="X9" s="406">
        <f>W9*(1+'Driver PIB'!X$2)</f>
        <v>34.388841693802384</v>
      </c>
      <c r="Y9" s="406">
        <f>X9*(1+'Driver PIB'!Y$2)</f>
        <v>35.25870240058569</v>
      </c>
      <c r="Z9" s="406">
        <f>Y9*(1+'Driver PIB'!Z$2)</f>
        <v>36.062495751998881</v>
      </c>
      <c r="AA9" s="406">
        <f>Z9*(1+'Driver PIB'!AA$2)</f>
        <v>36.888573490110858</v>
      </c>
      <c r="AB9" s="406">
        <f>AA9*(1+'Driver PIB'!AB$2)</f>
        <v>37.71342604886329</v>
      </c>
      <c r="AC9" s="406">
        <f>AB9*(1+'Driver PIB'!AC$2)</f>
        <v>38.376072551433801</v>
      </c>
      <c r="AD9" s="406">
        <f>AC9*(1+'Driver PIB'!AD$2)</f>
        <v>39.220088344078093</v>
      </c>
      <c r="AE9" s="406">
        <f>AD9*(1+'Driver PIB'!AE$2)</f>
        <v>39.952164554137916</v>
      </c>
      <c r="AF9" s="406">
        <f>AE9*(1+'Driver PIB'!AF$2)</f>
        <v>40.868495283980018</v>
      </c>
      <c r="AG9" s="406">
        <f>AF9*(1+'Driver PIB'!AG$2)</f>
        <v>41.624685054166029</v>
      </c>
      <c r="AH9" s="406">
        <f>AG9*(1+'Driver PIB'!AH$2)</f>
        <v>42.37356131548011</v>
      </c>
      <c r="AI9" s="406">
        <f>AH9*(1+'Driver PIB'!AI$2)</f>
        <v>43.14997964329487</v>
      </c>
      <c r="AJ9" s="406">
        <f>AI9*(1+'Driver PIB'!AJ$2)</f>
        <v>43.932231837148969</v>
      </c>
      <c r="AK9" s="450"/>
    </row>
    <row r="10" spans="1:37" ht="14.25" customHeight="1" x14ac:dyDescent="0.45">
      <c r="A10" s="618">
        <v>1</v>
      </c>
      <c r="B10" s="400"/>
      <c r="C10" s="408" t="s">
        <v>488</v>
      </c>
      <c r="D10" s="406">
        <f>'Copia de Demandas de energía '!D10*1000*($E$110)</f>
        <v>5.1670492331413191</v>
      </c>
      <c r="E10" s="406">
        <f>'Copia de Demandas de energía '!E10*1000*($E$110)</f>
        <v>5.65623878148208</v>
      </c>
      <c r="F10" s="406">
        <f>'Copia de Demandas de energía '!F10*1000*($E$110)</f>
        <v>5.2540174459354407</v>
      </c>
      <c r="G10" s="406">
        <f>'Copia de Demandas de energía '!G10*1000*($E$110)</f>
        <v>5.8690687000849504</v>
      </c>
      <c r="H10" s="482">
        <f>G10*(1+'Driver PIB'!H$2)</f>
        <v>6.0476359322046447</v>
      </c>
      <c r="I10" s="482">
        <f>H10*(1+'Driver PIB'!I$2)</f>
        <v>6.2041261155845309</v>
      </c>
      <c r="J10" s="482">
        <f>I10*(1+'Driver PIB'!J$2)</f>
        <v>6.3820199658508443</v>
      </c>
      <c r="K10" s="482">
        <f>J10*(1+'Driver PIB'!K$2)</f>
        <v>6.5724346740285471</v>
      </c>
      <c r="L10" s="406">
        <f>K10*(1+'Driver PIB'!L$2)</f>
        <v>6.7739887077681509</v>
      </c>
      <c r="M10" s="406">
        <f>L10*(1+'Driver PIB'!M$2)</f>
        <v>6.9539578759253873</v>
      </c>
      <c r="N10" s="406">
        <f>M10*(1+'Driver PIB'!N$2)</f>
        <v>7.1525617897463132</v>
      </c>
      <c r="O10" s="406">
        <f>N10*(1+'Driver PIB'!O$2)</f>
        <v>7.3103162387277294</v>
      </c>
      <c r="P10" s="406">
        <f>O10*(1+'Driver PIB'!P$2)</f>
        <v>7.4851430943245933</v>
      </c>
      <c r="Q10" s="406">
        <f>P10*(1+'Driver PIB'!Q$2)</f>
        <v>7.7229679699097007</v>
      </c>
      <c r="R10" s="406">
        <f>Q10*(1+'Driver PIB'!R$2)</f>
        <v>7.914199159465853</v>
      </c>
      <c r="S10" s="406">
        <f>R10*(1+'Driver PIB'!S$2)</f>
        <v>8.1437624052099569</v>
      </c>
      <c r="T10" s="406">
        <f>S10*(1+'Driver PIB'!T$2)</f>
        <v>8.3372324647782481</v>
      </c>
      <c r="U10" s="406">
        <f>T10*(1+'Driver PIB'!U$2)</f>
        <v>8.535103765635947</v>
      </c>
      <c r="V10" s="406">
        <f>U10*(1+'Driver PIB'!V$2)</f>
        <v>8.7538219276386027</v>
      </c>
      <c r="W10" s="406">
        <f>V10*(1+'Driver PIB'!W$2)</f>
        <v>8.9532115150922245</v>
      </c>
      <c r="X10" s="406">
        <f>W10*(1+'Driver PIB'!X$2)</f>
        <v>9.16371861681246</v>
      </c>
      <c r="Y10" s="406">
        <f>X10*(1+'Driver PIB'!Y$2)</f>
        <v>9.3955135351687957</v>
      </c>
      <c r="Z10" s="406">
        <f>Y10*(1+'Driver PIB'!Z$2)</f>
        <v>9.6097032471689694</v>
      </c>
      <c r="AA10" s="406">
        <f>Z10*(1+'Driver PIB'!AA$2)</f>
        <v>9.8298311600272648</v>
      </c>
      <c r="AB10" s="406">
        <f>AA10*(1+'Driver PIB'!AB$2)</f>
        <v>10.049632594924891</v>
      </c>
      <c r="AC10" s="406">
        <f>AB10*(1+'Driver PIB'!AC$2)</f>
        <v>10.226210397284119</v>
      </c>
      <c r="AD10" s="406">
        <f>AC10*(1+'Driver PIB'!AD$2)</f>
        <v>10.451118328199748</v>
      </c>
      <c r="AE10" s="406">
        <f>AD10*(1+'Driver PIB'!AE$2)</f>
        <v>10.64619731500551</v>
      </c>
      <c r="AF10" s="406">
        <f>AE10*(1+'Driver PIB'!AF$2)</f>
        <v>10.890375267929256</v>
      </c>
      <c r="AG10" s="406">
        <f>AF10*(1+'Driver PIB'!AG$2)</f>
        <v>11.091879882030451</v>
      </c>
      <c r="AH10" s="406">
        <f>AG10*(1+'Driver PIB'!AH$2)</f>
        <v>11.291435639057578</v>
      </c>
      <c r="AI10" s="406">
        <f>AH10*(1+'Driver PIB'!AI$2)</f>
        <v>11.498330629833402</v>
      </c>
      <c r="AJ10" s="406">
        <f>AI10*(1+'Driver PIB'!AJ$2)</f>
        <v>11.706780191923629</v>
      </c>
      <c r="AK10" s="450"/>
    </row>
    <row r="11" spans="1:37" ht="14.25" customHeight="1" x14ac:dyDescent="0.45">
      <c r="A11" s="618">
        <v>1</v>
      </c>
      <c r="B11" s="400"/>
      <c r="C11" s="405" t="s">
        <v>489</v>
      </c>
      <c r="D11" s="406"/>
      <c r="E11" s="406"/>
      <c r="F11" s="406"/>
      <c r="G11" s="406"/>
      <c r="H11" s="482">
        <f>G11*(1+'Driver PIB'!H$2)</f>
        <v>0</v>
      </c>
      <c r="I11" s="482">
        <f>H11*(1+'Driver PIB'!I$2)</f>
        <v>0</v>
      </c>
      <c r="J11" s="482">
        <f>I11*(1+'Driver PIB'!J$2)</f>
        <v>0</v>
      </c>
      <c r="K11" s="482">
        <f>J11*(1+'Driver PIB'!K$2)</f>
        <v>0</v>
      </c>
      <c r="L11" s="406">
        <f>K11*(1+'Driver PIB'!L$2)</f>
        <v>0</v>
      </c>
      <c r="M11" s="406">
        <f>L11*(1+'Driver PIB'!M$2)</f>
        <v>0</v>
      </c>
      <c r="N11" s="406">
        <f>M11*(1+'Driver PIB'!N$2)</f>
        <v>0</v>
      </c>
      <c r="O11" s="406">
        <f>N11*(1+'Driver PIB'!O$2)</f>
        <v>0</v>
      </c>
      <c r="P11" s="406">
        <f>O11*(1+'Driver PIB'!P$2)</f>
        <v>0</v>
      </c>
      <c r="Q11" s="406">
        <f>P11*(1+'Driver PIB'!Q$2)</f>
        <v>0</v>
      </c>
      <c r="R11" s="406">
        <f>Q11*(1+'Driver PIB'!R$2)</f>
        <v>0</v>
      </c>
      <c r="S11" s="406">
        <f>R11*(1+'Driver PIB'!S$2)</f>
        <v>0</v>
      </c>
      <c r="T11" s="406">
        <f>S11*(1+'Driver PIB'!T$2)</f>
        <v>0</v>
      </c>
      <c r="U11" s="406">
        <f>T11*(1+'Driver PIB'!U$2)</f>
        <v>0</v>
      </c>
      <c r="V11" s="406">
        <f>U11*(1+'Driver PIB'!V$2)</f>
        <v>0</v>
      </c>
      <c r="W11" s="406">
        <f>V11*(1+'Driver PIB'!W$2)</f>
        <v>0</v>
      </c>
      <c r="X11" s="406">
        <f>W11*(1+'Driver PIB'!X$2)</f>
        <v>0</v>
      </c>
      <c r="Y11" s="406">
        <f>X11*(1+'Driver PIB'!Y$2)</f>
        <v>0</v>
      </c>
      <c r="Z11" s="406">
        <f>Y11*(1+'Driver PIB'!Z$2)</f>
        <v>0</v>
      </c>
      <c r="AA11" s="406">
        <f>Z11*(1+'Driver PIB'!AA$2)</f>
        <v>0</v>
      </c>
      <c r="AB11" s="406">
        <f>AA11*(1+'Driver PIB'!AB$2)</f>
        <v>0</v>
      </c>
      <c r="AC11" s="406">
        <f>AB11*(1+'Driver PIB'!AC$2)</f>
        <v>0</v>
      </c>
      <c r="AD11" s="406">
        <f>AC11*(1+'Driver PIB'!AD$2)</f>
        <v>0</v>
      </c>
      <c r="AE11" s="406">
        <f>AD11*(1+'Driver PIB'!AE$2)</f>
        <v>0</v>
      </c>
      <c r="AF11" s="406">
        <f>AE11*(1+'Driver PIB'!AF$2)</f>
        <v>0</v>
      </c>
      <c r="AG11" s="406">
        <f>AF11*(1+'Driver PIB'!AG$2)</f>
        <v>0</v>
      </c>
      <c r="AH11" s="406">
        <f>AG11*(1+'Driver PIB'!AH$2)</f>
        <v>0</v>
      </c>
      <c r="AI11" s="406">
        <f>AH11*(1+'Driver PIB'!AI$2)</f>
        <v>0</v>
      </c>
      <c r="AJ11" s="406">
        <f>AI11*(1+'Driver PIB'!AJ$2)</f>
        <v>0</v>
      </c>
      <c r="AK11" s="450"/>
    </row>
    <row r="12" spans="1:37" ht="14.25" customHeight="1" x14ac:dyDescent="0.45">
      <c r="A12" s="618">
        <v>1</v>
      </c>
      <c r="B12" s="400"/>
      <c r="C12" s="408" t="s">
        <v>396</v>
      </c>
      <c r="D12" s="406">
        <f>'Copia de Demandas de energía '!D12*1000*($E$110)</f>
        <v>67.400250903</v>
      </c>
      <c r="E12" s="406">
        <f>'Copia de Demandas de energía '!E12*1000*($E$110)</f>
        <v>68.489353190000003</v>
      </c>
      <c r="F12" s="406">
        <f>'Copia de Demandas de energía '!F12*1000*($E$110)</f>
        <v>53.449159258999998</v>
      </c>
      <c r="G12" s="406">
        <f>'Copia de Demandas de energía '!G12*1000*($E$110)</f>
        <v>69.595462857999991</v>
      </c>
      <c r="H12" s="482">
        <f>G12*(1+'Driver PIB'!H$2)</f>
        <v>71.712914502493803</v>
      </c>
      <c r="I12" s="482">
        <f>H12*(1+'Driver PIB'!I$2)</f>
        <v>73.568576329198748</v>
      </c>
      <c r="J12" s="482">
        <f>I12*(1+'Driver PIB'!J$2)</f>
        <v>75.678043006373045</v>
      </c>
      <c r="K12" s="482">
        <f>J12*(1+'Driver PIB'!K$2)</f>
        <v>77.935982115248422</v>
      </c>
      <c r="L12" s="406">
        <f>K12*(1+'Driver PIB'!L$2)</f>
        <v>80.32601143434664</v>
      </c>
      <c r="M12" s="406">
        <f>L12*(1+'Driver PIB'!M$2)</f>
        <v>82.460087247412318</v>
      </c>
      <c r="N12" s="406">
        <f>M12*(1+'Driver PIB'!N$2)</f>
        <v>84.815134021285928</v>
      </c>
      <c r="O12" s="406">
        <f>N12*(1+'Driver PIB'!O$2)</f>
        <v>86.68578751944851</v>
      </c>
      <c r="P12" s="406">
        <f>O12*(1+'Driver PIB'!P$2)</f>
        <v>88.758885749683287</v>
      </c>
      <c r="Q12" s="406">
        <f>P12*(1+'Driver PIB'!Q$2)</f>
        <v>91.579014996978046</v>
      </c>
      <c r="R12" s="406">
        <f>Q12*(1+'Driver PIB'!R$2)</f>
        <v>93.846635948467963</v>
      </c>
      <c r="S12" s="406">
        <f>R12*(1+'Driver PIB'!S$2)</f>
        <v>96.568798724056961</v>
      </c>
      <c r="T12" s="406">
        <f>S12*(1+'Driver PIB'!T$2)</f>
        <v>98.862968213779425</v>
      </c>
      <c r="U12" s="406">
        <f>T12*(1+'Driver PIB'!U$2)</f>
        <v>101.20932765736659</v>
      </c>
      <c r="V12" s="406">
        <f>U12*(1+'Driver PIB'!V$2)</f>
        <v>103.8028893445565</v>
      </c>
      <c r="W12" s="406">
        <f>V12*(1+'Driver PIB'!W$2)</f>
        <v>106.16725264255294</v>
      </c>
      <c r="X12" s="406">
        <f>W12*(1+'Driver PIB'!X$2)</f>
        <v>108.66344751226094</v>
      </c>
      <c r="Y12" s="406">
        <f>X12*(1+'Driver PIB'!Y$2)</f>
        <v>111.41207347925771</v>
      </c>
      <c r="Z12" s="406">
        <f>Y12*(1+'Driver PIB'!Z$2)</f>
        <v>113.95193677066169</v>
      </c>
      <c r="AA12" s="406">
        <f>Z12*(1+'Driver PIB'!AA$2)</f>
        <v>116.56221529459799</v>
      </c>
      <c r="AB12" s="406">
        <f>AA12*(1+'Driver PIB'!AB$2)</f>
        <v>119.16862244030604</v>
      </c>
      <c r="AC12" s="406">
        <f>AB12*(1+'Driver PIB'!AC$2)</f>
        <v>121.2624834110357</v>
      </c>
      <c r="AD12" s="406">
        <f>AC12*(1+'Driver PIB'!AD$2)</f>
        <v>123.92944342673322</v>
      </c>
      <c r="AE12" s="406">
        <f>AD12*(1+'Driver PIB'!AE$2)</f>
        <v>126.24269158830614</v>
      </c>
      <c r="AF12" s="406">
        <f>AE12*(1+'Driver PIB'!AF$2)</f>
        <v>129.13815567670591</v>
      </c>
      <c r="AG12" s="406">
        <f>AF12*(1+'Driver PIB'!AG$2)</f>
        <v>131.52759897734273</v>
      </c>
      <c r="AH12" s="406">
        <f>AG12*(1+'Driver PIB'!AH$2)</f>
        <v>133.89393271545021</v>
      </c>
      <c r="AI12" s="406">
        <f>AH12*(1+'Driver PIB'!AI$2)</f>
        <v>136.34729514513802</v>
      </c>
      <c r="AJ12" s="406">
        <f>AI12*(1+'Driver PIB'!AJ$2)</f>
        <v>138.81909169371252</v>
      </c>
      <c r="AK12" s="450"/>
    </row>
    <row r="13" spans="1:37" ht="14.25" customHeight="1" x14ac:dyDescent="0.45">
      <c r="A13" s="618" t="s">
        <v>31</v>
      </c>
      <c r="B13" s="400"/>
      <c r="C13" s="405" t="s">
        <v>397</v>
      </c>
      <c r="D13" s="406">
        <f>'Copia de Demandas de energía '!D13*1000*($E$110)</f>
        <v>63.717837964999994</v>
      </c>
      <c r="E13" s="406">
        <f>'Copia de Demandas de energía '!E13*1000*($E$110)</f>
        <v>64.747099466999998</v>
      </c>
      <c r="F13" s="406">
        <f>'Copia de Demandas de energía '!F13*1000*($E$110)</f>
        <v>50.896162399999994</v>
      </c>
      <c r="G13" s="406">
        <f>'Copia de Demandas de energía '!G13*1000*($E$110)</f>
        <v>66.271464726999994</v>
      </c>
      <c r="H13" s="482">
        <f>G13*(1+'Driver PIB'!H$2)</f>
        <v>68.287783265688603</v>
      </c>
      <c r="I13" s="482">
        <f>H13*(1+'Driver PIB'!I$2)</f>
        <v>70.054815515256877</v>
      </c>
      <c r="J13" s="482">
        <f>I13*(1+'Driver PIB'!J$2)</f>
        <v>72.063530462298402</v>
      </c>
      <c r="K13" s="482">
        <f>J13*(1+'Driver PIB'!K$2)</f>
        <v>74.213626544206249</v>
      </c>
      <c r="L13" s="406">
        <f>K13*(1+'Driver PIB'!L$2)</f>
        <v>76.489503982370394</v>
      </c>
      <c r="M13" s="406">
        <f>L13*(1+'Driver PIB'!M$2)</f>
        <v>78.52165269095633</v>
      </c>
      <c r="N13" s="406">
        <f>M13*(1+'Driver PIB'!N$2)</f>
        <v>80.764218409983798</v>
      </c>
      <c r="O13" s="406">
        <f>N13*(1+'Driver PIB'!O$2)</f>
        <v>82.54552630318463</v>
      </c>
      <c r="P13" s="406">
        <f>O13*(1+'Driver PIB'!P$2)</f>
        <v>84.519609822406707</v>
      </c>
      <c r="Q13" s="406">
        <f>P13*(1+'Driver PIB'!Q$2)</f>
        <v>87.205044881858896</v>
      </c>
      <c r="R13" s="406">
        <f>Q13*(1+'Driver PIB'!R$2)</f>
        <v>89.364360385047561</v>
      </c>
      <c r="S13" s="406">
        <f>R13*(1+'Driver PIB'!S$2)</f>
        <v>91.956508018747243</v>
      </c>
      <c r="T13" s="406">
        <f>S13*(1+'Driver PIB'!T$2)</f>
        <v>94.141104056654413</v>
      </c>
      <c r="U13" s="406">
        <f>T13*(1+'Driver PIB'!U$2)</f>
        <v>96.37539736712236</v>
      </c>
      <c r="V13" s="406">
        <f>U13*(1+'Driver PIB'!V$2)</f>
        <v>98.845086119973985</v>
      </c>
      <c r="W13" s="406">
        <f>V13*(1+'Driver PIB'!W$2)</f>
        <v>101.09652339002545</v>
      </c>
      <c r="X13" s="406">
        <f>W13*(1+'Driver PIB'!X$2)</f>
        <v>103.47349573083885</v>
      </c>
      <c r="Y13" s="406">
        <f>X13*(1+'Driver PIB'!Y$2)</f>
        <v>106.09084262874232</v>
      </c>
      <c r="Z13" s="406">
        <f>Y13*(1+'Driver PIB'!Z$2)</f>
        <v>108.50939771287354</v>
      </c>
      <c r="AA13" s="406">
        <f>Z13*(1+'Driver PIB'!AA$2)</f>
        <v>110.99500487780678</v>
      </c>
      <c r="AB13" s="406">
        <f>AA13*(1+'Driver PIB'!AB$2)</f>
        <v>113.4769255681458</v>
      </c>
      <c r="AC13" s="406">
        <f>AB13*(1+'Driver PIB'!AC$2)</f>
        <v>115.47078016392715</v>
      </c>
      <c r="AD13" s="406">
        <f>AC13*(1+'Driver PIB'!AD$2)</f>
        <v>118.01036161579906</v>
      </c>
      <c r="AE13" s="406">
        <f>AD13*(1+'Driver PIB'!AE$2)</f>
        <v>120.21312509561483</v>
      </c>
      <c r="AF13" s="406">
        <f>AE13*(1+'Driver PIB'!AF$2)</f>
        <v>122.97029687553673</v>
      </c>
      <c r="AG13" s="406">
        <f>AF13*(1+'Driver PIB'!AG$2)</f>
        <v>125.24561628448176</v>
      </c>
      <c r="AH13" s="406">
        <f>AG13*(1+'Driver PIB'!AH$2)</f>
        <v>127.4989298830603</v>
      </c>
      <c r="AI13" s="406">
        <f>AH13*(1+'Driver PIB'!AI$2)</f>
        <v>129.8351155343195</v>
      </c>
      <c r="AJ13" s="406">
        <f>AI13*(1+'Driver PIB'!AJ$2)</f>
        <v>132.18885485947359</v>
      </c>
      <c r="AK13" s="450"/>
    </row>
    <row r="14" spans="1:37" ht="14.25" customHeight="1" x14ac:dyDescent="0.45">
      <c r="A14" s="618">
        <v>1</v>
      </c>
      <c r="B14" s="400"/>
      <c r="C14" s="484" t="s">
        <v>398</v>
      </c>
      <c r="D14" s="406">
        <f>'Copia de Demandas de energía '!D14*1000*($E$110)</f>
        <v>3.3384858999999996E-2</v>
      </c>
      <c r="E14" s="406">
        <f>'Copia de Demandas de energía '!E14*1000*($E$110)</f>
        <v>3.7794179999999997E-3</v>
      </c>
      <c r="F14" s="406">
        <f>'Copia de Demandas de energía '!F14*1000*($E$110)</f>
        <v>1.0708351E-2</v>
      </c>
      <c r="G14" s="406">
        <f>'Copia de Demandas de energía '!G14*1000*($E$110)</f>
        <v>2.1416701999999999E-2</v>
      </c>
      <c r="H14" s="482">
        <f>G14*(1+'Driver PIB'!H$2)</f>
        <v>2.2068308139355119E-2</v>
      </c>
      <c r="I14" s="482">
        <f>H14*(1+'Driver PIB'!I$2)</f>
        <v>2.2639353358731042E-2</v>
      </c>
      <c r="J14" s="482">
        <f>I14*(1+'Driver PIB'!J$2)</f>
        <v>2.3288502273742229E-2</v>
      </c>
      <c r="K14" s="482">
        <f>J14*(1+'Driver PIB'!K$2)</f>
        <v>2.3983340802621572E-2</v>
      </c>
      <c r="L14" s="406">
        <f>K14*(1+'Driver PIB'!L$2)</f>
        <v>2.4718827623117737E-2</v>
      </c>
      <c r="M14" s="406">
        <f>L14*(1+'Driver PIB'!M$2)</f>
        <v>2.5375549539416932E-2</v>
      </c>
      <c r="N14" s="406">
        <f>M14*(1+'Driver PIB'!N$2)</f>
        <v>2.6100271135924207E-2</v>
      </c>
      <c r="O14" s="406">
        <f>N14*(1+'Driver PIB'!O$2)</f>
        <v>2.6675929761791083E-2</v>
      </c>
      <c r="P14" s="406">
        <f>O14*(1+'Driver PIB'!P$2)</f>
        <v>2.7313886967482146E-2</v>
      </c>
      <c r="Q14" s="406">
        <f>P14*(1+'Driver PIB'!Q$2)</f>
        <v>2.8181728996409087E-2</v>
      </c>
      <c r="R14" s="406">
        <f>Q14*(1+'Driver PIB'!R$2)</f>
        <v>2.8879546931266511E-2</v>
      </c>
      <c r="S14" s="406">
        <f>R14*(1+'Driver PIB'!S$2)</f>
        <v>2.971724161086416E-2</v>
      </c>
      <c r="T14" s="406">
        <f>S14*(1+'Driver PIB'!T$2)</f>
        <v>3.0423229361806033E-2</v>
      </c>
      <c r="U14" s="406">
        <f>T14*(1+'Driver PIB'!U$2)</f>
        <v>3.1145277594903108E-2</v>
      </c>
      <c r="V14" s="406">
        <f>U14*(1+'Driver PIB'!V$2)</f>
        <v>3.1943397694865615E-2</v>
      </c>
      <c r="W14" s="406">
        <f>V14*(1+'Driver PIB'!W$2)</f>
        <v>3.2670986277417963E-2</v>
      </c>
      <c r="X14" s="406">
        <f>W14*(1+'Driver PIB'!X$2)</f>
        <v>3.3439143560422796E-2</v>
      </c>
      <c r="Y14" s="406">
        <f>X14*(1+'Driver PIB'!Y$2)</f>
        <v>3.4284981792215875E-2</v>
      </c>
      <c r="Z14" s="406">
        <f>Y14*(1+'Driver PIB'!Z$2)</f>
        <v>3.50665772152354E-2</v>
      </c>
      <c r="AA14" s="406">
        <f>Z14*(1+'Driver PIB'!AA$2)</f>
        <v>3.586984160903945E-2</v>
      </c>
      <c r="AB14" s="406">
        <f>AA14*(1+'Driver PIB'!AB$2)</f>
        <v>3.6671914658602957E-2</v>
      </c>
      <c r="AC14" s="406">
        <f>AB14*(1+'Driver PIB'!AC$2)</f>
        <v>3.7316261209340687E-2</v>
      </c>
      <c r="AD14" s="406">
        <f>AC14*(1+'Driver PIB'!AD$2)</f>
        <v>3.8136968272079089E-2</v>
      </c>
      <c r="AE14" s="406">
        <f>AD14*(1+'Driver PIB'!AE$2)</f>
        <v>3.8848827127440665E-2</v>
      </c>
      <c r="AF14" s="406">
        <f>AE14*(1+'Driver PIB'!AF$2)</f>
        <v>3.9739852044675353E-2</v>
      </c>
      <c r="AG14" s="406">
        <f>AF14*(1+'Driver PIB'!AG$2)</f>
        <v>4.0475158528950755E-2</v>
      </c>
      <c r="AH14" s="406">
        <f>AG14*(1+'Driver PIB'!AH$2)</f>
        <v>4.12033534775927E-2</v>
      </c>
      <c r="AI14" s="406">
        <f>AH14*(1+'Driver PIB'!AI$2)</f>
        <v>4.1958329878307589E-2</v>
      </c>
      <c r="AJ14" s="406">
        <f>AI14*(1+'Driver PIB'!AJ$2)</f>
        <v>4.2718979034323132E-2</v>
      </c>
      <c r="AK14" s="450"/>
    </row>
    <row r="15" spans="1:37" ht="14.25" customHeight="1" x14ac:dyDescent="0.45">
      <c r="A15" s="618">
        <v>1</v>
      </c>
      <c r="B15" s="400"/>
      <c r="C15" s="484" t="s">
        <v>399</v>
      </c>
      <c r="D15" s="406">
        <f>'Copia de Demandas de energía '!D15*1000*($E$110)</f>
        <v>0.20597828100000001</v>
      </c>
      <c r="E15" s="406">
        <f>'Copia de Demandas de energía '!E15*1000*($E$110)</f>
        <v>0.21920624399999999</v>
      </c>
      <c r="F15" s="406">
        <f>'Copia de Demandas de energía '!F15*1000*($E$110)</f>
        <v>0.18267186999999999</v>
      </c>
      <c r="G15" s="406">
        <f>'Copia de Demandas de energía '!G15*1000*($E$110)</f>
        <v>0.21416701999999999</v>
      </c>
      <c r="H15" s="482">
        <f>G15*(1+'Driver PIB'!H$2)</f>
        <v>0.22068308139355119</v>
      </c>
      <c r="I15" s="482">
        <f>H15*(1+'Driver PIB'!I$2)</f>
        <v>0.2263935335873104</v>
      </c>
      <c r="J15" s="482">
        <f>I15*(1+'Driver PIB'!J$2)</f>
        <v>0.23288502273742226</v>
      </c>
      <c r="K15" s="482">
        <f>J15*(1+'Driver PIB'!K$2)</f>
        <v>0.23983340802621567</v>
      </c>
      <c r="L15" s="406">
        <f>K15*(1+'Driver PIB'!L$2)</f>
        <v>0.24718827623117731</v>
      </c>
      <c r="M15" s="406">
        <f>L15*(1+'Driver PIB'!M$2)</f>
        <v>0.25375549539416925</v>
      </c>
      <c r="N15" s="406">
        <f>M15*(1+'Driver PIB'!N$2)</f>
        <v>0.26100271135924202</v>
      </c>
      <c r="O15" s="406">
        <f>N15*(1+'Driver PIB'!O$2)</f>
        <v>0.26675929761791078</v>
      </c>
      <c r="P15" s="406">
        <f>O15*(1+'Driver PIB'!P$2)</f>
        <v>0.27313886967482137</v>
      </c>
      <c r="Q15" s="406">
        <f>P15*(1+'Driver PIB'!Q$2)</f>
        <v>0.28181728996409078</v>
      </c>
      <c r="R15" s="406">
        <f>Q15*(1+'Driver PIB'!R$2)</f>
        <v>0.28879546931266503</v>
      </c>
      <c r="S15" s="406">
        <f>R15*(1+'Driver PIB'!S$2)</f>
        <v>0.29717241610864154</v>
      </c>
      <c r="T15" s="406">
        <f>S15*(1+'Driver PIB'!T$2)</f>
        <v>0.30423229361806026</v>
      </c>
      <c r="U15" s="406">
        <f>T15*(1+'Driver PIB'!U$2)</f>
        <v>0.31145277594903104</v>
      </c>
      <c r="V15" s="406">
        <f>U15*(1+'Driver PIB'!V$2)</f>
        <v>0.31943397694865611</v>
      </c>
      <c r="W15" s="406">
        <f>V15*(1+'Driver PIB'!W$2)</f>
        <v>0.32670986277417957</v>
      </c>
      <c r="X15" s="406">
        <f>W15*(1+'Driver PIB'!X$2)</f>
        <v>0.3343914356042279</v>
      </c>
      <c r="Y15" s="406">
        <f>X15*(1+'Driver PIB'!Y$2)</f>
        <v>0.34284981792215868</v>
      </c>
      <c r="Z15" s="406">
        <f>Y15*(1+'Driver PIB'!Z$2)</f>
        <v>0.35066577215235395</v>
      </c>
      <c r="AA15" s="406">
        <f>Z15*(1+'Driver PIB'!AA$2)</f>
        <v>0.35869841609039443</v>
      </c>
      <c r="AB15" s="406">
        <f>AA15*(1+'Driver PIB'!AB$2)</f>
        <v>0.3667191465860295</v>
      </c>
      <c r="AC15" s="406">
        <f>AB15*(1+'Driver PIB'!AC$2)</f>
        <v>0.37316261209340679</v>
      </c>
      <c r="AD15" s="406">
        <f>AC15*(1+'Driver PIB'!AD$2)</f>
        <v>0.38136968272079086</v>
      </c>
      <c r="AE15" s="406">
        <f>AD15*(1+'Driver PIB'!AE$2)</f>
        <v>0.38848827127440666</v>
      </c>
      <c r="AF15" s="406">
        <f>AE15*(1+'Driver PIB'!AF$2)</f>
        <v>0.39739852044675356</v>
      </c>
      <c r="AG15" s="406">
        <f>AF15*(1+'Driver PIB'!AG$2)</f>
        <v>0.40475158528950761</v>
      </c>
      <c r="AH15" s="406">
        <f>AG15*(1+'Driver PIB'!AH$2)</f>
        <v>0.41203353477592702</v>
      </c>
      <c r="AI15" s="406">
        <f>AH15*(1+'Driver PIB'!AI$2)</f>
        <v>0.41958329878307593</v>
      </c>
      <c r="AJ15" s="406">
        <f>AI15*(1+'Driver PIB'!AJ$2)</f>
        <v>0.4271897903432314</v>
      </c>
      <c r="AK15" s="450"/>
    </row>
    <row r="16" spans="1:37" ht="14.25" customHeight="1" x14ac:dyDescent="0.45">
      <c r="A16" s="4"/>
      <c r="B16" s="485"/>
      <c r="C16" s="404" t="s">
        <v>25</v>
      </c>
      <c r="D16" s="406">
        <f t="shared" ref="D16:AJ16" si="0">SUM(D6:D15)</f>
        <v>175.21461023468612</v>
      </c>
      <c r="E16" s="406">
        <f t="shared" si="0"/>
        <v>175.54719911317159</v>
      </c>
      <c r="F16" s="406">
        <f t="shared" si="0"/>
        <v>137.87858783654428</v>
      </c>
      <c r="G16" s="406">
        <f t="shared" si="0"/>
        <v>165.37994696871618</v>
      </c>
      <c r="H16" s="483">
        <f t="shared" si="0"/>
        <v>170.41165487458514</v>
      </c>
      <c r="I16" s="483">
        <f t="shared" si="0"/>
        <v>174.82127070138839</v>
      </c>
      <c r="J16" s="483">
        <f t="shared" si="0"/>
        <v>179.83400390089548</v>
      </c>
      <c r="K16" s="483">
        <f t="shared" si="0"/>
        <v>185.1995526701638</v>
      </c>
      <c r="L16" s="486">
        <f t="shared" si="0"/>
        <v>190.87898787778096</v>
      </c>
      <c r="M16" s="486">
        <f t="shared" si="0"/>
        <v>195.95019985480499</v>
      </c>
      <c r="N16" s="486">
        <f t="shared" si="0"/>
        <v>201.54650591525524</v>
      </c>
      <c r="O16" s="486">
        <f t="shared" si="0"/>
        <v>205.9917465044901</v>
      </c>
      <c r="P16" s="486">
        <f t="shared" si="0"/>
        <v>210.91805723363495</v>
      </c>
      <c r="Q16" s="486">
        <f t="shared" si="0"/>
        <v>217.61954043684526</v>
      </c>
      <c r="R16" s="486">
        <f t="shared" si="0"/>
        <v>223.00809620329991</v>
      </c>
      <c r="S16" s="486">
        <f t="shared" si="0"/>
        <v>229.47678132988165</v>
      </c>
      <c r="T16" s="486">
        <f t="shared" si="0"/>
        <v>234.92842448256366</v>
      </c>
      <c r="U16" s="486">
        <f t="shared" si="0"/>
        <v>240.50408680902501</v>
      </c>
      <c r="V16" s="486">
        <f t="shared" si="0"/>
        <v>246.66717670991011</v>
      </c>
      <c r="W16" s="486">
        <f t="shared" si="0"/>
        <v>252.28562165990991</v>
      </c>
      <c r="X16" s="486">
        <f t="shared" si="0"/>
        <v>258.21733844464046</v>
      </c>
      <c r="Y16" s="486">
        <f t="shared" si="0"/>
        <v>264.74890814748511</v>
      </c>
      <c r="Z16" s="486">
        <f t="shared" si="0"/>
        <v>270.78439435866551</v>
      </c>
      <c r="AA16" s="486">
        <f t="shared" si="0"/>
        <v>276.98720853841985</v>
      </c>
      <c r="AB16" s="486">
        <f t="shared" si="0"/>
        <v>283.18082314826262</v>
      </c>
      <c r="AC16" s="486">
        <f t="shared" si="0"/>
        <v>288.15647245180526</v>
      </c>
      <c r="AD16" s="486">
        <f t="shared" si="0"/>
        <v>294.4939790628851</v>
      </c>
      <c r="AE16" s="486">
        <f t="shared" si="0"/>
        <v>299.99095893163008</v>
      </c>
      <c r="AF16" s="486">
        <f t="shared" si="0"/>
        <v>306.8714605868372</v>
      </c>
      <c r="AG16" s="486">
        <f t="shared" si="0"/>
        <v>312.54950323669146</v>
      </c>
      <c r="AH16" s="486">
        <f t="shared" si="0"/>
        <v>318.17263055056509</v>
      </c>
      <c r="AI16" s="486">
        <f t="shared" si="0"/>
        <v>324.00256445508785</v>
      </c>
      <c r="AJ16" s="486">
        <f t="shared" si="0"/>
        <v>329.87630342216357</v>
      </c>
      <c r="AK16" s="487"/>
    </row>
    <row r="17" spans="1:37" ht="14.25" customHeight="1" x14ac:dyDescent="0.45">
      <c r="A17" s="618"/>
      <c r="B17" s="400"/>
      <c r="C17" s="410"/>
      <c r="D17" s="401"/>
      <c r="E17" s="401"/>
      <c r="F17" s="401"/>
      <c r="G17" s="401"/>
      <c r="H17" s="401"/>
      <c r="I17" s="401"/>
      <c r="J17" s="401"/>
      <c r="K17" s="417"/>
      <c r="L17" s="401"/>
      <c r="M17" s="401"/>
      <c r="N17" s="401"/>
      <c r="O17" s="401"/>
      <c r="P17" s="417"/>
      <c r="Q17" s="401"/>
      <c r="R17" s="401"/>
      <c r="S17" s="401"/>
      <c r="T17" s="401"/>
      <c r="U17" s="417"/>
      <c r="V17" s="401"/>
      <c r="W17" s="401"/>
      <c r="X17" s="401"/>
      <c r="Y17" s="401"/>
      <c r="Z17" s="417"/>
      <c r="AA17" s="401"/>
      <c r="AB17" s="401"/>
      <c r="AC17" s="401"/>
      <c r="AD17" s="401"/>
      <c r="AE17" s="417"/>
      <c r="AF17" s="401"/>
      <c r="AG17" s="401"/>
      <c r="AH17" s="401"/>
      <c r="AI17" s="401"/>
      <c r="AJ17" s="417"/>
      <c r="AK17" s="450"/>
    </row>
    <row r="18" spans="1:37" ht="14.25" customHeight="1" x14ac:dyDescent="0.45">
      <c r="A18" s="618"/>
      <c r="B18" s="400"/>
      <c r="C18" s="404" t="s">
        <v>492</v>
      </c>
      <c r="D18" s="403"/>
      <c r="E18" s="403"/>
      <c r="F18" s="403"/>
      <c r="G18" s="403"/>
      <c r="H18" s="403"/>
      <c r="I18" s="403"/>
      <c r="J18" s="403"/>
      <c r="K18" s="415"/>
      <c r="L18" s="403"/>
      <c r="M18" s="403"/>
      <c r="N18" s="403"/>
      <c r="O18" s="403"/>
      <c r="P18" s="415"/>
      <c r="Q18" s="403"/>
      <c r="R18" s="403"/>
      <c r="S18" s="403"/>
      <c r="T18" s="403"/>
      <c r="U18" s="415"/>
      <c r="V18" s="403"/>
      <c r="W18" s="403"/>
      <c r="X18" s="403"/>
      <c r="Y18" s="403"/>
      <c r="Z18" s="415"/>
      <c r="AA18" s="403"/>
      <c r="AB18" s="403"/>
      <c r="AC18" s="403"/>
      <c r="AD18" s="403"/>
      <c r="AE18" s="415"/>
      <c r="AF18" s="403"/>
      <c r="AG18" s="403"/>
      <c r="AH18" s="403"/>
      <c r="AI18" s="403"/>
      <c r="AJ18" s="415"/>
      <c r="AK18" s="450"/>
    </row>
    <row r="19" spans="1:37" ht="14.25" customHeight="1" x14ac:dyDescent="0.45">
      <c r="A19" s="618"/>
      <c r="B19" s="400"/>
      <c r="C19" s="405" t="s">
        <v>480</v>
      </c>
      <c r="D19" s="406"/>
      <c r="E19" s="406"/>
      <c r="F19" s="406"/>
      <c r="G19" s="406"/>
      <c r="H19" s="406">
        <f>G19*(1+'Driver PIB'!H$2)</f>
        <v>0</v>
      </c>
      <c r="I19" s="406">
        <f>H19*(1+'Driver PIB'!I$2)</f>
        <v>0</v>
      </c>
      <c r="J19" s="406">
        <f>I19*(1+'Driver PIB'!J$2)</f>
        <v>0</v>
      </c>
      <c r="K19" s="406">
        <f>J19*(1+'Driver PIB'!K$2)</f>
        <v>0</v>
      </c>
      <c r="L19" s="406">
        <f>K19*(1+'Driver PIB'!L$2)</f>
        <v>0</v>
      </c>
      <c r="M19" s="406">
        <f>L19*(1+'Driver PIB'!M$2)</f>
        <v>0</v>
      </c>
      <c r="N19" s="406">
        <f>M19*(1+'Driver PIB'!N$2)</f>
        <v>0</v>
      </c>
      <c r="O19" s="406">
        <f>N19*(1+'Driver PIB'!O$2)</f>
        <v>0</v>
      </c>
      <c r="P19" s="406">
        <f>O19*(1+'Driver PIB'!P$2)</f>
        <v>0</v>
      </c>
      <c r="Q19" s="406">
        <f>P19*(1+'Driver PIB'!Q$2)</f>
        <v>0</v>
      </c>
      <c r="R19" s="406">
        <f>Q19*(1+'Driver PIB'!R$2)</f>
        <v>0</v>
      </c>
      <c r="S19" s="406">
        <f>R19*(1+'Driver PIB'!S$2)</f>
        <v>0</v>
      </c>
      <c r="T19" s="406">
        <f>S19*(1+'Driver PIB'!T$2)</f>
        <v>0</v>
      </c>
      <c r="U19" s="406">
        <f>T19*(1+'Driver PIB'!U$2)</f>
        <v>0</v>
      </c>
      <c r="V19" s="406">
        <f>U19*(1+'Driver PIB'!V$2)</f>
        <v>0</v>
      </c>
      <c r="W19" s="406">
        <f>V19*(1+'Driver PIB'!W$2)</f>
        <v>0</v>
      </c>
      <c r="X19" s="406">
        <f>W19*(1+'Driver PIB'!X$2)</f>
        <v>0</v>
      </c>
      <c r="Y19" s="406">
        <f>X19*(1+'Driver PIB'!Y$2)</f>
        <v>0</v>
      </c>
      <c r="Z19" s="406">
        <f>Y19*(1+'Driver PIB'!Z$2)</f>
        <v>0</v>
      </c>
      <c r="AA19" s="406">
        <f>Z19*(1+'Driver PIB'!AA$2)</f>
        <v>0</v>
      </c>
      <c r="AB19" s="406">
        <f>AA19*(1+'Driver PIB'!AB$2)</f>
        <v>0</v>
      </c>
      <c r="AC19" s="406">
        <f>AB19*(1+'Driver PIB'!AC$2)</f>
        <v>0</v>
      </c>
      <c r="AD19" s="406">
        <f>AC19*(1+'Driver PIB'!AD$2)</f>
        <v>0</v>
      </c>
      <c r="AE19" s="406">
        <f>AD19*(1+'Driver PIB'!AE$2)</f>
        <v>0</v>
      </c>
      <c r="AF19" s="406">
        <f>AE19*(1+'Driver PIB'!AF$2)</f>
        <v>0</v>
      </c>
      <c r="AG19" s="406">
        <f>AF19*(1+'Driver PIB'!AG$2)</f>
        <v>0</v>
      </c>
      <c r="AH19" s="406">
        <f>AG19*(1+'Driver PIB'!AH$2)</f>
        <v>0</v>
      </c>
      <c r="AI19" s="406">
        <f>AH19*(1+'Driver PIB'!AI$2)</f>
        <v>0</v>
      </c>
      <c r="AJ19" s="406">
        <f>AI19*(1+'Driver PIB'!AJ$2)</f>
        <v>0</v>
      </c>
      <c r="AK19" s="450"/>
    </row>
    <row r="20" spans="1:37" ht="14.25" customHeight="1" x14ac:dyDescent="0.45">
      <c r="A20" s="618"/>
      <c r="B20" s="400"/>
      <c r="C20" s="408" t="s">
        <v>482</v>
      </c>
      <c r="D20" s="406">
        <f>'Copia de Demandas de energía '!D20*1000*($E$110)</f>
        <v>6.2234007592952993</v>
      </c>
      <c r="E20" s="406">
        <f>'Copia de Demandas de energía '!E20*1000*($E$110)</f>
        <v>5.1136779865843902</v>
      </c>
      <c r="F20" s="406">
        <f>'Copia de Demandas de energía '!F20*1000*($E$110)</f>
        <v>4.9900274292765392</v>
      </c>
      <c r="G20" s="406">
        <f>'Copia de Demandas de energía '!G20*1000*($E$110)</f>
        <v>4.7622676883463306</v>
      </c>
      <c r="H20" s="406">
        <f>G20*(1+'Driver PIB'!H$2)</f>
        <v>4.9071603456275019</v>
      </c>
      <c r="I20" s="406">
        <f>H20*(1+'Driver PIB'!I$2)</f>
        <v>5.0341392892957941</v>
      </c>
      <c r="J20" s="406">
        <f>I20*(1+'Driver PIB'!J$2)</f>
        <v>5.1784855524544664</v>
      </c>
      <c r="K20" s="406">
        <f>J20*(1+'Driver PIB'!K$2)</f>
        <v>5.3329914644618421</v>
      </c>
      <c r="L20" s="406">
        <f>K20*(1+'Driver PIB'!L$2)</f>
        <v>5.4965360251721451</v>
      </c>
      <c r="M20" s="406">
        <f>L20*(1+'Driver PIB'!M$2)</f>
        <v>5.6425662385178104</v>
      </c>
      <c r="N20" s="406">
        <f>M20*(1+'Driver PIB'!N$2)</f>
        <v>5.803717018973801</v>
      </c>
      <c r="O20" s="406">
        <f>N20*(1+'Driver PIB'!O$2)</f>
        <v>5.931721810443733</v>
      </c>
      <c r="P20" s="406">
        <f>O20*(1+'Driver PIB'!P$2)</f>
        <v>6.0735794590775072</v>
      </c>
      <c r="Q20" s="406">
        <f>P20*(1+'Driver PIB'!Q$2)</f>
        <v>6.2665548318939051</v>
      </c>
      <c r="R20" s="406">
        <f>Q20*(1+'Driver PIB'!R$2)</f>
        <v>6.4217232515469442</v>
      </c>
      <c r="S20" s="406">
        <f>R20*(1+'Driver PIB'!S$2)</f>
        <v>6.6079949896206918</v>
      </c>
      <c r="T20" s="406">
        <f>S20*(1+'Driver PIB'!T$2)</f>
        <v>6.7649800685875086</v>
      </c>
      <c r="U20" s="406">
        <f>T20*(1+'Driver PIB'!U$2)</f>
        <v>6.9255363937353192</v>
      </c>
      <c r="V20" s="406">
        <f>U20*(1+'Driver PIB'!V$2)</f>
        <v>7.1030082362006617</v>
      </c>
      <c r="W20" s="406">
        <f>V20*(1+'Driver PIB'!W$2)</f>
        <v>7.2647965263444361</v>
      </c>
      <c r="X20" s="406">
        <f>W20*(1+'Driver PIB'!X$2)</f>
        <v>7.4356057671146454</v>
      </c>
      <c r="Y20" s="406">
        <f>X20*(1+'Driver PIB'!Y$2)</f>
        <v>7.6236883244026989</v>
      </c>
      <c r="Z20" s="406">
        <f>Y20*(1+'Driver PIB'!Z$2)</f>
        <v>7.7974857012539651</v>
      </c>
      <c r="AA20" s="406">
        <f>Z20*(1+'Driver PIB'!AA$2)</f>
        <v>7.9761014408674749</v>
      </c>
      <c r="AB20" s="406">
        <f>AA20*(1+'Driver PIB'!AB$2)</f>
        <v>8.154452270403679</v>
      </c>
      <c r="AC20" s="406">
        <f>AB20*(1+'Driver PIB'!AC$2)</f>
        <v>8.2977306686685335</v>
      </c>
      <c r="AD20" s="406">
        <f>AC20*(1+'Driver PIB'!AD$2)</f>
        <v>8.4802250007312718</v>
      </c>
      <c r="AE20" s="406">
        <f>AD20*(1+'Driver PIB'!AE$2)</f>
        <v>8.6385155921375336</v>
      </c>
      <c r="AF20" s="406">
        <f>AE20*(1+'Driver PIB'!AF$2)</f>
        <v>8.8366459659391694</v>
      </c>
      <c r="AG20" s="406">
        <f>AF20*(1+'Driver PIB'!AG$2)</f>
        <v>9.0001504266678243</v>
      </c>
      <c r="AH20" s="406">
        <f>AG20*(1+'Driver PIB'!AH$2)</f>
        <v>9.1620735497861521</v>
      </c>
      <c r="AI20" s="406">
        <f>AH20*(1+'Driver PIB'!AI$2)</f>
        <v>9.3299518589015591</v>
      </c>
      <c r="AJ20" s="406">
        <f>AI20*(1+'Driver PIB'!AJ$2)</f>
        <v>9.4990915750847851</v>
      </c>
      <c r="AK20" s="450"/>
    </row>
    <row r="21" spans="1:37" ht="14.25" customHeight="1" x14ac:dyDescent="0.45">
      <c r="A21" s="618">
        <v>2</v>
      </c>
      <c r="B21" s="400"/>
      <c r="C21" s="405" t="s">
        <v>484</v>
      </c>
      <c r="D21" s="406">
        <f>'Copia de Demandas de energía '!D21*1000*($E$110)</f>
        <v>27.754763309491995</v>
      </c>
      <c r="E21" s="406">
        <f>'Copia de Demandas de energía '!E21*1000*($E$110)</f>
        <v>23.891869304125997</v>
      </c>
      <c r="F21" s="406">
        <f>'Copia de Demandas de energía '!F21*1000*($E$110)</f>
        <v>23.314155342433498</v>
      </c>
      <c r="G21" s="406">
        <f>'Copia de Demandas de energía '!G21*1000*($E$110)</f>
        <v>22.250027764528998</v>
      </c>
      <c r="H21" s="406">
        <f>G21*(1+'Driver PIB'!H$2)</f>
        <v>22.926987956261083</v>
      </c>
      <c r="I21" s="406">
        <f>H21*(1+'Driver PIB'!I$2)</f>
        <v>23.520252595509266</v>
      </c>
      <c r="J21" s="406">
        <f>I21*(1+'Driver PIB'!J$2)</f>
        <v>24.194659952081384</v>
      </c>
      <c r="K21" s="406">
        <f>J21*(1+'Driver PIB'!K$2)</f>
        <v>24.916534709428703</v>
      </c>
      <c r="L21" s="406">
        <f>K21*(1+'Driver PIB'!L$2)</f>
        <v>25.68063938700627</v>
      </c>
      <c r="M21" s="406">
        <f>L21*(1+'Driver PIB'!M$2)</f>
        <v>26.362914411014717</v>
      </c>
      <c r="N21" s="406">
        <f>M21*(1+'Driver PIB'!N$2)</f>
        <v>27.115834988788116</v>
      </c>
      <c r="O21" s="406">
        <f>N21*(1+'Driver PIB'!O$2)</f>
        <v>27.713892542580879</v>
      </c>
      <c r="P21" s="406">
        <f>O21*(1+'Driver PIB'!P$2)</f>
        <v>28.376672719435721</v>
      </c>
      <c r="Q21" s="406">
        <f>P21*(1+'Driver PIB'!Q$2)</f>
        <v>29.278282558282505</v>
      </c>
      <c r="R21" s="406">
        <f>Q21*(1+'Driver PIB'!R$2)</f>
        <v>30.003252650557403</v>
      </c>
      <c r="S21" s="406">
        <f>R21*(1+'Driver PIB'!S$2)</f>
        <v>30.873542104052433</v>
      </c>
      <c r="T21" s="406">
        <f>S21*(1+'Driver PIB'!T$2)</f>
        <v>31.606999900676492</v>
      </c>
      <c r="U21" s="406">
        <f>T21*(1+'Driver PIB'!U$2)</f>
        <v>32.357143094233514</v>
      </c>
      <c r="V21" s="406">
        <f>U21*(1+'Driver PIB'!V$2)</f>
        <v>33.18631811770792</v>
      </c>
      <c r="W21" s="406">
        <f>V21*(1+'Driver PIB'!W$2)</f>
        <v>33.942217236206375</v>
      </c>
      <c r="X21" s="406">
        <f>W21*(1+'Driver PIB'!X$2)</f>
        <v>34.740263586871507</v>
      </c>
      <c r="Y21" s="406">
        <f>X21*(1+'Driver PIB'!Y$2)</f>
        <v>35.61901345889644</v>
      </c>
      <c r="Z21" s="406">
        <f>Y21*(1+'Driver PIB'!Z$2)</f>
        <v>36.431020828789954</v>
      </c>
      <c r="AA21" s="406">
        <f>Z21*(1+'Driver PIB'!AA$2)</f>
        <v>37.265540311033192</v>
      </c>
      <c r="AB21" s="406">
        <f>AA21*(1+'Driver PIB'!AB$2)</f>
        <v>38.098822093726369</v>
      </c>
      <c r="AC21" s="406">
        <f>AB21*(1+'Driver PIB'!AC$2)</f>
        <v>38.768240225607407</v>
      </c>
      <c r="AD21" s="406">
        <f>AC21*(1+'Driver PIB'!AD$2)</f>
        <v>39.620881072572288</v>
      </c>
      <c r="AE21" s="406">
        <f>AD21*(1+'Driver PIB'!AE$2)</f>
        <v>40.360438418807064</v>
      </c>
      <c r="AF21" s="406">
        <f>AE21*(1+'Driver PIB'!AF$2)</f>
        <v>41.286133194191201</v>
      </c>
      <c r="AG21" s="406">
        <f>AF21*(1+'Driver PIB'!AG$2)</f>
        <v>42.050050518649748</v>
      </c>
      <c r="AH21" s="406">
        <f>AG21*(1+'Driver PIB'!AH$2)</f>
        <v>42.806579596995846</v>
      </c>
      <c r="AI21" s="406">
        <f>AH21*(1+'Driver PIB'!AI$2)</f>
        <v>43.590932196078121</v>
      </c>
      <c r="AJ21" s="406">
        <f>AI21*(1+'Driver PIB'!AJ$2)</f>
        <v>44.381178277870333</v>
      </c>
      <c r="AK21" s="450"/>
    </row>
    <row r="22" spans="1:37" ht="14.25" customHeight="1" x14ac:dyDescent="0.45">
      <c r="A22" s="618">
        <v>2</v>
      </c>
      <c r="B22" s="400"/>
      <c r="C22" s="405" t="s">
        <v>486</v>
      </c>
      <c r="D22" s="406">
        <f>'Copia de Demandas de energía '!D22*1000*($E$110)</f>
        <v>2.7650976459832797</v>
      </c>
      <c r="E22" s="406">
        <f>'Copia de Demandas de energía '!E22*1000*($E$110)</f>
        <v>3.1615982402780998</v>
      </c>
      <c r="F22" s="406">
        <f>'Copia de Demandas de energía '!F22*1000*($E$110)</f>
        <v>0.73102634261788002</v>
      </c>
      <c r="G22" s="406">
        <f>'Copia de Demandas de energía '!G22*1000*($E$110)</f>
        <v>3.4236403448997992</v>
      </c>
      <c r="H22" s="406">
        <f>G22*(1+'Driver PIB'!H$2)</f>
        <v>3.5278050789321722</v>
      </c>
      <c r="I22" s="406">
        <f>H22*(1+'Driver PIB'!I$2)</f>
        <v>3.6190914708247037</v>
      </c>
      <c r="J22" s="406">
        <f>I22*(1+'Driver PIB'!J$2)</f>
        <v>3.7228633968327434</v>
      </c>
      <c r="K22" s="406">
        <f>J22*(1+'Driver PIB'!K$2)</f>
        <v>3.8339391927541762</v>
      </c>
      <c r="L22" s="406">
        <f>K22*(1+'Driver PIB'!L$2)</f>
        <v>3.9515129607317458</v>
      </c>
      <c r="M22" s="406">
        <f>L22*(1+'Driver PIB'!M$2)</f>
        <v>4.0564954948316192</v>
      </c>
      <c r="N22" s="406">
        <f>M22*(1+'Driver PIB'!N$2)</f>
        <v>4.1723483510100587</v>
      </c>
      <c r="O22" s="406">
        <f>N22*(1+'Driver PIB'!O$2)</f>
        <v>4.2643722348184721</v>
      </c>
      <c r="P22" s="406">
        <f>O22*(1+'Driver PIB'!P$2)</f>
        <v>4.3663550717521629</v>
      </c>
      <c r="Q22" s="406">
        <f>P22*(1+'Driver PIB'!Q$2)</f>
        <v>4.5050869354739422</v>
      </c>
      <c r="R22" s="406">
        <f>Q22*(1+'Driver PIB'!R$2)</f>
        <v>4.6166390145556111</v>
      </c>
      <c r="S22" s="406">
        <f>R22*(1+'Driver PIB'!S$2)</f>
        <v>4.7505515703626822</v>
      </c>
      <c r="T22" s="406">
        <f>S22*(1+'Driver PIB'!T$2)</f>
        <v>4.8634096634121944</v>
      </c>
      <c r="U22" s="406">
        <f>T22*(1+'Driver PIB'!U$2)</f>
        <v>4.9788351599146328</v>
      </c>
      <c r="V22" s="406">
        <f>U22*(1+'Driver PIB'!V$2)</f>
        <v>5.1064213855765992</v>
      </c>
      <c r="W22" s="406">
        <f>V22*(1+'Driver PIB'!W$2)</f>
        <v>5.2227325536413494</v>
      </c>
      <c r="X22" s="406">
        <f>W22*(1+'Driver PIB'!X$2)</f>
        <v>5.3455289704437101</v>
      </c>
      <c r="Y22" s="406">
        <f>X22*(1+'Driver PIB'!Y$2)</f>
        <v>5.4807433417145761</v>
      </c>
      <c r="Z22" s="406">
        <f>Y22*(1+'Driver PIB'!Z$2)</f>
        <v>5.6056879584739017</v>
      </c>
      <c r="AA22" s="406">
        <f>Z22*(1+'Driver PIB'!AA$2)</f>
        <v>5.7340965428698105</v>
      </c>
      <c r="AB22" s="406">
        <f>AA22*(1+'Driver PIB'!AB$2)</f>
        <v>5.862314680846537</v>
      </c>
      <c r="AC22" s="406">
        <f>AB22*(1+'Driver PIB'!AC$2)</f>
        <v>5.9653189084443579</v>
      </c>
      <c r="AD22" s="406">
        <f>AC22*(1+'Driver PIB'!AD$2)</f>
        <v>6.0965158505008619</v>
      </c>
      <c r="AE22" s="406">
        <f>AD22*(1+'Driver PIB'!AE$2)</f>
        <v>6.2103124890818204</v>
      </c>
      <c r="AF22" s="406">
        <f>AE22*(1+'Driver PIB'!AF$2)</f>
        <v>6.3527503329177053</v>
      </c>
      <c r="AG22" s="406">
        <f>AF22*(1+'Driver PIB'!AG$2)</f>
        <v>6.4702952726302581</v>
      </c>
      <c r="AH22" s="406">
        <f>AG22*(1+'Driver PIB'!AH$2)</f>
        <v>6.5867033734257401</v>
      </c>
      <c r="AI22" s="406">
        <f>AH22*(1+'Driver PIB'!AI$2)</f>
        <v>6.7073927150869697</v>
      </c>
      <c r="AJ22" s="406">
        <f>AI22*(1+'Driver PIB'!AJ$2)</f>
        <v>6.8289888945009993</v>
      </c>
      <c r="AK22" s="450"/>
    </row>
    <row r="23" spans="1:37" ht="14.25" customHeight="1" x14ac:dyDescent="0.45">
      <c r="A23" s="618">
        <v>2</v>
      </c>
      <c r="B23" s="400"/>
      <c r="C23" s="405" t="s">
        <v>488</v>
      </c>
      <c r="D23" s="406"/>
      <c r="E23" s="406"/>
      <c r="F23" s="406"/>
      <c r="G23" s="406"/>
      <c r="H23" s="406"/>
      <c r="I23" s="406"/>
      <c r="J23" s="406"/>
      <c r="K23" s="406"/>
      <c r="L23" s="406"/>
      <c r="M23" s="406"/>
      <c r="N23" s="406"/>
      <c r="O23" s="406"/>
      <c r="P23" s="406"/>
      <c r="Q23" s="406"/>
      <c r="R23" s="406"/>
      <c r="S23" s="406"/>
      <c r="T23" s="406"/>
      <c r="U23" s="406"/>
      <c r="V23" s="406"/>
      <c r="W23" s="406"/>
      <c r="X23" s="406"/>
      <c r="Y23" s="406"/>
      <c r="Z23" s="406"/>
      <c r="AA23" s="406"/>
      <c r="AB23" s="406"/>
      <c r="AC23" s="406"/>
      <c r="AD23" s="406"/>
      <c r="AE23" s="406"/>
      <c r="AF23" s="406"/>
      <c r="AG23" s="406"/>
      <c r="AH23" s="406"/>
      <c r="AI23" s="406"/>
      <c r="AJ23" s="406"/>
      <c r="AK23" s="450"/>
    </row>
    <row r="24" spans="1:37" ht="14.25" customHeight="1" x14ac:dyDescent="0.45">
      <c r="A24" s="618"/>
      <c r="B24" s="400"/>
      <c r="C24" s="405" t="s">
        <v>489</v>
      </c>
      <c r="D24" s="406"/>
      <c r="E24" s="406"/>
      <c r="F24" s="406"/>
      <c r="G24" s="406"/>
      <c r="H24" s="406">
        <f>G24*(1+'Driver PIB'!H$2)</f>
        <v>0</v>
      </c>
      <c r="I24" s="406">
        <f>H24*(1+'Driver PIB'!I$2)</f>
        <v>0</v>
      </c>
      <c r="J24" s="406">
        <f>I24*(1+'Driver PIB'!J$2)</f>
        <v>0</v>
      </c>
      <c r="K24" s="406">
        <f>J24*(1+'Driver PIB'!K$2)</f>
        <v>0</v>
      </c>
      <c r="L24" s="406">
        <f>K24*(1+'Driver PIB'!L$2)</f>
        <v>0</v>
      </c>
      <c r="M24" s="406">
        <f>L24*(1+'Driver PIB'!M$2)</f>
        <v>0</v>
      </c>
      <c r="N24" s="406">
        <f>M24*(1+'Driver PIB'!N$2)</f>
        <v>0</v>
      </c>
      <c r="O24" s="406">
        <f>N24*(1+'Driver PIB'!O$2)</f>
        <v>0</v>
      </c>
      <c r="P24" s="406">
        <f>O24*(1+'Driver PIB'!P$2)</f>
        <v>0</v>
      </c>
      <c r="Q24" s="406">
        <f>P24*(1+'Driver PIB'!Q$2)</f>
        <v>0</v>
      </c>
      <c r="R24" s="406">
        <f>Q24*(1+'Driver PIB'!R$2)</f>
        <v>0</v>
      </c>
      <c r="S24" s="406">
        <f>R24*(1+'Driver PIB'!S$2)</f>
        <v>0</v>
      </c>
      <c r="T24" s="406">
        <f>S24*(1+'Driver PIB'!T$2)</f>
        <v>0</v>
      </c>
      <c r="U24" s="406">
        <f>T24*(1+'Driver PIB'!U$2)</f>
        <v>0</v>
      </c>
      <c r="V24" s="406">
        <f>U24*(1+'Driver PIB'!V$2)</f>
        <v>0</v>
      </c>
      <c r="W24" s="406">
        <f>V24*(1+'Driver PIB'!W$2)</f>
        <v>0</v>
      </c>
      <c r="X24" s="406">
        <f>W24*(1+'Driver PIB'!X$2)</f>
        <v>0</v>
      </c>
      <c r="Y24" s="406">
        <f>X24*(1+'Driver PIB'!Y$2)</f>
        <v>0</v>
      </c>
      <c r="Z24" s="406">
        <f>Y24*(1+'Driver PIB'!Z$2)</f>
        <v>0</v>
      </c>
      <c r="AA24" s="406">
        <f>Z24*(1+'Driver PIB'!AA$2)</f>
        <v>0</v>
      </c>
      <c r="AB24" s="406">
        <f>AA24*(1+'Driver PIB'!AB$2)</f>
        <v>0</v>
      </c>
      <c r="AC24" s="406">
        <f>AB24*(1+'Driver PIB'!AC$2)</f>
        <v>0</v>
      </c>
      <c r="AD24" s="406">
        <f>AC24*(1+'Driver PIB'!AD$2)</f>
        <v>0</v>
      </c>
      <c r="AE24" s="406">
        <f>AD24*(1+'Driver PIB'!AE$2)</f>
        <v>0</v>
      </c>
      <c r="AF24" s="406">
        <f>AE24*(1+'Driver PIB'!AF$2)</f>
        <v>0</v>
      </c>
      <c r="AG24" s="406">
        <f>AF24*(1+'Driver PIB'!AG$2)</f>
        <v>0</v>
      </c>
      <c r="AH24" s="406">
        <f>AG24*(1+'Driver PIB'!AH$2)</f>
        <v>0</v>
      </c>
      <c r="AI24" s="406">
        <f>AH24*(1+'Driver PIB'!AI$2)</f>
        <v>0</v>
      </c>
      <c r="AJ24" s="406">
        <f>AI24*(1+'Driver PIB'!AJ$2)</f>
        <v>0</v>
      </c>
      <c r="AK24" s="450"/>
    </row>
    <row r="25" spans="1:37" ht="14.25" customHeight="1" x14ac:dyDescent="0.45">
      <c r="A25" s="618">
        <v>2</v>
      </c>
      <c r="B25" s="400"/>
      <c r="C25" s="405" t="s">
        <v>396</v>
      </c>
      <c r="D25" s="406">
        <f>'Copia de Demandas de energía '!D25*1000*($E$110)</f>
        <v>129.93324132499998</v>
      </c>
      <c r="E25" s="406">
        <f>'Copia de Demandas de energía '!E25*1000*($E$110)</f>
        <v>132.03207812099998</v>
      </c>
      <c r="F25" s="406">
        <f>'Copia de Demandas de energía '!F25*1000*($E$110)</f>
        <v>112.008091654</v>
      </c>
      <c r="G25" s="406">
        <f>'Copia de Demandas de energía '!G25*1000*($E$110)</f>
        <v>126.68294184499999</v>
      </c>
      <c r="H25" s="406">
        <f>G25*(1+'Driver PIB'!H$2)</f>
        <v>130.53728798371779</v>
      </c>
      <c r="I25" s="406">
        <f>H25*(1+'Driver PIB'!I$2)</f>
        <v>133.91510443356452</v>
      </c>
      <c r="J25" s="406">
        <f>I25*(1+'Driver PIB'!J$2)</f>
        <v>137.75491572893142</v>
      </c>
      <c r="K25" s="406">
        <f>J25*(1+'Driver PIB'!K$2)</f>
        <v>141.86498780938933</v>
      </c>
      <c r="L25" s="406">
        <f>K25*(1+'Driver PIB'!L$2)</f>
        <v>146.21550051245069</v>
      </c>
      <c r="M25" s="406">
        <f>L25*(1+'Driver PIB'!M$2)</f>
        <v>150.10010722411283</v>
      </c>
      <c r="N25" s="406">
        <f>M25*(1+'Driver PIB'!N$2)</f>
        <v>154.38694204415873</v>
      </c>
      <c r="O25" s="406">
        <f>N25*(1+'Driver PIB'!O$2)</f>
        <v>157.79204747184158</v>
      </c>
      <c r="P25" s="406">
        <f>O25*(1+'Driver PIB'!P$2)</f>
        <v>161.56565816074036</v>
      </c>
      <c r="Q25" s="406">
        <f>P25*(1+'Driver PIB'!Q$2)</f>
        <v>166.69907138567098</v>
      </c>
      <c r="R25" s="406">
        <f>Q25*(1+'Driver PIB'!R$2)</f>
        <v>170.82676709063716</v>
      </c>
      <c r="S25" s="406">
        <f>R25*(1+'Driver PIB'!S$2)</f>
        <v>175.78185431085132</v>
      </c>
      <c r="T25" s="406">
        <f>S25*(1+'Driver PIB'!T$2)</f>
        <v>179.95787567940059</v>
      </c>
      <c r="U25" s="406">
        <f>T25*(1+'Driver PIB'!U$2)</f>
        <v>184.2288971617335</v>
      </c>
      <c r="V25" s="406">
        <f>U25*(1+'Driver PIB'!V$2)</f>
        <v>188.94989492361466</v>
      </c>
      <c r="W25" s="406">
        <f>V25*(1+'Driver PIB'!W$2)</f>
        <v>193.25368838773278</v>
      </c>
      <c r="X25" s="406">
        <f>W25*(1+'Driver PIB'!X$2)</f>
        <v>197.79745168101269</v>
      </c>
      <c r="Y25" s="406">
        <f>X25*(1+'Driver PIB'!Y$2)</f>
        <v>202.80070921004403</v>
      </c>
      <c r="Z25" s="406">
        <f>Y25*(1+'Driver PIB'!Z$2)</f>
        <v>207.42396107770793</v>
      </c>
      <c r="AA25" s="406">
        <f>Z25*(1+'Driver PIB'!AA$2)</f>
        <v>212.17538809417562</v>
      </c>
      <c r="AB25" s="406">
        <f>AA25*(1+'Driver PIB'!AB$2)</f>
        <v>216.91976813426282</v>
      </c>
      <c r="AC25" s="406">
        <f>AB25*(1+'Driver PIB'!AC$2)</f>
        <v>220.73117273872219</v>
      </c>
      <c r="AD25" s="406">
        <f>AC25*(1+'Driver PIB'!AD$2)</f>
        <v>225.58577570703497</v>
      </c>
      <c r="AE25" s="406">
        <f>AD25*(1+'Driver PIB'!AE$2)</f>
        <v>229.79652552162449</v>
      </c>
      <c r="AF25" s="406">
        <f>AE25*(1+'Driver PIB'!AF$2)</f>
        <v>235.06706894014374</v>
      </c>
      <c r="AG25" s="406">
        <f>AF25*(1+'Driver PIB'!AG$2)</f>
        <v>239.41651492793926</v>
      </c>
      <c r="AH25" s="406">
        <f>AG25*(1+'Driver PIB'!AH$2)</f>
        <v>243.72389513664879</v>
      </c>
      <c r="AI25" s="406">
        <f>AH25*(1+'Driver PIB'!AI$2)</f>
        <v>248.18969157281865</v>
      </c>
      <c r="AJ25" s="406">
        <f>AI25*(1+'Driver PIB'!AJ$2)</f>
        <v>252.6890431908206</v>
      </c>
      <c r="AK25" s="450"/>
    </row>
    <row r="26" spans="1:37" ht="14.25" customHeight="1" x14ac:dyDescent="0.45">
      <c r="A26" s="618">
        <v>2</v>
      </c>
      <c r="B26" s="400"/>
      <c r="C26" s="405" t="s">
        <v>397</v>
      </c>
      <c r="D26" s="406">
        <f>'Copia de Demandas de energía '!D26*1000*($E$110)</f>
        <v>9.3231943029999993</v>
      </c>
      <c r="E26" s="406">
        <f>'Copia de Demandas de energía '!E26*1000*($E$110)</f>
        <v>9.4737411199999997</v>
      </c>
      <c r="F26" s="406">
        <f>'Copia de Demandas de energía '!F26*1000*($E$110)</f>
        <v>8.0369323769999994</v>
      </c>
      <c r="G26" s="406">
        <f>'Copia de Demandas de energía '!G26*1000*($E$110)</f>
        <v>9.0901301930000002</v>
      </c>
      <c r="H26" s="406">
        <f>G26*(1+'Driver PIB'!H$2)</f>
        <v>9.3666986693833447</v>
      </c>
      <c r="I26" s="406">
        <f>H26*(1+'Driver PIB'!I$2)</f>
        <v>9.6090737741131669</v>
      </c>
      <c r="J26" s="406">
        <f>I26*(1+'Driver PIB'!J$2)</f>
        <v>9.8845993033051212</v>
      </c>
      <c r="K26" s="406">
        <f>J26*(1+'Driver PIB'!K$2)</f>
        <v>10.179517385959761</v>
      </c>
      <c r="L26" s="406">
        <f>K26*(1+'Driver PIB'!L$2)</f>
        <v>10.491688277329766</v>
      </c>
      <c r="M26" s="406">
        <f>L26*(1+'Driver PIB'!M$2)</f>
        <v>10.770428100097815</v>
      </c>
      <c r="N26" s="406">
        <f>M26*(1+'Driver PIB'!N$2)</f>
        <v>11.078029787133007</v>
      </c>
      <c r="O26" s="406">
        <f>N26*(1+'Driver PIB'!O$2)</f>
        <v>11.322363011541386</v>
      </c>
      <c r="P26" s="406">
        <f>O26*(1+'Driver PIB'!P$2)</f>
        <v>11.593138318462788</v>
      </c>
      <c r="Q26" s="406">
        <f>P26*(1+'Driver PIB'!Q$2)</f>
        <v>11.961486210211161</v>
      </c>
      <c r="R26" s="406">
        <f>Q26*(1+'Driver PIB'!R$2)</f>
        <v>12.257668875444322</v>
      </c>
      <c r="S26" s="406">
        <f>R26*(1+'Driver PIB'!S$2)</f>
        <v>12.613220990775901</v>
      </c>
      <c r="T26" s="406">
        <f>S26*(1+'Driver PIB'!T$2)</f>
        <v>12.912871262359495</v>
      </c>
      <c r="U26" s="406">
        <f>T26*(1+'Driver PIB'!U$2)</f>
        <v>13.219338263883728</v>
      </c>
      <c r="V26" s="406">
        <f>U26*(1+'Driver PIB'!V$2)</f>
        <v>13.558093298076637</v>
      </c>
      <c r="W26" s="406">
        <f>V26*(1+'Driver PIB'!W$2)</f>
        <v>13.866911852041722</v>
      </c>
      <c r="X26" s="406">
        <f>W26*(1+'Driver PIB'!X$2)</f>
        <v>14.192949432954745</v>
      </c>
      <c r="Y26" s="406">
        <f>X26*(1+'Driver PIB'!Y$2)</f>
        <v>14.551958007160801</v>
      </c>
      <c r="Z26" s="406">
        <f>Y26*(1+'Driver PIB'!Z$2)</f>
        <v>14.883699288031236</v>
      </c>
      <c r="AA26" s="406">
        <f>Z26*(1+'Driver PIB'!AA$2)</f>
        <v>15.224637772354361</v>
      </c>
      <c r="AB26" s="406">
        <f>AA26*(1+'Driver PIB'!AB$2)</f>
        <v>15.565070601126449</v>
      </c>
      <c r="AC26" s="406">
        <f>AB26*(1+'Driver PIB'!AC$2)</f>
        <v>15.838557809176335</v>
      </c>
      <c r="AD26" s="406">
        <f>AC26*(1+'Driver PIB'!AD$2)</f>
        <v>16.186899680422744</v>
      </c>
      <c r="AE26" s="406">
        <f>AD26*(1+'Driver PIB'!AE$2)</f>
        <v>16.48904189047342</v>
      </c>
      <c r="AF26" s="406">
        <f>AE26*(1+'Driver PIB'!AF$2)</f>
        <v>16.867229554609121</v>
      </c>
      <c r="AG26" s="406">
        <f>AF26*(1+'Driver PIB'!AG$2)</f>
        <v>17.179323903861427</v>
      </c>
      <c r="AH26" s="406">
        <f>AG26*(1+'Driver PIB'!AH$2)</f>
        <v>17.488399824562954</v>
      </c>
      <c r="AI26" s="406">
        <f>AH26*(1+'Driver PIB'!AI$2)</f>
        <v>17.808842896289914</v>
      </c>
      <c r="AJ26" s="406">
        <f>AI26*(1+'Driver PIB'!AJ$2)</f>
        <v>18.131693718950512</v>
      </c>
      <c r="AK26" s="450"/>
    </row>
    <row r="27" spans="1:37" ht="14.25" customHeight="1" x14ac:dyDescent="0.45">
      <c r="A27" s="618"/>
      <c r="B27" s="400"/>
      <c r="C27" s="408" t="s">
        <v>398</v>
      </c>
      <c r="D27" s="406">
        <f>'Copia de Demandas de energía '!D27*1000*($E$110)</f>
        <v>12.453182309999999</v>
      </c>
      <c r="E27" s="406">
        <f>'Copia de Demandas de energía '!E27*1000*($E$110)</f>
        <v>12.525621155</v>
      </c>
      <c r="F27" s="406">
        <f>'Copia de Demandas de energía '!F27*1000*($E$110)</f>
        <v>10.691973522</v>
      </c>
      <c r="G27" s="406">
        <f>'Copia de Demandas de energía '!G27*1000*($E$110)</f>
        <v>12.93820762</v>
      </c>
      <c r="H27" s="406">
        <f>G27*(1+'Driver PIB'!H$2)</f>
        <v>13.3318543877163</v>
      </c>
      <c r="I27" s="406">
        <f>H27*(1+'Driver PIB'!I$2)</f>
        <v>13.676832882009872</v>
      </c>
      <c r="J27" s="406">
        <f>I27*(1+'Driver PIB'!J$2)</f>
        <v>14.06899519713722</v>
      </c>
      <c r="K27" s="406">
        <f>J27*(1+'Driver PIB'!K$2)</f>
        <v>14.488759414289621</v>
      </c>
      <c r="L27" s="406">
        <f>K27*(1+'Driver PIB'!L$2)</f>
        <v>14.93307998173054</v>
      </c>
      <c r="M27" s="406">
        <f>L27*(1+'Driver PIB'!M$2)</f>
        <v>15.329817280577171</v>
      </c>
      <c r="N27" s="406">
        <f>M27*(1+'Driver PIB'!N$2)</f>
        <v>15.76763438623186</v>
      </c>
      <c r="O27" s="406">
        <f>N27*(1+'Driver PIB'!O$2)</f>
        <v>16.115399920799671</v>
      </c>
      <c r="P27" s="406">
        <f>O27*(1+'Driver PIB'!P$2)</f>
        <v>16.500801126825976</v>
      </c>
      <c r="Q27" s="406">
        <f>P27*(1+'Driver PIB'!Q$2)</f>
        <v>17.025079811360076</v>
      </c>
      <c r="R27" s="406">
        <f>Q27*(1+'Driver PIB'!R$2)</f>
        <v>17.446643940241589</v>
      </c>
      <c r="S27" s="406">
        <f>R27*(1+'Driver PIB'!S$2)</f>
        <v>17.952710079033814</v>
      </c>
      <c r="T27" s="406">
        <f>S27*(1+'Driver PIB'!T$2)</f>
        <v>18.379209737985171</v>
      </c>
      <c r="U27" s="406">
        <f>T27*(1+'Driver PIB'!U$2)</f>
        <v>18.815411817626757</v>
      </c>
      <c r="V27" s="406">
        <f>U27*(1+'Driver PIB'!V$2)</f>
        <v>19.297570254486459</v>
      </c>
      <c r="W27" s="406">
        <f>V27*(1+'Driver PIB'!W$2)</f>
        <v>19.737119357004847</v>
      </c>
      <c r="X27" s="406">
        <f>W27*(1+'Driver PIB'!X$2)</f>
        <v>20.201176727384826</v>
      </c>
      <c r="Y27" s="406">
        <f>X27*(1+'Driver PIB'!Y$2)</f>
        <v>20.712162529768058</v>
      </c>
      <c r="Z27" s="406">
        <f>Y27*(1+'Driver PIB'!Z$2)</f>
        <v>21.18433811767456</v>
      </c>
      <c r="AA27" s="406">
        <f>Z27*(1+'Driver PIB'!AA$2)</f>
        <v>21.669604313225594</v>
      </c>
      <c r="AB27" s="406">
        <f>AA27*(1+'Driver PIB'!AB$2)</f>
        <v>22.154150796697195</v>
      </c>
      <c r="AC27" s="406">
        <f>AB27*(1+'Driver PIB'!AC$2)</f>
        <v>22.543411918819341</v>
      </c>
      <c r="AD27" s="406">
        <f>AC27*(1+'Driver PIB'!AD$2)</f>
        <v>23.039215538485426</v>
      </c>
      <c r="AE27" s="406">
        <f>AD27*(1+'Driver PIB'!AE$2)</f>
        <v>23.46926203522445</v>
      </c>
      <c r="AF27" s="406">
        <f>AE27*(1+'Driver PIB'!AF$2)</f>
        <v>24.007545911695054</v>
      </c>
      <c r="AG27" s="406">
        <f>AF27*(1+'Driver PIB'!AG$2)</f>
        <v>24.451757534842606</v>
      </c>
      <c r="AH27" s="406">
        <f>AG27*(1+'Driver PIB'!AH$2)</f>
        <v>24.891672953816297</v>
      </c>
      <c r="AI27" s="406">
        <f>AH27*(1+'Driver PIB'!AI$2)</f>
        <v>25.347767520601117</v>
      </c>
      <c r="AJ27" s="406">
        <f>AI27*(1+'Driver PIB'!AJ$2)</f>
        <v>25.807289098970507</v>
      </c>
      <c r="AK27" s="450"/>
    </row>
    <row r="28" spans="1:37" ht="13.5" customHeight="1" x14ac:dyDescent="0.45">
      <c r="A28" s="618"/>
      <c r="B28" s="400"/>
      <c r="C28" s="405" t="s">
        <v>399</v>
      </c>
      <c r="D28" s="406"/>
      <c r="E28" s="406"/>
      <c r="F28" s="406"/>
      <c r="G28" s="406"/>
      <c r="H28" s="403"/>
      <c r="I28" s="403"/>
      <c r="J28" s="403"/>
      <c r="K28" s="415">
        <v>0</v>
      </c>
      <c r="L28" s="403" t="str">
        <f>IFERROR(_xlfn.FORECAST.LINEAR(L$1,Demanda_energia!$I28:$J28,Demanda_energia!$I$1:$J$1),"")</f>
        <v/>
      </c>
      <c r="M28" s="403" t="str">
        <f>IFERROR(_xlfn.FORECAST.LINEAR(M$1,Demanda_energia!$I28:$J28,Demanda_energia!$I$1:$J$1),"")</f>
        <v/>
      </c>
      <c r="N28" s="403" t="str">
        <f>IFERROR(_xlfn.FORECAST.LINEAR(N$1,Demanda_energia!$I28:$J28,Demanda_energia!$I$1:$J$1),"")</f>
        <v/>
      </c>
      <c r="O28" s="403" t="str">
        <f>IFERROR(_xlfn.FORECAST.LINEAR(O$1,Demanda_energia!$I28:$J28,Demanda_energia!$I$1:$J$1),"")</f>
        <v/>
      </c>
      <c r="P28" s="415">
        <v>0</v>
      </c>
      <c r="Q28" s="403" t="str">
        <f>IFERROR(_xlfn.FORECAST.LINEAR(Q$1,Demanda_energia!$J28:$K28,Demanda_energia!$J$1:$K$1),"")</f>
        <v/>
      </c>
      <c r="R28" s="403" t="str">
        <f>IFERROR(_xlfn.FORECAST.LINEAR(R$1,Demanda_energia!$J28:$K28,Demanda_energia!$J$1:$K$1),"")</f>
        <v/>
      </c>
      <c r="S28" s="403" t="str">
        <f>IFERROR(_xlfn.FORECAST.LINEAR(S$1,Demanda_energia!$J28:$K28,Demanda_energia!$J$1:$K$1),"")</f>
        <v/>
      </c>
      <c r="T28" s="403" t="str">
        <f>IFERROR(_xlfn.FORECAST.LINEAR(T$1,Demanda_energia!$J28:$K28,Demanda_energia!$J$1:$K$1),"")</f>
        <v/>
      </c>
      <c r="U28" s="415">
        <v>0</v>
      </c>
      <c r="V28" s="403" t="str">
        <f>IFERROR(_xlfn.FORECAST.LINEAR(V$1,Demanda_energia!$K28:$L28,Demanda_energia!$K$1:$L$1),"")</f>
        <v/>
      </c>
      <c r="W28" s="403" t="str">
        <f>IFERROR(_xlfn.FORECAST.LINEAR(W$1,Demanda_energia!$K28:$L28,Demanda_energia!$K$1:$L$1),"")</f>
        <v/>
      </c>
      <c r="X28" s="403" t="str">
        <f>IFERROR(_xlfn.FORECAST.LINEAR(X$1,Demanda_energia!$K28:$L28,Demanda_energia!$K$1:$L$1),"")</f>
        <v/>
      </c>
      <c r="Y28" s="403" t="str">
        <f>IFERROR(_xlfn.FORECAST.LINEAR(Y$1,Demanda_energia!$K28:$L28,Demanda_energia!$K$1:$L$1),"")</f>
        <v/>
      </c>
      <c r="Z28" s="415">
        <v>0</v>
      </c>
      <c r="AA28" s="403" t="str">
        <f>IFERROR(_xlfn.FORECAST.LINEAR(AA$1,Demanda_energia!$L28:$M28,Demanda_energia!$L$1:$M$1),"")</f>
        <v/>
      </c>
      <c r="AB28" s="403" t="str">
        <f>IFERROR(_xlfn.FORECAST.LINEAR(AB$1,Demanda_energia!$L28:$M28,Demanda_energia!$L$1:$M$1),"")</f>
        <v/>
      </c>
      <c r="AC28" s="403" t="str">
        <f>IFERROR(_xlfn.FORECAST.LINEAR(AC$1,Demanda_energia!$L28:$M28,Demanda_energia!$L$1:$M$1),"")</f>
        <v/>
      </c>
      <c r="AD28" s="403" t="str">
        <f>IFERROR(_xlfn.FORECAST.LINEAR(AD$1,Demanda_energia!$L28:$M28,Demanda_energia!$L$1:$M$1),"")</f>
        <v/>
      </c>
      <c r="AE28" s="415">
        <v>0</v>
      </c>
      <c r="AF28" s="403" t="str">
        <f>IFERROR(_xlfn.FORECAST.LINEAR(AF$1,Demanda_energia!$M28:$N28,Demanda_energia!$M$1:$N$1),"")</f>
        <v/>
      </c>
      <c r="AG28" s="403" t="str">
        <f>IFERROR(_xlfn.FORECAST.LINEAR(AG$1,Demanda_energia!$M28:$N28,Demanda_energia!$M$1:$N$1),"")</f>
        <v/>
      </c>
      <c r="AH28" s="403" t="str">
        <f>IFERROR(_xlfn.FORECAST.LINEAR(AH$1,Demanda_energia!$M28:$N28,Demanda_energia!$M$1:$N$1),"")</f>
        <v/>
      </c>
      <c r="AI28" s="403" t="str">
        <f>IFERROR(_xlfn.FORECAST.LINEAR(AI$1,Demanda_energia!$M28:$N28,Demanda_energia!$M$1:$N$1),"")</f>
        <v/>
      </c>
      <c r="AJ28" s="415">
        <v>0</v>
      </c>
      <c r="AK28" s="450"/>
    </row>
    <row r="29" spans="1:37" ht="13.5" customHeight="1" x14ac:dyDescent="0.45">
      <c r="A29" s="4"/>
      <c r="B29" s="485"/>
      <c r="C29" s="404" t="s">
        <v>25</v>
      </c>
      <c r="D29" s="406">
        <f t="shared" ref="D29:AJ29" si="1">SUM(D19:D28)</f>
        <v>188.45287965277055</v>
      </c>
      <c r="E29" s="406">
        <f t="shared" si="1"/>
        <v>186.19858592698847</v>
      </c>
      <c r="F29" s="406">
        <f t="shared" si="1"/>
        <v>159.77220666732794</v>
      </c>
      <c r="G29" s="406">
        <f t="shared" si="1"/>
        <v>179.1472154557751</v>
      </c>
      <c r="H29" s="486">
        <f t="shared" si="1"/>
        <v>184.59779442163818</v>
      </c>
      <c r="I29" s="486">
        <f t="shared" si="1"/>
        <v>189.37449444531734</v>
      </c>
      <c r="J29" s="486">
        <f t="shared" si="1"/>
        <v>194.80451913074236</v>
      </c>
      <c r="K29" s="486">
        <f t="shared" si="1"/>
        <v>200.61672997628344</v>
      </c>
      <c r="L29" s="486">
        <f t="shared" si="1"/>
        <v>206.76895714442114</v>
      </c>
      <c r="M29" s="486">
        <f t="shared" si="1"/>
        <v>212.26232874915198</v>
      </c>
      <c r="N29" s="486">
        <f t="shared" si="1"/>
        <v>218.32450657629556</v>
      </c>
      <c r="O29" s="486">
        <f t="shared" si="1"/>
        <v>223.13979699202574</v>
      </c>
      <c r="P29" s="486">
        <f t="shared" si="1"/>
        <v>228.47620485629449</v>
      </c>
      <c r="Q29" s="486">
        <f t="shared" si="1"/>
        <v>235.73556173289256</v>
      </c>
      <c r="R29" s="486">
        <f t="shared" si="1"/>
        <v>241.57269482298304</v>
      </c>
      <c r="S29" s="486">
        <f t="shared" si="1"/>
        <v>248.57987404469685</v>
      </c>
      <c r="T29" s="486">
        <f t="shared" si="1"/>
        <v>254.48534631242146</v>
      </c>
      <c r="U29" s="486">
        <f t="shared" si="1"/>
        <v>260.52516189112742</v>
      </c>
      <c r="V29" s="486">
        <f t="shared" si="1"/>
        <v>267.20130621566295</v>
      </c>
      <c r="W29" s="486">
        <f t="shared" si="1"/>
        <v>273.28746591297153</v>
      </c>
      <c r="X29" s="486">
        <f t="shared" si="1"/>
        <v>279.71297616578215</v>
      </c>
      <c r="Y29" s="486">
        <f t="shared" si="1"/>
        <v>286.78827487198663</v>
      </c>
      <c r="Z29" s="486">
        <f t="shared" si="1"/>
        <v>293.3261929719315</v>
      </c>
      <c r="AA29" s="486">
        <f t="shared" si="1"/>
        <v>300.04536847452601</v>
      </c>
      <c r="AB29" s="486">
        <f t="shared" si="1"/>
        <v>306.75457857706306</v>
      </c>
      <c r="AC29" s="486">
        <f t="shared" si="1"/>
        <v>312.1444322694382</v>
      </c>
      <c r="AD29" s="486">
        <f t="shared" si="1"/>
        <v>319.00951284974758</v>
      </c>
      <c r="AE29" s="486">
        <f t="shared" si="1"/>
        <v>324.96409594734877</v>
      </c>
      <c r="AF29" s="486">
        <f t="shared" si="1"/>
        <v>332.417373899496</v>
      </c>
      <c r="AG29" s="486">
        <f t="shared" si="1"/>
        <v>338.56809258459111</v>
      </c>
      <c r="AH29" s="486">
        <f t="shared" si="1"/>
        <v>344.65932443523582</v>
      </c>
      <c r="AI29" s="486">
        <f t="shared" si="1"/>
        <v>350.97457875977631</v>
      </c>
      <c r="AJ29" s="486">
        <f t="shared" si="1"/>
        <v>357.33728475619773</v>
      </c>
      <c r="AK29" s="487"/>
    </row>
    <row r="30" spans="1:37" ht="14.25" customHeight="1" x14ac:dyDescent="0.45">
      <c r="A30" s="618"/>
      <c r="B30" s="400"/>
      <c r="C30" s="410"/>
      <c r="D30" s="401"/>
      <c r="E30" s="401"/>
      <c r="F30" s="401"/>
      <c r="G30" s="401"/>
      <c r="H30" s="401"/>
      <c r="I30" s="401"/>
      <c r="J30" s="401"/>
      <c r="K30" s="417"/>
      <c r="L30" s="401"/>
      <c r="M30" s="401"/>
      <c r="N30" s="401"/>
      <c r="O30" s="401"/>
      <c r="P30" s="417"/>
      <c r="Q30" s="401"/>
      <c r="R30" s="401"/>
      <c r="S30" s="401"/>
      <c r="T30" s="401"/>
      <c r="U30" s="417"/>
      <c r="V30" s="401"/>
      <c r="W30" s="401"/>
      <c r="X30" s="401"/>
      <c r="Y30" s="401"/>
      <c r="Z30" s="417"/>
      <c r="AA30" s="401"/>
      <c r="AB30" s="401"/>
      <c r="AC30" s="401"/>
      <c r="AD30" s="401"/>
      <c r="AE30" s="417"/>
      <c r="AF30" s="401"/>
      <c r="AG30" s="401"/>
      <c r="AH30" s="401"/>
      <c r="AI30" s="401"/>
      <c r="AJ30" s="417"/>
      <c r="AK30" s="450"/>
    </row>
    <row r="31" spans="1:37" ht="14.25" customHeight="1" x14ac:dyDescent="0.45">
      <c r="A31" s="618"/>
      <c r="B31" s="400"/>
      <c r="C31" s="404" t="s">
        <v>497</v>
      </c>
      <c r="D31" s="403"/>
      <c r="E31" s="403"/>
      <c r="F31" s="403"/>
      <c r="G31" s="403"/>
      <c r="H31" s="403"/>
      <c r="I31" s="403"/>
      <c r="J31" s="403"/>
      <c r="K31" s="415"/>
      <c r="L31" s="403"/>
      <c r="M31" s="403"/>
      <c r="N31" s="403"/>
      <c r="O31" s="403"/>
      <c r="P31" s="415"/>
      <c r="Q31" s="403"/>
      <c r="R31" s="403"/>
      <c r="S31" s="403"/>
      <c r="T31" s="403"/>
      <c r="U31" s="415"/>
      <c r="V31" s="403"/>
      <c r="W31" s="403"/>
      <c r="X31" s="403"/>
      <c r="Y31" s="403"/>
      <c r="Z31" s="415"/>
      <c r="AA31" s="403"/>
      <c r="AB31" s="403"/>
      <c r="AC31" s="403"/>
      <c r="AD31" s="403"/>
      <c r="AE31" s="415"/>
      <c r="AF31" s="403"/>
      <c r="AG31" s="403"/>
      <c r="AH31" s="403"/>
      <c r="AI31" s="403"/>
      <c r="AJ31" s="415"/>
      <c r="AK31" s="450"/>
    </row>
    <row r="32" spans="1:37" ht="14.25" customHeight="1" x14ac:dyDescent="0.45">
      <c r="A32" s="618">
        <v>2</v>
      </c>
      <c r="B32" s="400"/>
      <c r="C32" s="405" t="s">
        <v>480</v>
      </c>
      <c r="D32" s="406">
        <f>'Copia de Demandas de energía '!D32*1000*($E$110)</f>
        <v>40.342239112373292</v>
      </c>
      <c r="E32" s="406">
        <f>'Copia de Demandas de energía '!E32*1000*($E$110)</f>
        <v>41.621697456070294</v>
      </c>
      <c r="F32" s="406">
        <f>'Copia de Demandas de energía '!F32*1000*($E$110)</f>
        <v>42.455496088781395</v>
      </c>
      <c r="G32" s="406">
        <f>'Copia de Demandas de energía '!G32*1000*($E$110)</f>
        <v>43.303214821908895</v>
      </c>
      <c r="H32" s="406">
        <f>G32*(1+'Driver PIB'!H$2)</f>
        <v>44.620721160268999</v>
      </c>
      <c r="I32" s="406">
        <f>H32*(1+'Driver PIB'!I$2)</f>
        <v>45.775338421491554</v>
      </c>
      <c r="J32" s="406">
        <f>I32*(1+'Driver PIB'!J$2)</f>
        <v>47.08787640787893</v>
      </c>
      <c r="K32" s="406">
        <f>J32*(1+'Driver PIB'!K$2)</f>
        <v>48.492795899339441</v>
      </c>
      <c r="L32" s="406">
        <f>K32*(1+'Driver PIB'!L$2)</f>
        <v>49.979903661619005</v>
      </c>
      <c r="M32" s="406">
        <f>L32*(1+'Driver PIB'!M$2)</f>
        <v>51.307753776905649</v>
      </c>
      <c r="N32" s="406">
        <f>M32*(1+'Driver PIB'!N$2)</f>
        <v>52.773094938193289</v>
      </c>
      <c r="O32" s="406">
        <f>N32*(1+'Driver PIB'!O$2)</f>
        <v>53.937040215108389</v>
      </c>
      <c r="P32" s="406">
        <f>O32*(1+'Driver PIB'!P$2)</f>
        <v>55.226949274179425</v>
      </c>
      <c r="Q32" s="406">
        <f>P32*(1+'Driver PIB'!Q$2)</f>
        <v>56.981670883982119</v>
      </c>
      <c r="R32" s="406">
        <f>Q32*(1+'Driver PIB'!R$2)</f>
        <v>58.39261454560247</v>
      </c>
      <c r="S32" s="406">
        <f>R32*(1+'Driver PIB'!S$2)</f>
        <v>60.08638012471858</v>
      </c>
      <c r="T32" s="406">
        <f>S32*(1+'Driver PIB'!T$2)</f>
        <v>61.5138426369519</v>
      </c>
      <c r="U32" s="406">
        <f>T32*(1+'Driver PIB'!U$2)</f>
        <v>62.973778426765968</v>
      </c>
      <c r="V32" s="406">
        <f>U32*(1+'Driver PIB'!V$2)</f>
        <v>64.587526712676649</v>
      </c>
      <c r="W32" s="406">
        <f>V32*(1+'Driver PIB'!W$2)</f>
        <v>66.05866473814072</v>
      </c>
      <c r="X32" s="406">
        <f>W32*(1+'Driver PIB'!X$2)</f>
        <v>67.611830106131194</v>
      </c>
      <c r="Y32" s="406">
        <f>X32*(1+'Driver PIB'!Y$2)</f>
        <v>69.322061431940341</v>
      </c>
      <c r="Z32" s="406">
        <f>Y32*(1+'Driver PIB'!Z$2)</f>
        <v>70.902397867813391</v>
      </c>
      <c r="AA32" s="406">
        <f>Z32*(1+'Driver PIB'!AA$2)</f>
        <v>72.526547590010921</v>
      </c>
      <c r="AB32" s="406">
        <f>AA32*(1+'Driver PIB'!AB$2)</f>
        <v>74.148288489618722</v>
      </c>
      <c r="AC32" s="406">
        <f>AB32*(1+'Driver PIB'!AC$2)</f>
        <v>75.451116399646693</v>
      </c>
      <c r="AD32" s="406">
        <f>AC32*(1+'Driver PIB'!AD$2)</f>
        <v>77.110534093539016</v>
      </c>
      <c r="AE32" s="406">
        <f>AD32*(1+'Driver PIB'!AE$2)</f>
        <v>78.549867607009048</v>
      </c>
      <c r="AF32" s="406">
        <f>AE32*(1+'Driver PIB'!AF$2)</f>
        <v>80.351463548470406</v>
      </c>
      <c r="AG32" s="406">
        <f>AF32*(1+'Driver PIB'!AG$2)</f>
        <v>81.838206682334828</v>
      </c>
      <c r="AH32" s="406">
        <f>AG32*(1+'Driver PIB'!AH$2)</f>
        <v>83.310570741622342</v>
      </c>
      <c r="AI32" s="406">
        <f>AH32*(1+'Driver PIB'!AI$2)</f>
        <v>84.837085200553901</v>
      </c>
      <c r="AJ32" s="406">
        <f>AI32*(1+'Driver PIB'!AJ$2)</f>
        <v>86.375069611367707</v>
      </c>
      <c r="AK32" s="450"/>
    </row>
    <row r="33" spans="1:37" ht="14.25" customHeight="1" x14ac:dyDescent="0.45">
      <c r="A33" s="618"/>
      <c r="B33" s="400"/>
      <c r="C33" s="408" t="s">
        <v>482</v>
      </c>
      <c r="D33" s="406">
        <f>'Copia de Demandas de energía '!D33*1000*($E$110)</f>
        <v>2.5939170019268301</v>
      </c>
      <c r="E33" s="406">
        <f>'Copia de Demandas de energía '!E33*1000*($E$110)</f>
        <v>2.6011194640055497</v>
      </c>
      <c r="F33" s="406">
        <f>'Copia de Demandas de energía '!F33*1000*($E$110)</f>
        <v>2.4307309544667497</v>
      </c>
      <c r="G33" s="406">
        <f>'Copia de Demandas de energía '!G33*1000*($E$110)</f>
        <v>2.5830460414673797</v>
      </c>
      <c r="H33" s="406">
        <f>G33*(1+'Driver PIB'!H$2)</f>
        <v>2.6616355768149362</v>
      </c>
      <c r="I33" s="406">
        <f>H33*(1+'Driver PIB'!I$2)</f>
        <v>2.7305087438136573</v>
      </c>
      <c r="J33" s="406">
        <f>I33*(1+'Driver PIB'!J$2)</f>
        <v>2.808801915901614</v>
      </c>
      <c r="K33" s="406">
        <f>J33*(1+'Driver PIB'!K$2)</f>
        <v>2.8926056645591243</v>
      </c>
      <c r="L33" s="406">
        <f>K33*(1+'Driver PIB'!L$2)</f>
        <v>2.9813119611791197</v>
      </c>
      <c r="M33" s="406">
        <f>L33*(1+'Driver PIB'!M$2)</f>
        <v>3.0605185050364097</v>
      </c>
      <c r="N33" s="406">
        <f>M33*(1+'Driver PIB'!N$2)</f>
        <v>3.1479264192439302</v>
      </c>
      <c r="O33" s="406">
        <f>N33*(1+'Driver PIB'!O$2)</f>
        <v>3.2173560043771587</v>
      </c>
      <c r="P33" s="406">
        <f>O33*(1+'Driver PIB'!P$2)</f>
        <v>3.294299356102643</v>
      </c>
      <c r="Q33" s="406">
        <f>P33*(1+'Driver PIB'!Q$2)</f>
        <v>3.3989688760613532</v>
      </c>
      <c r="R33" s="406">
        <f>Q33*(1+'Driver PIB'!R$2)</f>
        <v>3.4831319677595247</v>
      </c>
      <c r="S33" s="406">
        <f>R33*(1+'Driver PIB'!S$2)</f>
        <v>3.5841654474284761</v>
      </c>
      <c r="T33" s="406">
        <f>S33*(1+'Driver PIB'!T$2)</f>
        <v>3.6693138921047321</v>
      </c>
      <c r="U33" s="406">
        <f>T33*(1+'Driver PIB'!U$2)</f>
        <v>3.7563993747457998</v>
      </c>
      <c r="V33" s="406">
        <f>U33*(1+'Driver PIB'!V$2)</f>
        <v>3.8526598057320318</v>
      </c>
      <c r="W33" s="406">
        <f>V33*(1+'Driver PIB'!W$2)</f>
        <v>3.9404135041296051</v>
      </c>
      <c r="X33" s="406">
        <f>W33*(1+'Driver PIB'!X$2)</f>
        <v>4.0330601510825286</v>
      </c>
      <c r="Y33" s="406">
        <f>X33*(1+'Driver PIB'!Y$2)</f>
        <v>4.1350758160693637</v>
      </c>
      <c r="Z33" s="406">
        <f>Y33*(1+'Driver PIB'!Z$2)</f>
        <v>4.2293432230426502</v>
      </c>
      <c r="AA33" s="406">
        <f>Z33*(1+'Driver PIB'!AA$2)</f>
        <v>4.3262241019318113</v>
      </c>
      <c r="AB33" s="406">
        <f>AA33*(1+'Driver PIB'!AB$2)</f>
        <v>4.4229612940374254</v>
      </c>
      <c r="AC33" s="406">
        <f>AB33*(1+'Driver PIB'!AC$2)</f>
        <v>4.5006752579902436</v>
      </c>
      <c r="AD33" s="406">
        <f>AC33*(1+'Driver PIB'!AD$2)</f>
        <v>4.5996598789468575</v>
      </c>
      <c r="AE33" s="406">
        <f>AD33*(1+'Driver PIB'!AE$2)</f>
        <v>4.685516431390143</v>
      </c>
      <c r="AF33" s="406">
        <f>AE33*(1+'Driver PIB'!AF$2)</f>
        <v>4.7929820152747142</v>
      </c>
      <c r="AG33" s="406">
        <f>AF33*(1+'Driver PIB'!AG$2)</f>
        <v>4.8816665617316284</v>
      </c>
      <c r="AH33" s="406">
        <f>AG33*(1+'Driver PIB'!AH$2)</f>
        <v>4.9694933933094365</v>
      </c>
      <c r="AI33" s="406">
        <f>AH33*(1+'Driver PIB'!AI$2)</f>
        <v>5.0605503078272687</v>
      </c>
      <c r="AJ33" s="406">
        <f>AI33*(1+'Driver PIB'!AJ$2)</f>
        <v>5.152291407432215</v>
      </c>
      <c r="AK33" s="450"/>
    </row>
    <row r="34" spans="1:37" ht="14.25" customHeight="1" x14ac:dyDescent="0.45">
      <c r="A34" s="618">
        <v>2</v>
      </c>
      <c r="B34" s="400"/>
      <c r="C34" s="405" t="s">
        <v>484</v>
      </c>
      <c r="D34" s="406">
        <f>'Copia de Demandas de energía '!D34*1000*($E$110)</f>
        <v>4.3045884832659302</v>
      </c>
      <c r="E34" s="406">
        <f>'Copia de Demandas de energía '!E34*1000*($E$110)</f>
        <v>4.496919254372779</v>
      </c>
      <c r="F34" s="406">
        <f>'Copia de Demandas de energía '!F34*1000*($E$110)</f>
        <v>4.0032447651768708</v>
      </c>
      <c r="G34" s="406">
        <f>'Copia de Demandas de energía '!G34*1000*($E$110)</f>
        <v>4.4759187922751797</v>
      </c>
      <c r="H34" s="406">
        <f>G34*(1+'Driver PIB'!H$2)</f>
        <v>4.6120992445362914</v>
      </c>
      <c r="I34" s="406">
        <f>H34*(1+'Driver PIB'!I$2)</f>
        <v>4.7314431112363833</v>
      </c>
      <c r="J34" s="406">
        <f>I34*(1+'Driver PIB'!J$2)</f>
        <v>4.8671100233353428</v>
      </c>
      <c r="K34" s="406">
        <f>J34*(1+'Driver PIB'!K$2)</f>
        <v>5.0123256979526527</v>
      </c>
      <c r="L34" s="406">
        <f>K34*(1+'Driver PIB'!L$2)</f>
        <v>5.1660365392077399</v>
      </c>
      <c r="M34" s="406">
        <f>L34*(1+'Driver PIB'!M$2)</f>
        <v>5.3032861477825115</v>
      </c>
      <c r="N34" s="406">
        <f>M34*(1+'Driver PIB'!N$2)</f>
        <v>5.4547471436433392</v>
      </c>
      <c r="O34" s="406">
        <f>N34*(1+'Driver PIB'!O$2)</f>
        <v>5.5750551752652413</v>
      </c>
      <c r="P34" s="406">
        <f>O34*(1+'Driver PIB'!P$2)</f>
        <v>5.7083831099593869</v>
      </c>
      <c r="Q34" s="406">
        <f>P34*(1+'Driver PIB'!Q$2)</f>
        <v>5.8897551272756061</v>
      </c>
      <c r="R34" s="406">
        <f>Q34*(1+'Driver PIB'!R$2)</f>
        <v>6.035593473824715</v>
      </c>
      <c r="S34" s="406">
        <f>R34*(1+'Driver PIB'!S$2)</f>
        <v>6.2106649371433926</v>
      </c>
      <c r="T34" s="406">
        <f>S34*(1+'Driver PIB'!T$2)</f>
        <v>6.358210709669752</v>
      </c>
      <c r="U34" s="406">
        <f>T34*(1+'Driver PIB'!U$2)</f>
        <v>6.5091129940386665</v>
      </c>
      <c r="V34" s="406">
        <f>U34*(1+'Driver PIB'!V$2)</f>
        <v>6.675913687904357</v>
      </c>
      <c r="W34" s="406">
        <f>V34*(1+'Driver PIB'!W$2)</f>
        <v>6.8279738608334526</v>
      </c>
      <c r="X34" s="406">
        <f>W34*(1+'Driver PIB'!X$2)</f>
        <v>6.9885125664859089</v>
      </c>
      <c r="Y34" s="406">
        <f>X34*(1+'Driver PIB'!Y$2)</f>
        <v>7.1652859668398685</v>
      </c>
      <c r="Z34" s="406">
        <f>Y34*(1+'Driver PIB'!Z$2)</f>
        <v>7.3286331358787509</v>
      </c>
      <c r="AA34" s="406">
        <f>Z34*(1+'Driver PIB'!AA$2)</f>
        <v>7.4965089458607492</v>
      </c>
      <c r="AB34" s="406">
        <f>AA34*(1+'Driver PIB'!AB$2)</f>
        <v>7.6641357744601653</v>
      </c>
      <c r="AC34" s="406">
        <f>AB34*(1+'Driver PIB'!AC$2)</f>
        <v>7.7987990309776576</v>
      </c>
      <c r="AD34" s="406">
        <f>AC34*(1+'Driver PIB'!AD$2)</f>
        <v>7.9703202187433462</v>
      </c>
      <c r="AE34" s="406">
        <f>AD34*(1+'Driver PIB'!AE$2)</f>
        <v>8.11909300496227</v>
      </c>
      <c r="AF34" s="406">
        <f>AE34*(1+'Driver PIB'!AF$2)</f>
        <v>8.3053100598307648</v>
      </c>
      <c r="AG34" s="406">
        <f>AF34*(1+'Driver PIB'!AG$2)</f>
        <v>8.458983212263389</v>
      </c>
      <c r="AH34" s="406">
        <f>AG34*(1+'Driver PIB'!AH$2)</f>
        <v>8.6111701108375183</v>
      </c>
      <c r="AI34" s="406">
        <f>AH34*(1+'Driver PIB'!AI$2)</f>
        <v>8.7689541179028474</v>
      </c>
      <c r="AJ34" s="406">
        <f>AI34*(1+'Driver PIB'!AJ$2)</f>
        <v>8.9279236852871371</v>
      </c>
      <c r="AK34" s="450"/>
    </row>
    <row r="35" spans="1:37" ht="14.25" customHeight="1" x14ac:dyDescent="0.45">
      <c r="A35" s="618"/>
      <c r="B35" s="400"/>
      <c r="C35" s="405" t="s">
        <v>486</v>
      </c>
      <c r="D35" s="406">
        <f>'Copia de Demandas de energía '!D35*1000*($E$110)</f>
        <v>6.2606434025275295</v>
      </c>
      <c r="E35" s="406">
        <f>'Copia de Demandas de energía '!E35*1000*($E$110)</f>
        <v>8.5612004549291001</v>
      </c>
      <c r="F35" s="406">
        <f>'Copia de Demandas de energía '!F35*1000*($E$110)</f>
        <v>9.1857181622208994</v>
      </c>
      <c r="G35" s="406">
        <f>'Copia de Demandas de energía '!G35*1000*($E$110)</f>
        <v>9.354399193697601</v>
      </c>
      <c r="H35" s="406">
        <f>G35*(1+'Driver PIB'!H$2)</f>
        <v>9.6390080912109504</v>
      </c>
      <c r="I35" s="406">
        <f>H35*(1+'Driver PIB'!I$2)</f>
        <v>9.8884295446025607</v>
      </c>
      <c r="J35" s="406">
        <f>I35*(1+'Driver PIB'!J$2)</f>
        <v>10.171965174279357</v>
      </c>
      <c r="K35" s="406">
        <f>J35*(1+'Driver PIB'!K$2)</f>
        <v>10.47545713930268</v>
      </c>
      <c r="L35" s="406">
        <f>K35*(1+'Driver PIB'!L$2)</f>
        <v>10.79670348809273</v>
      </c>
      <c r="M35" s="406">
        <f>L35*(1+'Driver PIB'!M$2)</f>
        <v>11.083546857548621</v>
      </c>
      <c r="N35" s="406">
        <f>M35*(1+'Driver PIB'!N$2)</f>
        <v>11.400091165725618</v>
      </c>
      <c r="O35" s="406">
        <f>N35*(1+'Driver PIB'!O$2)</f>
        <v>11.651527665409564</v>
      </c>
      <c r="P35" s="406">
        <f>O35*(1+'Driver PIB'!P$2)</f>
        <v>11.930174973969493</v>
      </c>
      <c r="Q35" s="406">
        <f>P35*(1+'Driver PIB'!Q$2)</f>
        <v>12.309231505439699</v>
      </c>
      <c r="R35" s="406">
        <f>Q35*(1+'Driver PIB'!R$2)</f>
        <v>12.614024817088618</v>
      </c>
      <c r="S35" s="406">
        <f>R35*(1+'Driver PIB'!S$2)</f>
        <v>12.979913572294391</v>
      </c>
      <c r="T35" s="406">
        <f>S35*(1+'Driver PIB'!T$2)</f>
        <v>13.28827530082622</v>
      </c>
      <c r="U35" s="406">
        <f>T35*(1+'Driver PIB'!U$2)</f>
        <v>13.603651935823246</v>
      </c>
      <c r="V35" s="406">
        <f>U35*(1+'Driver PIB'!V$2)</f>
        <v>13.952255283787984</v>
      </c>
      <c r="W35" s="406">
        <f>V35*(1+'Driver PIB'!W$2)</f>
        <v>14.270051835748751</v>
      </c>
      <c r="X35" s="406">
        <f>W35*(1+'Driver PIB'!X$2)</f>
        <v>14.605568007602539</v>
      </c>
      <c r="Y35" s="406">
        <f>X35*(1+'Driver PIB'!Y$2)</f>
        <v>14.975013708134945</v>
      </c>
      <c r="Z35" s="406">
        <f>Y35*(1+'Driver PIB'!Z$2)</f>
        <v>15.316399398372946</v>
      </c>
      <c r="AA35" s="406">
        <f>Z35*(1+'Driver PIB'!AA$2)</f>
        <v>15.667249673906808</v>
      </c>
      <c r="AB35" s="406">
        <f>AA35*(1+'Driver PIB'!AB$2)</f>
        <v>16.017579593430526</v>
      </c>
      <c r="AC35" s="406">
        <f>AB35*(1+'Driver PIB'!AC$2)</f>
        <v>16.299017643728039</v>
      </c>
      <c r="AD35" s="406">
        <f>AC35*(1+'Driver PIB'!AD$2)</f>
        <v>16.657486538049024</v>
      </c>
      <c r="AE35" s="406">
        <f>AD35*(1+'Driver PIB'!AE$2)</f>
        <v>16.968412650884737</v>
      </c>
      <c r="AF35" s="406">
        <f>AE35*(1+'Driver PIB'!AF$2)</f>
        <v>17.357595017401518</v>
      </c>
      <c r="AG35" s="406">
        <f>AF35*(1+'Driver PIB'!AG$2)</f>
        <v>17.678762598835227</v>
      </c>
      <c r="AH35" s="406">
        <f>AG35*(1+'Driver PIB'!AH$2)</f>
        <v>17.996823999719027</v>
      </c>
      <c r="AI35" s="406">
        <f>AH35*(1+'Driver PIB'!AI$2)</f>
        <v>18.326583018362893</v>
      </c>
      <c r="AJ35" s="406">
        <f>AI35*(1+'Driver PIB'!AJ$2)</f>
        <v>18.658819786270417</v>
      </c>
      <c r="AK35" s="450"/>
    </row>
    <row r="36" spans="1:37" ht="14.25" customHeight="1" x14ac:dyDescent="0.45">
      <c r="A36" s="618">
        <v>2</v>
      </c>
      <c r="B36" s="400"/>
      <c r="C36" s="405" t="s">
        <v>488</v>
      </c>
      <c r="D36" s="406">
        <f>'Copia de Demandas de energía '!D36*1000*($E$110)</f>
        <v>1.1418125259467899</v>
      </c>
      <c r="E36" s="406">
        <f>'Copia de Demandas de energía '!E36*1000*($E$110)</f>
        <v>1.2350278143414701</v>
      </c>
      <c r="F36" s="406">
        <f>'Copia de Demandas de energía '!F36*1000*($E$110)</f>
        <v>1.0122789076830498</v>
      </c>
      <c r="G36" s="406">
        <f>'Copia de Demandas de energía '!G36*1000*($E$110)</f>
        <v>1.1896261383347198</v>
      </c>
      <c r="H36" s="406">
        <f>G36*(1+'Driver PIB'!H$2)</f>
        <v>1.2258206791784139</v>
      </c>
      <c r="I36" s="406">
        <f>H36*(1+'Driver PIB'!I$2)</f>
        <v>1.257540330464624</v>
      </c>
      <c r="J36" s="406">
        <f>I36*(1+'Driver PIB'!J$2)</f>
        <v>1.2935983807175961</v>
      </c>
      <c r="K36" s="406">
        <f>J36*(1+'Driver PIB'!K$2)</f>
        <v>1.3321943361488715</v>
      </c>
      <c r="L36" s="406">
        <f>K36*(1+'Driver PIB'!L$2)</f>
        <v>1.3730481681750599</v>
      </c>
      <c r="M36" s="406">
        <f>L36*(1+'Driver PIB'!M$2)</f>
        <v>1.4095268733112096</v>
      </c>
      <c r="N36" s="406">
        <f>M36*(1+'Driver PIB'!N$2)</f>
        <v>1.4497827331639883</v>
      </c>
      <c r="O36" s="406">
        <f>N36*(1+'Driver PIB'!O$2)</f>
        <v>1.4817586437448556</v>
      </c>
      <c r="P36" s="406">
        <f>O36*(1+'Driver PIB'!P$2)</f>
        <v>1.5171950319912375</v>
      </c>
      <c r="Q36" s="406">
        <f>P36*(1+'Driver PIB'!Q$2)</f>
        <v>1.5654007530007992</v>
      </c>
      <c r="R36" s="406">
        <f>Q36*(1+'Driver PIB'!R$2)</f>
        <v>1.6041622044654151</v>
      </c>
      <c r="S36" s="406">
        <f>R36*(1+'Driver PIB'!S$2)</f>
        <v>1.6506933410892188</v>
      </c>
      <c r="T36" s="406">
        <f>S36*(1+'Driver PIB'!T$2)</f>
        <v>1.6899085985020827</v>
      </c>
      <c r="U36" s="406">
        <f>T36*(1+'Driver PIB'!U$2)</f>
        <v>1.7300159619621842</v>
      </c>
      <c r="V36" s="406">
        <f>U36*(1+'Driver PIB'!V$2)</f>
        <v>1.7743488630991433</v>
      </c>
      <c r="W36" s="406">
        <f>V36*(1+'Driver PIB'!W$2)</f>
        <v>1.8147639744341277</v>
      </c>
      <c r="X36" s="406">
        <f>W36*(1+'Driver PIB'!X$2)</f>
        <v>1.8574325413411488</v>
      </c>
      <c r="Y36" s="406">
        <f>X36*(1+'Driver PIB'!Y$2)</f>
        <v>1.9044160250420412</v>
      </c>
      <c r="Z36" s="406">
        <f>Y36*(1+'Driver PIB'!Z$2)</f>
        <v>1.9478310356644428</v>
      </c>
      <c r="AA36" s="406">
        <f>Z36*(1+'Driver PIB'!AA$2)</f>
        <v>1.9924496851120979</v>
      </c>
      <c r="AB36" s="406">
        <f>AA36*(1+'Driver PIB'!AB$2)</f>
        <v>2.0370021593732885</v>
      </c>
      <c r="AC36" s="406">
        <f>AB36*(1+'Driver PIB'!AC$2)</f>
        <v>2.0727934543590161</v>
      </c>
      <c r="AD36" s="406">
        <f>AC36*(1+'Driver PIB'!AD$2)</f>
        <v>2.1183809857048561</v>
      </c>
      <c r="AE36" s="406">
        <f>AD36*(1+'Driver PIB'!AE$2)</f>
        <v>2.1579223633242099</v>
      </c>
      <c r="AF36" s="406">
        <f>AE36*(1+'Driver PIB'!AF$2)</f>
        <v>2.2074158162120505</v>
      </c>
      <c r="AG36" s="406">
        <f>AF36*(1+'Driver PIB'!AG$2)</f>
        <v>2.2482596311645593</v>
      </c>
      <c r="AH36" s="406">
        <f>AG36*(1+'Driver PIB'!AH$2)</f>
        <v>2.288708424106991</v>
      </c>
      <c r="AI36" s="406">
        <f>AH36*(1+'Driver PIB'!AI$2)</f>
        <v>2.330644837104487</v>
      </c>
      <c r="AJ36" s="406">
        <f>AI36*(1+'Driver PIB'!AJ$2)</f>
        <v>2.3728963526785627</v>
      </c>
      <c r="AK36" s="450"/>
    </row>
    <row r="37" spans="1:37" ht="14.25" customHeight="1" x14ac:dyDescent="0.45">
      <c r="A37" s="618"/>
      <c r="B37" s="400"/>
      <c r="C37" s="405" t="s">
        <v>503</v>
      </c>
      <c r="D37" s="406"/>
      <c r="E37" s="406"/>
      <c r="F37" s="406"/>
      <c r="G37" s="406"/>
      <c r="H37" s="406">
        <f>G37*(1+'Driver PIB'!H$2)</f>
        <v>0</v>
      </c>
      <c r="I37" s="406">
        <f>H37*(1+'Driver PIB'!I$2)</f>
        <v>0</v>
      </c>
      <c r="J37" s="406">
        <f>I37*(1+'Driver PIB'!J$2)</f>
        <v>0</v>
      </c>
      <c r="K37" s="406">
        <f>J37*(1+'Driver PIB'!K$2)</f>
        <v>0</v>
      </c>
      <c r="L37" s="406">
        <f>K37*(1+'Driver PIB'!L$2)</f>
        <v>0</v>
      </c>
      <c r="M37" s="406">
        <f>L37*(1+'Driver PIB'!M$2)</f>
        <v>0</v>
      </c>
      <c r="N37" s="406">
        <f>M37*(1+'Driver PIB'!N$2)</f>
        <v>0</v>
      </c>
      <c r="O37" s="406">
        <f>N37*(1+'Driver PIB'!O$2)</f>
        <v>0</v>
      </c>
      <c r="P37" s="406">
        <f>O37*(1+'Driver PIB'!P$2)</f>
        <v>0</v>
      </c>
      <c r="Q37" s="406">
        <f>P37*(1+'Driver PIB'!Q$2)</f>
        <v>0</v>
      </c>
      <c r="R37" s="406">
        <f>Q37*(1+'Driver PIB'!R$2)</f>
        <v>0</v>
      </c>
      <c r="S37" s="406">
        <f>R37*(1+'Driver PIB'!S$2)</f>
        <v>0</v>
      </c>
      <c r="T37" s="406">
        <f>S37*(1+'Driver PIB'!T$2)</f>
        <v>0</v>
      </c>
      <c r="U37" s="406">
        <f>T37*(1+'Driver PIB'!U$2)</f>
        <v>0</v>
      </c>
      <c r="V37" s="406">
        <f>U37*(1+'Driver PIB'!V$2)</f>
        <v>0</v>
      </c>
      <c r="W37" s="406">
        <f>V37*(1+'Driver PIB'!W$2)</f>
        <v>0</v>
      </c>
      <c r="X37" s="406">
        <f>W37*(1+'Driver PIB'!X$2)</f>
        <v>0</v>
      </c>
      <c r="Y37" s="406">
        <f>X37*(1+'Driver PIB'!Y$2)</f>
        <v>0</v>
      </c>
      <c r="Z37" s="406">
        <f>Y37*(1+'Driver PIB'!Z$2)</f>
        <v>0</v>
      </c>
      <c r="AA37" s="406">
        <f>Z37*(1+'Driver PIB'!AA$2)</f>
        <v>0</v>
      </c>
      <c r="AB37" s="406">
        <f>AA37*(1+'Driver PIB'!AB$2)</f>
        <v>0</v>
      </c>
      <c r="AC37" s="406">
        <f>AB37*(1+'Driver PIB'!AC$2)</f>
        <v>0</v>
      </c>
      <c r="AD37" s="406">
        <f>AC37*(1+'Driver PIB'!AD$2)</f>
        <v>0</v>
      </c>
      <c r="AE37" s="406">
        <f>AD37*(1+'Driver PIB'!AE$2)</f>
        <v>0</v>
      </c>
      <c r="AF37" s="406">
        <f>AE37*(1+'Driver PIB'!AF$2)</f>
        <v>0</v>
      </c>
      <c r="AG37" s="406">
        <f>AF37*(1+'Driver PIB'!AG$2)</f>
        <v>0</v>
      </c>
      <c r="AH37" s="406">
        <f>AG37*(1+'Driver PIB'!AH$2)</f>
        <v>0</v>
      </c>
      <c r="AI37" s="406">
        <f>AH37*(1+'Driver PIB'!AI$2)</f>
        <v>0</v>
      </c>
      <c r="AJ37" s="406">
        <f>AI37*(1+'Driver PIB'!AJ$2)</f>
        <v>0</v>
      </c>
      <c r="AK37" s="450"/>
    </row>
    <row r="38" spans="1:37" ht="14.25" customHeight="1" x14ac:dyDescent="0.45">
      <c r="A38" s="618"/>
      <c r="B38" s="400"/>
      <c r="C38" s="405" t="s">
        <v>396</v>
      </c>
      <c r="D38" s="406"/>
      <c r="E38" s="406"/>
      <c r="F38" s="406"/>
      <c r="G38" s="406"/>
      <c r="H38" s="406">
        <f>G38*(1+'Driver PIB'!H$2)</f>
        <v>0</v>
      </c>
      <c r="I38" s="406">
        <f>H38*(1+'Driver PIB'!I$2)</f>
        <v>0</v>
      </c>
      <c r="J38" s="406">
        <f>I38*(1+'Driver PIB'!J$2)</f>
        <v>0</v>
      </c>
      <c r="K38" s="406">
        <f>J38*(1+'Driver PIB'!K$2)</f>
        <v>0</v>
      </c>
      <c r="L38" s="406">
        <f>K38*(1+'Driver PIB'!L$2)</f>
        <v>0</v>
      </c>
      <c r="M38" s="406">
        <f>L38*(1+'Driver PIB'!M$2)</f>
        <v>0</v>
      </c>
      <c r="N38" s="406">
        <f>M38*(1+'Driver PIB'!N$2)</f>
        <v>0</v>
      </c>
      <c r="O38" s="406">
        <f>N38*(1+'Driver PIB'!O$2)</f>
        <v>0</v>
      </c>
      <c r="P38" s="406">
        <f>O38*(1+'Driver PIB'!P$2)</f>
        <v>0</v>
      </c>
      <c r="Q38" s="406">
        <f>P38*(1+'Driver PIB'!Q$2)</f>
        <v>0</v>
      </c>
      <c r="R38" s="406">
        <f>Q38*(1+'Driver PIB'!R$2)</f>
        <v>0</v>
      </c>
      <c r="S38" s="406">
        <f>R38*(1+'Driver PIB'!S$2)</f>
        <v>0</v>
      </c>
      <c r="T38" s="406">
        <f>S38*(1+'Driver PIB'!T$2)</f>
        <v>0</v>
      </c>
      <c r="U38" s="406">
        <f>T38*(1+'Driver PIB'!U$2)</f>
        <v>0</v>
      </c>
      <c r="V38" s="406">
        <f>U38*(1+'Driver PIB'!V$2)</f>
        <v>0</v>
      </c>
      <c r="W38" s="406">
        <f>V38*(1+'Driver PIB'!W$2)</f>
        <v>0</v>
      </c>
      <c r="X38" s="406">
        <f>W38*(1+'Driver PIB'!X$2)</f>
        <v>0</v>
      </c>
      <c r="Y38" s="406">
        <f>X38*(1+'Driver PIB'!Y$2)</f>
        <v>0</v>
      </c>
      <c r="Z38" s="406">
        <f>Y38*(1+'Driver PIB'!Z$2)</f>
        <v>0</v>
      </c>
      <c r="AA38" s="406">
        <f>Z38*(1+'Driver PIB'!AA$2)</f>
        <v>0</v>
      </c>
      <c r="AB38" s="406">
        <f>AA38*(1+'Driver PIB'!AB$2)</f>
        <v>0</v>
      </c>
      <c r="AC38" s="406">
        <f>AB38*(1+'Driver PIB'!AC$2)</f>
        <v>0</v>
      </c>
      <c r="AD38" s="406">
        <f>AC38*(1+'Driver PIB'!AD$2)</f>
        <v>0</v>
      </c>
      <c r="AE38" s="406">
        <f>AD38*(1+'Driver PIB'!AE$2)</f>
        <v>0</v>
      </c>
      <c r="AF38" s="406">
        <f>AE38*(1+'Driver PIB'!AF$2)</f>
        <v>0</v>
      </c>
      <c r="AG38" s="406">
        <f>AF38*(1+'Driver PIB'!AG$2)</f>
        <v>0</v>
      </c>
      <c r="AH38" s="406">
        <f>AG38*(1+'Driver PIB'!AH$2)</f>
        <v>0</v>
      </c>
      <c r="AI38" s="406">
        <f>AH38*(1+'Driver PIB'!AI$2)</f>
        <v>0</v>
      </c>
      <c r="AJ38" s="406">
        <f>AI38*(1+'Driver PIB'!AJ$2)</f>
        <v>0</v>
      </c>
      <c r="AK38" s="450"/>
    </row>
    <row r="39" spans="1:37" ht="14.25" customHeight="1" x14ac:dyDescent="0.45">
      <c r="A39" s="618">
        <v>2</v>
      </c>
      <c r="B39" s="400"/>
      <c r="C39" s="405" t="s">
        <v>397</v>
      </c>
      <c r="D39" s="406">
        <f>'Copia de Demandas de energía '!D39*1000*($E$110)</f>
        <v>0.2754565819</v>
      </c>
      <c r="E39" s="406">
        <f>'Copia de Demandas de energía '!E39*1000*($E$110)</f>
        <v>0.3124948783</v>
      </c>
      <c r="F39" s="406">
        <f>'Copia de Demandas de energía '!F39*1000*($E$110)</f>
        <v>0.34140742599999996</v>
      </c>
      <c r="G39" s="406">
        <f>'Copia de Demandas de energía '!G39*1000*($E$110)</f>
        <v>0.59884878209999992</v>
      </c>
      <c r="H39" s="406">
        <f>G39*(1+'Driver PIB'!H$2)</f>
        <v>0.61706883964955617</v>
      </c>
      <c r="I39" s="406">
        <f>H39*(1+'Driver PIB'!I$2)</f>
        <v>0.63303627171016463</v>
      </c>
      <c r="J39" s="406">
        <f>I39*(1+'Driver PIB'!J$2)</f>
        <v>0.6511876209307863</v>
      </c>
      <c r="K39" s="406">
        <f>J39*(1+'Driver PIB'!K$2)</f>
        <v>0.67061653238389185</v>
      </c>
      <c r="L39" s="406">
        <f>K39*(1+'Driver PIB'!L$2)</f>
        <v>0.69118204180288312</v>
      </c>
      <c r="M39" s="406">
        <f>L39*(1+'Driver PIB'!M$2)</f>
        <v>0.70954514550363734</v>
      </c>
      <c r="N39" s="406">
        <f>M39*(1+'Driver PIB'!N$2)</f>
        <v>0.72980964026244521</v>
      </c>
      <c r="O39" s="406">
        <f>N39*(1+'Driver PIB'!O$2)</f>
        <v>0.74590607130984632</v>
      </c>
      <c r="P39" s="406">
        <f>O39*(1+'Driver PIB'!P$2)</f>
        <v>0.76374448058780198</v>
      </c>
      <c r="Q39" s="406">
        <f>P39*(1+'Driver PIB'!Q$2)</f>
        <v>0.78801087520253266</v>
      </c>
      <c r="R39" s="406">
        <f>Q39*(1+'Driver PIB'!R$2)</f>
        <v>0.80752309610456063</v>
      </c>
      <c r="S39" s="406">
        <f>R39*(1+'Driver PIB'!S$2)</f>
        <v>0.8309465176308396</v>
      </c>
      <c r="T39" s="406">
        <f>S39*(1+'Driver PIB'!T$2)</f>
        <v>0.8506871810079113</v>
      </c>
      <c r="U39" s="406">
        <f>T39*(1+'Driver PIB'!U$2)</f>
        <v>0.8708769238080698</v>
      </c>
      <c r="V39" s="406">
        <f>U39*(1+'Driver PIB'!V$2)</f>
        <v>0.8931937702502567</v>
      </c>
      <c r="W39" s="406">
        <f>V39*(1+'Driver PIB'!W$2)</f>
        <v>0.91353843099827192</v>
      </c>
      <c r="X39" s="406">
        <f>W39*(1+'Driver PIB'!X$2)</f>
        <v>0.93501746420276299</v>
      </c>
      <c r="Y39" s="406">
        <f>X39*(1+'Driver PIB'!Y$2)</f>
        <v>0.95866859381940062</v>
      </c>
      <c r="Z39" s="406">
        <f>Y39*(1+'Driver PIB'!Z$2)</f>
        <v>0.98052338113306714</v>
      </c>
      <c r="AA39" s="406">
        <f>Z39*(1+'Driver PIB'!AA$2)</f>
        <v>1.0029840711092293</v>
      </c>
      <c r="AB39" s="406">
        <f>AA39*(1+'Driver PIB'!AB$2)</f>
        <v>1.0254114489980535</v>
      </c>
      <c r="AC39" s="406">
        <f>AB39*(1+'Driver PIB'!AC$2)</f>
        <v>1.0434285156388288</v>
      </c>
      <c r="AD39" s="406">
        <f>AC39*(1+'Driver PIB'!AD$2)</f>
        <v>1.0663769334195758</v>
      </c>
      <c r="AE39" s="406">
        <f>AD39*(1+'Driver PIB'!AE$2)</f>
        <v>1.086281763236995</v>
      </c>
      <c r="AF39" s="406">
        <f>AE39*(1+'Driver PIB'!AF$2)</f>
        <v>1.1111963923197896</v>
      </c>
      <c r="AG39" s="406">
        <f>AF39*(1+'Driver PIB'!AG$2)</f>
        <v>1.131756859219808</v>
      </c>
      <c r="AH39" s="406">
        <f>AG39*(1+'Driver PIB'!AH$2)</f>
        <v>1.1521184750337461</v>
      </c>
      <c r="AI39" s="406">
        <f>AH39*(1+'Driver PIB'!AI$2)</f>
        <v>1.1732289475090298</v>
      </c>
      <c r="AJ39" s="406">
        <f>AI39*(1+'Driver PIB'!AJ$2)</f>
        <v>1.1944980402332646</v>
      </c>
      <c r="AK39" s="450"/>
    </row>
    <row r="40" spans="1:37" ht="14.25" customHeight="1" x14ac:dyDescent="0.45">
      <c r="A40" s="618"/>
      <c r="B40" s="400"/>
      <c r="C40" s="405" t="s">
        <v>398</v>
      </c>
      <c r="D40" s="406"/>
      <c r="E40" s="406"/>
      <c r="F40" s="406"/>
      <c r="G40" s="406"/>
      <c r="H40" s="406">
        <f>G40*(1+'Driver PIB'!H$2)</f>
        <v>0</v>
      </c>
      <c r="I40" s="406">
        <f>H40*(1+'Driver PIB'!I$2)</f>
        <v>0</v>
      </c>
      <c r="J40" s="406">
        <f>I40*(1+'Driver PIB'!J$2)</f>
        <v>0</v>
      </c>
      <c r="K40" s="406">
        <f>J40*(1+'Driver PIB'!K$2)</f>
        <v>0</v>
      </c>
      <c r="L40" s="406">
        <f>K40*(1+'Driver PIB'!L$2)</f>
        <v>0</v>
      </c>
      <c r="M40" s="406">
        <f>L40*(1+'Driver PIB'!M$2)</f>
        <v>0</v>
      </c>
      <c r="N40" s="406">
        <f>M40*(1+'Driver PIB'!N$2)</f>
        <v>0</v>
      </c>
      <c r="O40" s="406">
        <f>N40*(1+'Driver PIB'!O$2)</f>
        <v>0</v>
      </c>
      <c r="P40" s="406">
        <f>O40*(1+'Driver PIB'!P$2)</f>
        <v>0</v>
      </c>
      <c r="Q40" s="406">
        <f>P40*(1+'Driver PIB'!Q$2)</f>
        <v>0</v>
      </c>
      <c r="R40" s="406">
        <f>Q40*(1+'Driver PIB'!R$2)</f>
        <v>0</v>
      </c>
      <c r="S40" s="406">
        <f>R40*(1+'Driver PIB'!S$2)</f>
        <v>0</v>
      </c>
      <c r="T40" s="406">
        <f>S40*(1+'Driver PIB'!T$2)</f>
        <v>0</v>
      </c>
      <c r="U40" s="406">
        <f>T40*(1+'Driver PIB'!U$2)</f>
        <v>0</v>
      </c>
      <c r="V40" s="406">
        <f>U40*(1+'Driver PIB'!V$2)</f>
        <v>0</v>
      </c>
      <c r="W40" s="406">
        <f>V40*(1+'Driver PIB'!W$2)</f>
        <v>0</v>
      </c>
      <c r="X40" s="406">
        <f>W40*(1+'Driver PIB'!X$2)</f>
        <v>0</v>
      </c>
      <c r="Y40" s="406">
        <f>X40*(1+'Driver PIB'!Y$2)</f>
        <v>0</v>
      </c>
      <c r="Z40" s="406">
        <f>Y40*(1+'Driver PIB'!Z$2)</f>
        <v>0</v>
      </c>
      <c r="AA40" s="406">
        <f>Z40*(1+'Driver PIB'!AA$2)</f>
        <v>0</v>
      </c>
      <c r="AB40" s="406">
        <f>AA40*(1+'Driver PIB'!AB$2)</f>
        <v>0</v>
      </c>
      <c r="AC40" s="406">
        <f>AB40*(1+'Driver PIB'!AC$2)</f>
        <v>0</v>
      </c>
      <c r="AD40" s="406">
        <f>AC40*(1+'Driver PIB'!AD$2)</f>
        <v>0</v>
      </c>
      <c r="AE40" s="406">
        <f>AD40*(1+'Driver PIB'!AE$2)</f>
        <v>0</v>
      </c>
      <c r="AF40" s="406">
        <f>AE40*(1+'Driver PIB'!AF$2)</f>
        <v>0</v>
      </c>
      <c r="AG40" s="406">
        <f>AF40*(1+'Driver PIB'!AG$2)</f>
        <v>0</v>
      </c>
      <c r="AH40" s="406">
        <f>AG40*(1+'Driver PIB'!AH$2)</f>
        <v>0</v>
      </c>
      <c r="AI40" s="406">
        <f>AH40*(1+'Driver PIB'!AI$2)</f>
        <v>0</v>
      </c>
      <c r="AJ40" s="406">
        <f>AI40*(1+'Driver PIB'!AJ$2)</f>
        <v>0</v>
      </c>
      <c r="AK40" s="450"/>
    </row>
    <row r="41" spans="1:37" ht="14.25" customHeight="1" x14ac:dyDescent="0.45">
      <c r="A41" s="618"/>
      <c r="B41" s="400"/>
      <c r="C41" s="405" t="s">
        <v>399</v>
      </c>
      <c r="D41" s="406"/>
      <c r="E41" s="406"/>
      <c r="F41" s="406"/>
      <c r="G41" s="406"/>
      <c r="H41" s="406">
        <f>G41*(1+'Driver PIB'!H$2)</f>
        <v>0</v>
      </c>
      <c r="I41" s="406">
        <f>H41*(1+'Driver PIB'!I$2)</f>
        <v>0</v>
      </c>
      <c r="J41" s="406">
        <f>I41*(1+'Driver PIB'!J$2)</f>
        <v>0</v>
      </c>
      <c r="K41" s="406">
        <f>J41*(1+'Driver PIB'!K$2)</f>
        <v>0</v>
      </c>
      <c r="L41" s="406">
        <f>K41*(1+'Driver PIB'!L$2)</f>
        <v>0</v>
      </c>
      <c r="M41" s="406">
        <f>L41*(1+'Driver PIB'!M$2)</f>
        <v>0</v>
      </c>
      <c r="N41" s="406">
        <f>M41*(1+'Driver PIB'!N$2)</f>
        <v>0</v>
      </c>
      <c r="O41" s="406">
        <f>N41*(1+'Driver PIB'!O$2)</f>
        <v>0</v>
      </c>
      <c r="P41" s="406">
        <f>O41*(1+'Driver PIB'!P$2)</f>
        <v>0</v>
      </c>
      <c r="Q41" s="406">
        <f>P41*(1+'Driver PIB'!Q$2)</f>
        <v>0</v>
      </c>
      <c r="R41" s="406">
        <f>Q41*(1+'Driver PIB'!R$2)</f>
        <v>0</v>
      </c>
      <c r="S41" s="406">
        <f>R41*(1+'Driver PIB'!S$2)</f>
        <v>0</v>
      </c>
      <c r="T41" s="406">
        <f>S41*(1+'Driver PIB'!T$2)</f>
        <v>0</v>
      </c>
      <c r="U41" s="406">
        <f>T41*(1+'Driver PIB'!U$2)</f>
        <v>0</v>
      </c>
      <c r="V41" s="406">
        <f>U41*(1+'Driver PIB'!V$2)</f>
        <v>0</v>
      </c>
      <c r="W41" s="406">
        <f>V41*(1+'Driver PIB'!W$2)</f>
        <v>0</v>
      </c>
      <c r="X41" s="406">
        <f>W41*(1+'Driver PIB'!X$2)</f>
        <v>0</v>
      </c>
      <c r="Y41" s="406">
        <f>X41*(1+'Driver PIB'!Y$2)</f>
        <v>0</v>
      </c>
      <c r="Z41" s="406">
        <f>Y41*(1+'Driver PIB'!Z$2)</f>
        <v>0</v>
      </c>
      <c r="AA41" s="406">
        <f>Z41*(1+'Driver PIB'!AA$2)</f>
        <v>0</v>
      </c>
      <c r="AB41" s="406">
        <f>AA41*(1+'Driver PIB'!AB$2)</f>
        <v>0</v>
      </c>
      <c r="AC41" s="406">
        <f>AB41*(1+'Driver PIB'!AC$2)</f>
        <v>0</v>
      </c>
      <c r="AD41" s="406">
        <f>AC41*(1+'Driver PIB'!AD$2)</f>
        <v>0</v>
      </c>
      <c r="AE41" s="406">
        <f>AD41*(1+'Driver PIB'!AE$2)</f>
        <v>0</v>
      </c>
      <c r="AF41" s="406">
        <f>AE41*(1+'Driver PIB'!AF$2)</f>
        <v>0</v>
      </c>
      <c r="AG41" s="406">
        <f>AF41*(1+'Driver PIB'!AG$2)</f>
        <v>0</v>
      </c>
      <c r="AH41" s="406">
        <f>AG41*(1+'Driver PIB'!AH$2)</f>
        <v>0</v>
      </c>
      <c r="AI41" s="406">
        <f>AH41*(1+'Driver PIB'!AI$2)</f>
        <v>0</v>
      </c>
      <c r="AJ41" s="406">
        <f>AI41*(1+'Driver PIB'!AJ$2)</f>
        <v>0</v>
      </c>
      <c r="AK41" s="450"/>
    </row>
    <row r="42" spans="1:37" ht="14.25" customHeight="1" x14ac:dyDescent="0.45">
      <c r="A42" s="4"/>
      <c r="B42" s="485"/>
      <c r="C42" s="404" t="s">
        <v>25</v>
      </c>
      <c r="D42" s="406">
        <f t="shared" ref="D42:AJ42" si="2">SUM(D32:D41)</f>
        <v>54.918657107940376</v>
      </c>
      <c r="E42" s="406">
        <f t="shared" si="2"/>
        <v>58.828459322019192</v>
      </c>
      <c r="F42" s="406">
        <f t="shared" si="2"/>
        <v>59.428876304328966</v>
      </c>
      <c r="G42" s="406">
        <f t="shared" si="2"/>
        <v>61.505053769783771</v>
      </c>
      <c r="H42" s="486">
        <f t="shared" si="2"/>
        <v>63.376353591659147</v>
      </c>
      <c r="I42" s="486">
        <f t="shared" si="2"/>
        <v>65.016296423318948</v>
      </c>
      <c r="J42" s="486">
        <f t="shared" si="2"/>
        <v>66.880539523043623</v>
      </c>
      <c r="K42" s="486">
        <f t="shared" si="2"/>
        <v>68.875995269686669</v>
      </c>
      <c r="L42" s="486">
        <f t="shared" si="2"/>
        <v>70.988185860076541</v>
      </c>
      <c r="M42" s="486">
        <f t="shared" si="2"/>
        <v>72.874177306088043</v>
      </c>
      <c r="N42" s="486">
        <f t="shared" si="2"/>
        <v>74.955452040232601</v>
      </c>
      <c r="O42" s="486">
        <f t="shared" si="2"/>
        <v>76.608643775215057</v>
      </c>
      <c r="P42" s="486">
        <f t="shared" si="2"/>
        <v>78.440746226789997</v>
      </c>
      <c r="Q42" s="486">
        <f t="shared" si="2"/>
        <v>80.933038020962101</v>
      </c>
      <c r="R42" s="486">
        <f t="shared" si="2"/>
        <v>82.937050104845298</v>
      </c>
      <c r="S42" s="486">
        <f t="shared" si="2"/>
        <v>85.342763940304906</v>
      </c>
      <c r="T42" s="486">
        <f t="shared" si="2"/>
        <v>87.370238319062594</v>
      </c>
      <c r="U42" s="486">
        <f t="shared" si="2"/>
        <v>89.443835617143932</v>
      </c>
      <c r="V42" s="486">
        <f t="shared" si="2"/>
        <v>91.73589812345044</v>
      </c>
      <c r="W42" s="486">
        <f t="shared" si="2"/>
        <v>93.825406344284929</v>
      </c>
      <c r="X42" s="486">
        <f t="shared" si="2"/>
        <v>96.031420836846081</v>
      </c>
      <c r="Y42" s="486">
        <f t="shared" si="2"/>
        <v>98.460521541845949</v>
      </c>
      <c r="Z42" s="486">
        <f t="shared" si="2"/>
        <v>100.70512804190524</v>
      </c>
      <c r="AA42" s="486">
        <f t="shared" si="2"/>
        <v>103.01196406793161</v>
      </c>
      <c r="AB42" s="486">
        <f t="shared" si="2"/>
        <v>105.31537875991818</v>
      </c>
      <c r="AC42" s="486">
        <f t="shared" si="2"/>
        <v>107.16583030234047</v>
      </c>
      <c r="AD42" s="486">
        <f t="shared" si="2"/>
        <v>109.52275864840267</v>
      </c>
      <c r="AE42" s="486">
        <f t="shared" si="2"/>
        <v>111.56709382080739</v>
      </c>
      <c r="AF42" s="486">
        <f t="shared" si="2"/>
        <v>114.12596284950924</v>
      </c>
      <c r="AG42" s="486">
        <f t="shared" si="2"/>
        <v>116.23763554554945</v>
      </c>
      <c r="AH42" s="486">
        <f t="shared" si="2"/>
        <v>118.32888514462906</v>
      </c>
      <c r="AI42" s="486">
        <f t="shared" si="2"/>
        <v>120.49704642926044</v>
      </c>
      <c r="AJ42" s="486">
        <f t="shared" si="2"/>
        <v>122.68149888326931</v>
      </c>
      <c r="AK42" s="487"/>
    </row>
    <row r="43" spans="1:37" ht="14.25" customHeight="1" x14ac:dyDescent="0.45">
      <c r="A43" s="618"/>
      <c r="B43" s="400"/>
      <c r="C43" s="410"/>
      <c r="D43" s="401"/>
      <c r="E43" s="401"/>
      <c r="F43" s="401"/>
      <c r="G43" s="401"/>
      <c r="H43" s="401"/>
      <c r="I43" s="401"/>
      <c r="J43" s="401"/>
      <c r="K43" s="417"/>
      <c r="L43" s="401"/>
      <c r="M43" s="401"/>
      <c r="N43" s="401"/>
      <c r="O43" s="401"/>
      <c r="P43" s="417"/>
      <c r="Q43" s="401"/>
      <c r="R43" s="401"/>
      <c r="S43" s="401"/>
      <c r="T43" s="401"/>
      <c r="U43" s="417"/>
      <c r="V43" s="401"/>
      <c r="W43" s="401"/>
      <c r="X43" s="401"/>
      <c r="Y43" s="401"/>
      <c r="Z43" s="417"/>
      <c r="AA43" s="401"/>
      <c r="AB43" s="401"/>
      <c r="AC43" s="401"/>
      <c r="AD43" s="401"/>
      <c r="AE43" s="417"/>
      <c r="AF43" s="401"/>
      <c r="AG43" s="401"/>
      <c r="AH43" s="401"/>
      <c r="AI43" s="401"/>
      <c r="AJ43" s="417"/>
      <c r="AK43" s="450"/>
    </row>
    <row r="44" spans="1:37" ht="14.25" customHeight="1" x14ac:dyDescent="0.45">
      <c r="A44" s="618"/>
      <c r="B44" s="400"/>
      <c r="C44" s="404" t="s">
        <v>504</v>
      </c>
      <c r="D44" s="403"/>
      <c r="E44" s="403"/>
      <c r="F44" s="403"/>
      <c r="G44" s="403"/>
      <c r="H44" s="403"/>
      <c r="I44" s="403"/>
      <c r="J44" s="403"/>
      <c r="K44" s="415"/>
      <c r="L44" s="403"/>
      <c r="M44" s="403"/>
      <c r="N44" s="403"/>
      <c r="O44" s="403"/>
      <c r="P44" s="415"/>
      <c r="Q44" s="403"/>
      <c r="R44" s="403"/>
      <c r="S44" s="403"/>
      <c r="T44" s="403"/>
      <c r="U44" s="415"/>
      <c r="V44" s="403"/>
      <c r="W44" s="403"/>
      <c r="X44" s="403"/>
      <c r="Y44" s="403"/>
      <c r="Z44" s="415"/>
      <c r="AA44" s="403"/>
      <c r="AB44" s="403"/>
      <c r="AC44" s="403"/>
      <c r="AD44" s="403"/>
      <c r="AE44" s="415"/>
      <c r="AF44" s="403"/>
      <c r="AG44" s="403"/>
      <c r="AH44" s="403"/>
      <c r="AI44" s="403"/>
      <c r="AJ44" s="415"/>
      <c r="AK44" s="450"/>
    </row>
    <row r="45" spans="1:37" ht="14.25" customHeight="1" x14ac:dyDescent="0.45">
      <c r="A45" s="618"/>
      <c r="B45" s="400"/>
      <c r="C45" s="405" t="s">
        <v>480</v>
      </c>
      <c r="D45" s="413"/>
      <c r="E45" s="413"/>
      <c r="F45" s="413"/>
      <c r="G45" s="413"/>
      <c r="H45" s="406">
        <f>G45*(1+'Driver PIB'!H$2)</f>
        <v>0</v>
      </c>
      <c r="I45" s="406">
        <f>H45*(1+'Driver PIB'!I$2)</f>
        <v>0</v>
      </c>
      <c r="J45" s="406">
        <f>I45*(1+'Driver PIB'!J$2)</f>
        <v>0</v>
      </c>
      <c r="K45" s="406">
        <f>J45*(1+'Driver PIB'!K$2)</f>
        <v>0</v>
      </c>
      <c r="L45" s="406">
        <f>K45*(1+'Driver PIB'!L$2)</f>
        <v>0</v>
      </c>
      <c r="M45" s="406">
        <f>L45*(1+'Driver PIB'!M$2)</f>
        <v>0</v>
      </c>
      <c r="N45" s="406">
        <f>M45*(1+'Driver PIB'!N$2)</f>
        <v>0</v>
      </c>
      <c r="O45" s="406">
        <f>N45*(1+'Driver PIB'!O$2)</f>
        <v>0</v>
      </c>
      <c r="P45" s="406">
        <f>O45*(1+'Driver PIB'!P$2)</f>
        <v>0</v>
      </c>
      <c r="Q45" s="406">
        <f>P45*(1+'Driver PIB'!Q$2)</f>
        <v>0</v>
      </c>
      <c r="R45" s="406">
        <f>Q45*(1+'Driver PIB'!R$2)</f>
        <v>0</v>
      </c>
      <c r="S45" s="406">
        <f>R45*(1+'Driver PIB'!S$2)</f>
        <v>0</v>
      </c>
      <c r="T45" s="406">
        <f>S45*(1+'Driver PIB'!T$2)</f>
        <v>0</v>
      </c>
      <c r="U45" s="406">
        <f>T45*(1+'Driver PIB'!U$2)</f>
        <v>0</v>
      </c>
      <c r="V45" s="406">
        <f>U45*(1+'Driver PIB'!V$2)</f>
        <v>0</v>
      </c>
      <c r="W45" s="406">
        <f>V45*(1+'Driver PIB'!W$2)</f>
        <v>0</v>
      </c>
      <c r="X45" s="406">
        <f>W45*(1+'Driver PIB'!X$2)</f>
        <v>0</v>
      </c>
      <c r="Y45" s="406">
        <f>X45*(1+'Driver PIB'!Y$2)</f>
        <v>0</v>
      </c>
      <c r="Z45" s="406">
        <f>Y45*(1+'Driver PIB'!Z$2)</f>
        <v>0</v>
      </c>
      <c r="AA45" s="406">
        <f>Z45*(1+'Driver PIB'!AA$2)</f>
        <v>0</v>
      </c>
      <c r="AB45" s="406">
        <f>AA45*(1+'Driver PIB'!AB$2)</f>
        <v>0</v>
      </c>
      <c r="AC45" s="406">
        <f>AB45*(1+'Driver PIB'!AC$2)</f>
        <v>0</v>
      </c>
      <c r="AD45" s="406">
        <f>AC45*(1+'Driver PIB'!AD$2)</f>
        <v>0</v>
      </c>
      <c r="AE45" s="406">
        <f>AD45*(1+'Driver PIB'!AE$2)</f>
        <v>0</v>
      </c>
      <c r="AF45" s="406">
        <f>AE45*(1+'Driver PIB'!AF$2)</f>
        <v>0</v>
      </c>
      <c r="AG45" s="406">
        <f>AF45*(1+'Driver PIB'!AG$2)</f>
        <v>0</v>
      </c>
      <c r="AH45" s="406">
        <f>AG45*(1+'Driver PIB'!AH$2)</f>
        <v>0</v>
      </c>
      <c r="AI45" s="406">
        <f>AH45*(1+'Driver PIB'!AI$2)</f>
        <v>0</v>
      </c>
      <c r="AJ45" s="406">
        <f>AI45*(1+'Driver PIB'!AJ$2)</f>
        <v>0</v>
      </c>
      <c r="AK45" s="450"/>
    </row>
    <row r="46" spans="1:37" ht="14.25" customHeight="1" x14ac:dyDescent="0.45">
      <c r="A46" s="618"/>
      <c r="B46" s="400"/>
      <c r="C46" s="405" t="s">
        <v>482</v>
      </c>
      <c r="D46" s="413"/>
      <c r="E46" s="413"/>
      <c r="F46" s="413"/>
      <c r="G46" s="413"/>
      <c r="H46" s="406">
        <f>G46*(1+'Driver PIB'!H$2)</f>
        <v>0</v>
      </c>
      <c r="I46" s="406">
        <f>H46*(1+'Driver PIB'!I$2)</f>
        <v>0</v>
      </c>
      <c r="J46" s="406">
        <f>I46*(1+'Driver PIB'!J$2)</f>
        <v>0</v>
      </c>
      <c r="K46" s="406">
        <f>J46*(1+'Driver PIB'!K$2)</f>
        <v>0</v>
      </c>
      <c r="L46" s="406">
        <f>K46*(1+'Driver PIB'!L$2)</f>
        <v>0</v>
      </c>
      <c r="M46" s="406">
        <f>L46*(1+'Driver PIB'!M$2)</f>
        <v>0</v>
      </c>
      <c r="N46" s="406">
        <f>M46*(1+'Driver PIB'!N$2)</f>
        <v>0</v>
      </c>
      <c r="O46" s="406">
        <f>N46*(1+'Driver PIB'!O$2)</f>
        <v>0</v>
      </c>
      <c r="P46" s="406">
        <f>O46*(1+'Driver PIB'!P$2)</f>
        <v>0</v>
      </c>
      <c r="Q46" s="406">
        <f>P46*(1+'Driver PIB'!Q$2)</f>
        <v>0</v>
      </c>
      <c r="R46" s="406">
        <f>Q46*(1+'Driver PIB'!R$2)</f>
        <v>0</v>
      </c>
      <c r="S46" s="406">
        <f>R46*(1+'Driver PIB'!S$2)</f>
        <v>0</v>
      </c>
      <c r="T46" s="406">
        <f>S46*(1+'Driver PIB'!T$2)</f>
        <v>0</v>
      </c>
      <c r="U46" s="406">
        <f>T46*(1+'Driver PIB'!U$2)</f>
        <v>0</v>
      </c>
      <c r="V46" s="406">
        <f>U46*(1+'Driver PIB'!V$2)</f>
        <v>0</v>
      </c>
      <c r="W46" s="406">
        <f>V46*(1+'Driver PIB'!W$2)</f>
        <v>0</v>
      </c>
      <c r="X46" s="406">
        <f>W46*(1+'Driver PIB'!X$2)</f>
        <v>0</v>
      </c>
      <c r="Y46" s="406">
        <f>X46*(1+'Driver PIB'!Y$2)</f>
        <v>0</v>
      </c>
      <c r="Z46" s="406">
        <f>Y46*(1+'Driver PIB'!Z$2)</f>
        <v>0</v>
      </c>
      <c r="AA46" s="406">
        <f>Z46*(1+'Driver PIB'!AA$2)</f>
        <v>0</v>
      </c>
      <c r="AB46" s="406">
        <f>AA46*(1+'Driver PIB'!AB$2)</f>
        <v>0</v>
      </c>
      <c r="AC46" s="406">
        <f>AB46*(1+'Driver PIB'!AC$2)</f>
        <v>0</v>
      </c>
      <c r="AD46" s="406">
        <f>AC46*(1+'Driver PIB'!AD$2)</f>
        <v>0</v>
      </c>
      <c r="AE46" s="406">
        <f>AD46*(1+'Driver PIB'!AE$2)</f>
        <v>0</v>
      </c>
      <c r="AF46" s="406">
        <f>AE46*(1+'Driver PIB'!AF$2)</f>
        <v>0</v>
      </c>
      <c r="AG46" s="406">
        <f>AF46*(1+'Driver PIB'!AG$2)</f>
        <v>0</v>
      </c>
      <c r="AH46" s="406">
        <f>AG46*(1+'Driver PIB'!AH$2)</f>
        <v>0</v>
      </c>
      <c r="AI46" s="406">
        <f>AH46*(1+'Driver PIB'!AI$2)</f>
        <v>0</v>
      </c>
      <c r="AJ46" s="406">
        <f>AI46*(1+'Driver PIB'!AJ$2)</f>
        <v>0</v>
      </c>
      <c r="AK46" s="450"/>
    </row>
    <row r="47" spans="1:37" ht="14.25" customHeight="1" x14ac:dyDescent="0.45">
      <c r="A47" s="618">
        <v>2</v>
      </c>
      <c r="B47" s="400"/>
      <c r="C47" s="408" t="s">
        <v>484</v>
      </c>
      <c r="D47" s="413"/>
      <c r="E47" s="413"/>
      <c r="F47" s="413"/>
      <c r="G47" s="413"/>
      <c r="H47" s="406">
        <f>G47*(1+'Driver PIB'!H$2)</f>
        <v>0</v>
      </c>
      <c r="I47" s="406">
        <f>H47*(1+'Driver PIB'!I$2)</f>
        <v>0</v>
      </c>
      <c r="J47" s="406">
        <f>I47*(1+'Driver PIB'!J$2)</f>
        <v>0</v>
      </c>
      <c r="K47" s="406">
        <f>J47*(1+'Driver PIB'!K$2)</f>
        <v>0</v>
      </c>
      <c r="L47" s="406">
        <f>K47*(1+'Driver PIB'!L$2)</f>
        <v>0</v>
      </c>
      <c r="M47" s="406">
        <f>L47*(1+'Driver PIB'!M$2)</f>
        <v>0</v>
      </c>
      <c r="N47" s="406">
        <f>M47*(1+'Driver PIB'!N$2)</f>
        <v>0</v>
      </c>
      <c r="O47" s="406">
        <f>N47*(1+'Driver PIB'!O$2)</f>
        <v>0</v>
      </c>
      <c r="P47" s="406">
        <f>O47*(1+'Driver PIB'!P$2)</f>
        <v>0</v>
      </c>
      <c r="Q47" s="406">
        <f>P47*(1+'Driver PIB'!Q$2)</f>
        <v>0</v>
      </c>
      <c r="R47" s="406">
        <f>Q47*(1+'Driver PIB'!R$2)</f>
        <v>0</v>
      </c>
      <c r="S47" s="406">
        <f>R47*(1+'Driver PIB'!S$2)</f>
        <v>0</v>
      </c>
      <c r="T47" s="406">
        <f>S47*(1+'Driver PIB'!T$2)</f>
        <v>0</v>
      </c>
      <c r="U47" s="406">
        <f>T47*(1+'Driver PIB'!U$2)</f>
        <v>0</v>
      </c>
      <c r="V47" s="406">
        <f>U47*(1+'Driver PIB'!V$2)</f>
        <v>0</v>
      </c>
      <c r="W47" s="406">
        <f>V47*(1+'Driver PIB'!W$2)</f>
        <v>0</v>
      </c>
      <c r="X47" s="406">
        <f>W47*(1+'Driver PIB'!X$2)</f>
        <v>0</v>
      </c>
      <c r="Y47" s="406">
        <f>X47*(1+'Driver PIB'!Y$2)</f>
        <v>0</v>
      </c>
      <c r="Z47" s="406">
        <f>Y47*(1+'Driver PIB'!Z$2)</f>
        <v>0</v>
      </c>
      <c r="AA47" s="406">
        <f>Z47*(1+'Driver PIB'!AA$2)</f>
        <v>0</v>
      </c>
      <c r="AB47" s="406">
        <f>AA47*(1+'Driver PIB'!AB$2)</f>
        <v>0</v>
      </c>
      <c r="AC47" s="406">
        <f>AB47*(1+'Driver PIB'!AC$2)</f>
        <v>0</v>
      </c>
      <c r="AD47" s="406">
        <f>AC47*(1+'Driver PIB'!AD$2)</f>
        <v>0</v>
      </c>
      <c r="AE47" s="406">
        <f>AD47*(1+'Driver PIB'!AE$2)</f>
        <v>0</v>
      </c>
      <c r="AF47" s="406">
        <f>AE47*(1+'Driver PIB'!AF$2)</f>
        <v>0</v>
      </c>
      <c r="AG47" s="406">
        <f>AF47*(1+'Driver PIB'!AG$2)</f>
        <v>0</v>
      </c>
      <c r="AH47" s="406">
        <f>AG47*(1+'Driver PIB'!AH$2)</f>
        <v>0</v>
      </c>
      <c r="AI47" s="406">
        <f>AH47*(1+'Driver PIB'!AI$2)</f>
        <v>0</v>
      </c>
      <c r="AJ47" s="406">
        <f>AI47*(1+'Driver PIB'!AJ$2)</f>
        <v>0</v>
      </c>
      <c r="AK47" s="450"/>
    </row>
    <row r="48" spans="1:37" ht="14.25" customHeight="1" x14ac:dyDescent="0.45">
      <c r="A48" s="618"/>
      <c r="B48" s="400"/>
      <c r="C48" s="405" t="s">
        <v>486</v>
      </c>
      <c r="D48" s="406">
        <f>'Copia de Demandas de energía '!D48*1000*($E$110)</f>
        <v>1.4845132120951199</v>
      </c>
      <c r="E48" s="406">
        <f>'Copia de Demandas de energía '!E48*1000*($E$110)</f>
        <v>1.13953077161862</v>
      </c>
      <c r="F48" s="406">
        <f>'Copia de Demandas de energía '!F48*1000*($E$110)</f>
        <v>1.7355139926919898</v>
      </c>
      <c r="G48" s="406">
        <f>'Copia de Demandas de energía '!G48*1000*($E$110)</f>
        <v>1.9880149502736599</v>
      </c>
      <c r="H48" s="406">
        <f>G48*(1+'Driver PIB'!H$2)</f>
        <v>2.0485005818488706</v>
      </c>
      <c r="I48" s="406">
        <f>H48*(1+'Driver PIB'!I$2)</f>
        <v>2.1015081099641533</v>
      </c>
      <c r="J48" s="406">
        <f>I48*(1+'Driver PIB'!J$2)</f>
        <v>2.161765648589669</v>
      </c>
      <c r="K48" s="406">
        <f>J48*(1+'Driver PIB'!K$2)</f>
        <v>2.2262643460753178</v>
      </c>
      <c r="L48" s="406">
        <f>K48*(1+'Driver PIB'!L$2)</f>
        <v>2.2945362394263862</v>
      </c>
      <c r="M48" s="406">
        <f>L48*(1+'Driver PIB'!M$2)</f>
        <v>2.3554967452864934</v>
      </c>
      <c r="N48" s="406">
        <f>M48*(1+'Driver PIB'!N$2)</f>
        <v>2.4227693519017723</v>
      </c>
      <c r="O48" s="406">
        <f>N48*(1+'Driver PIB'!O$2)</f>
        <v>2.4762051215397558</v>
      </c>
      <c r="P48" s="406">
        <f>O48*(1+'Driver PIB'!P$2)</f>
        <v>2.5354237847376955</v>
      </c>
      <c r="Q48" s="406">
        <f>P48*(1+'Driver PIB'!Q$2)</f>
        <v>2.6159816095597703</v>
      </c>
      <c r="R48" s="406">
        <f>Q48*(1+'Driver PIB'!R$2)</f>
        <v>2.6807568717390566</v>
      </c>
      <c r="S48" s="406">
        <f>R48*(1+'Driver PIB'!S$2)</f>
        <v>2.7585162553642677</v>
      </c>
      <c r="T48" s="406">
        <f>S48*(1+'Driver PIB'!T$2)</f>
        <v>2.8240498843787876</v>
      </c>
      <c r="U48" s="406">
        <f>T48*(1+'Driver PIB'!U$2)</f>
        <v>2.8910743348387915</v>
      </c>
      <c r="V48" s="406">
        <f>U48*(1+'Driver PIB'!V$2)</f>
        <v>2.9651601903939264</v>
      </c>
      <c r="W48" s="406">
        <f>V48*(1+'Driver PIB'!W$2)</f>
        <v>3.032698926272237</v>
      </c>
      <c r="X48" s="406">
        <f>W48*(1+'Driver PIB'!X$2)</f>
        <v>3.1040034699305092</v>
      </c>
      <c r="Y48" s="406">
        <f>X48*(1+'Driver PIB'!Y$2)</f>
        <v>3.1825187824336987</v>
      </c>
      <c r="Z48" s="406">
        <f>Y48*(1+'Driver PIB'!Z$2)</f>
        <v>3.2550707274543784</v>
      </c>
      <c r="AA48" s="406">
        <f>Z48*(1+'Driver PIB'!AA$2)</f>
        <v>3.329634104388183</v>
      </c>
      <c r="AB48" s="406">
        <f>AA48*(1+'Driver PIB'!AB$2)</f>
        <v>3.404086894259557</v>
      </c>
      <c r="AC48" s="406">
        <f>AB48*(1+'Driver PIB'!AC$2)</f>
        <v>3.463898651271625</v>
      </c>
      <c r="AD48" s="406">
        <f>AC48*(1+'Driver PIB'!AD$2)</f>
        <v>3.5400811517574202</v>
      </c>
      <c r="AE48" s="406">
        <f>AD48*(1+'Driver PIB'!AE$2)</f>
        <v>3.6061597686678817</v>
      </c>
      <c r="AF48" s="406">
        <f>AE48*(1+'Driver PIB'!AF$2)</f>
        <v>3.6888695554748754</v>
      </c>
      <c r="AG48" s="406">
        <f>AF48*(1+'Driver PIB'!AG$2)</f>
        <v>3.7571247090355246</v>
      </c>
      <c r="AH48" s="406">
        <f>AG48*(1+'Driver PIB'!AH$2)</f>
        <v>3.8247197311175403</v>
      </c>
      <c r="AI48" s="406">
        <f>AH48*(1+'Driver PIB'!AI$2)</f>
        <v>3.8948007534768654</v>
      </c>
      <c r="AJ48" s="406">
        <f>AI48*(1+'Driver PIB'!AJ$2)</f>
        <v>3.9654083518863659</v>
      </c>
      <c r="AK48" s="450"/>
    </row>
    <row r="49" spans="1:37" ht="14.25" customHeight="1" x14ac:dyDescent="0.45">
      <c r="A49" s="618"/>
      <c r="B49" s="400"/>
      <c r="C49" s="405" t="s">
        <v>488</v>
      </c>
      <c r="D49" s="406"/>
      <c r="E49" s="406"/>
      <c r="F49" s="406"/>
      <c r="G49" s="406"/>
      <c r="H49" s="406">
        <f>G49*(1+'Driver PIB'!H$2)</f>
        <v>0</v>
      </c>
      <c r="I49" s="406">
        <f>H49*(1+'Driver PIB'!I$2)</f>
        <v>0</v>
      </c>
      <c r="J49" s="406">
        <f>I49*(1+'Driver PIB'!J$2)</f>
        <v>0</v>
      </c>
      <c r="K49" s="406">
        <f>J49*(1+'Driver PIB'!K$2)</f>
        <v>0</v>
      </c>
      <c r="L49" s="406">
        <f>K49*(1+'Driver PIB'!L$2)</f>
        <v>0</v>
      </c>
      <c r="M49" s="406">
        <f>L49*(1+'Driver PIB'!M$2)</f>
        <v>0</v>
      </c>
      <c r="N49" s="406">
        <f>M49*(1+'Driver PIB'!N$2)</f>
        <v>0</v>
      </c>
      <c r="O49" s="406">
        <f>N49*(1+'Driver PIB'!O$2)</f>
        <v>0</v>
      </c>
      <c r="P49" s="406">
        <f>O49*(1+'Driver PIB'!P$2)</f>
        <v>0</v>
      </c>
      <c r="Q49" s="406">
        <f>P49*(1+'Driver PIB'!Q$2)</f>
        <v>0</v>
      </c>
      <c r="R49" s="406">
        <f>Q49*(1+'Driver PIB'!R$2)</f>
        <v>0</v>
      </c>
      <c r="S49" s="406">
        <f>R49*(1+'Driver PIB'!S$2)</f>
        <v>0</v>
      </c>
      <c r="T49" s="406">
        <f>S49*(1+'Driver PIB'!T$2)</f>
        <v>0</v>
      </c>
      <c r="U49" s="406">
        <f>T49*(1+'Driver PIB'!U$2)</f>
        <v>0</v>
      </c>
      <c r="V49" s="406">
        <f>U49*(1+'Driver PIB'!V$2)</f>
        <v>0</v>
      </c>
      <c r="W49" s="406">
        <f>V49*(1+'Driver PIB'!W$2)</f>
        <v>0</v>
      </c>
      <c r="X49" s="406">
        <f>W49*(1+'Driver PIB'!X$2)</f>
        <v>0</v>
      </c>
      <c r="Y49" s="406">
        <f>X49*(1+'Driver PIB'!Y$2)</f>
        <v>0</v>
      </c>
      <c r="Z49" s="406">
        <f>Y49*(1+'Driver PIB'!Z$2)</f>
        <v>0</v>
      </c>
      <c r="AA49" s="406">
        <f>Z49*(1+'Driver PIB'!AA$2)</f>
        <v>0</v>
      </c>
      <c r="AB49" s="406">
        <f>AA49*(1+'Driver PIB'!AB$2)</f>
        <v>0</v>
      </c>
      <c r="AC49" s="406">
        <f>AB49*(1+'Driver PIB'!AC$2)</f>
        <v>0</v>
      </c>
      <c r="AD49" s="406">
        <f>AC49*(1+'Driver PIB'!AD$2)</f>
        <v>0</v>
      </c>
      <c r="AE49" s="406">
        <f>AD49*(1+'Driver PIB'!AE$2)</f>
        <v>0</v>
      </c>
      <c r="AF49" s="406">
        <f>AE49*(1+'Driver PIB'!AF$2)</f>
        <v>0</v>
      </c>
      <c r="AG49" s="406">
        <f>AF49*(1+'Driver PIB'!AG$2)</f>
        <v>0</v>
      </c>
      <c r="AH49" s="406">
        <f>AG49*(1+'Driver PIB'!AH$2)</f>
        <v>0</v>
      </c>
      <c r="AI49" s="406">
        <f>AH49*(1+'Driver PIB'!AI$2)</f>
        <v>0</v>
      </c>
      <c r="AJ49" s="406">
        <f>AI49*(1+'Driver PIB'!AJ$2)</f>
        <v>0</v>
      </c>
      <c r="AK49" s="450"/>
    </row>
    <row r="50" spans="1:37" ht="14.25" customHeight="1" x14ac:dyDescent="0.45">
      <c r="A50" s="618">
        <v>2</v>
      </c>
      <c r="B50" s="400"/>
      <c r="C50" s="408" t="s">
        <v>489</v>
      </c>
      <c r="D50" s="406"/>
      <c r="E50" s="406"/>
      <c r="F50" s="406"/>
      <c r="G50" s="406"/>
      <c r="H50" s="406">
        <f>G50*(1+'Driver PIB'!H$2)</f>
        <v>0</v>
      </c>
      <c r="I50" s="406">
        <f>H50*(1+'Driver PIB'!I$2)</f>
        <v>0</v>
      </c>
      <c r="J50" s="406">
        <f>I50*(1+'Driver PIB'!J$2)</f>
        <v>0</v>
      </c>
      <c r="K50" s="406">
        <f>J50*(1+'Driver PIB'!K$2)</f>
        <v>0</v>
      </c>
      <c r="L50" s="406">
        <f>K50*(1+'Driver PIB'!L$2)</f>
        <v>0</v>
      </c>
      <c r="M50" s="406">
        <f>L50*(1+'Driver PIB'!M$2)</f>
        <v>0</v>
      </c>
      <c r="N50" s="406">
        <f>M50*(1+'Driver PIB'!N$2)</f>
        <v>0</v>
      </c>
      <c r="O50" s="406">
        <f>N50*(1+'Driver PIB'!O$2)</f>
        <v>0</v>
      </c>
      <c r="P50" s="406">
        <f>O50*(1+'Driver PIB'!P$2)</f>
        <v>0</v>
      </c>
      <c r="Q50" s="406">
        <f>P50*(1+'Driver PIB'!Q$2)</f>
        <v>0</v>
      </c>
      <c r="R50" s="406">
        <f>Q50*(1+'Driver PIB'!R$2)</f>
        <v>0</v>
      </c>
      <c r="S50" s="406">
        <f>R50*(1+'Driver PIB'!S$2)</f>
        <v>0</v>
      </c>
      <c r="T50" s="406">
        <f>S50*(1+'Driver PIB'!T$2)</f>
        <v>0</v>
      </c>
      <c r="U50" s="406">
        <f>T50*(1+'Driver PIB'!U$2)</f>
        <v>0</v>
      </c>
      <c r="V50" s="406">
        <f>U50*(1+'Driver PIB'!V$2)</f>
        <v>0</v>
      </c>
      <c r="W50" s="406">
        <f>V50*(1+'Driver PIB'!W$2)</f>
        <v>0</v>
      </c>
      <c r="X50" s="406">
        <f>W50*(1+'Driver PIB'!X$2)</f>
        <v>0</v>
      </c>
      <c r="Y50" s="406">
        <f>X50*(1+'Driver PIB'!Y$2)</f>
        <v>0</v>
      </c>
      <c r="Z50" s="406">
        <f>Y50*(1+'Driver PIB'!Z$2)</f>
        <v>0</v>
      </c>
      <c r="AA50" s="406">
        <f>Z50*(1+'Driver PIB'!AA$2)</f>
        <v>0</v>
      </c>
      <c r="AB50" s="406">
        <f>AA50*(1+'Driver PIB'!AB$2)</f>
        <v>0</v>
      </c>
      <c r="AC50" s="406">
        <f>AB50*(1+'Driver PIB'!AC$2)</f>
        <v>0</v>
      </c>
      <c r="AD50" s="406">
        <f>AC50*(1+'Driver PIB'!AD$2)</f>
        <v>0</v>
      </c>
      <c r="AE50" s="406">
        <f>AD50*(1+'Driver PIB'!AE$2)</f>
        <v>0</v>
      </c>
      <c r="AF50" s="406">
        <f>AE50*(1+'Driver PIB'!AF$2)</f>
        <v>0</v>
      </c>
      <c r="AG50" s="406">
        <f>AF50*(1+'Driver PIB'!AG$2)</f>
        <v>0</v>
      </c>
      <c r="AH50" s="406">
        <f>AG50*(1+'Driver PIB'!AH$2)</f>
        <v>0</v>
      </c>
      <c r="AI50" s="406">
        <f>AH50*(1+'Driver PIB'!AI$2)</f>
        <v>0</v>
      </c>
      <c r="AJ50" s="406">
        <f>AI50*(1+'Driver PIB'!AJ$2)</f>
        <v>0</v>
      </c>
      <c r="AK50" s="450"/>
    </row>
    <row r="51" spans="1:37" ht="14.25" customHeight="1" x14ac:dyDescent="0.45">
      <c r="A51" s="618"/>
      <c r="B51" s="400"/>
      <c r="C51" s="405" t="s">
        <v>396</v>
      </c>
      <c r="D51" s="406"/>
      <c r="E51" s="406"/>
      <c r="F51" s="406"/>
      <c r="G51" s="406"/>
      <c r="H51" s="406">
        <f>G51*(1+'Driver PIB'!H$2)</f>
        <v>0</v>
      </c>
      <c r="I51" s="406">
        <f>H51*(1+'Driver PIB'!I$2)</f>
        <v>0</v>
      </c>
      <c r="J51" s="406">
        <f>I51*(1+'Driver PIB'!J$2)</f>
        <v>0</v>
      </c>
      <c r="K51" s="406">
        <f>J51*(1+'Driver PIB'!K$2)</f>
        <v>0</v>
      </c>
      <c r="L51" s="406">
        <f>K51*(1+'Driver PIB'!L$2)</f>
        <v>0</v>
      </c>
      <c r="M51" s="406">
        <f>L51*(1+'Driver PIB'!M$2)</f>
        <v>0</v>
      </c>
      <c r="N51" s="406">
        <f>M51*(1+'Driver PIB'!N$2)</f>
        <v>0</v>
      </c>
      <c r="O51" s="406">
        <f>N51*(1+'Driver PIB'!O$2)</f>
        <v>0</v>
      </c>
      <c r="P51" s="406">
        <f>O51*(1+'Driver PIB'!P$2)</f>
        <v>0</v>
      </c>
      <c r="Q51" s="406">
        <f>P51*(1+'Driver PIB'!Q$2)</f>
        <v>0</v>
      </c>
      <c r="R51" s="406">
        <f>Q51*(1+'Driver PIB'!R$2)</f>
        <v>0</v>
      </c>
      <c r="S51" s="406">
        <f>R51*(1+'Driver PIB'!S$2)</f>
        <v>0</v>
      </c>
      <c r="T51" s="406">
        <f>S51*(1+'Driver PIB'!T$2)</f>
        <v>0</v>
      </c>
      <c r="U51" s="406">
        <f>T51*(1+'Driver PIB'!U$2)</f>
        <v>0</v>
      </c>
      <c r="V51" s="406">
        <f>U51*(1+'Driver PIB'!V$2)</f>
        <v>0</v>
      </c>
      <c r="W51" s="406">
        <f>V51*(1+'Driver PIB'!W$2)</f>
        <v>0</v>
      </c>
      <c r="X51" s="406">
        <f>W51*(1+'Driver PIB'!X$2)</f>
        <v>0</v>
      </c>
      <c r="Y51" s="406">
        <f>X51*(1+'Driver PIB'!Y$2)</f>
        <v>0</v>
      </c>
      <c r="Z51" s="406">
        <f>Y51*(1+'Driver PIB'!Z$2)</f>
        <v>0</v>
      </c>
      <c r="AA51" s="406">
        <f>Z51*(1+'Driver PIB'!AA$2)</f>
        <v>0</v>
      </c>
      <c r="AB51" s="406">
        <f>AA51*(1+'Driver PIB'!AB$2)</f>
        <v>0</v>
      </c>
      <c r="AC51" s="406">
        <f>AB51*(1+'Driver PIB'!AC$2)</f>
        <v>0</v>
      </c>
      <c r="AD51" s="406">
        <f>AC51*(1+'Driver PIB'!AD$2)</f>
        <v>0</v>
      </c>
      <c r="AE51" s="406">
        <f>AD51*(1+'Driver PIB'!AE$2)</f>
        <v>0</v>
      </c>
      <c r="AF51" s="406">
        <f>AE51*(1+'Driver PIB'!AF$2)</f>
        <v>0</v>
      </c>
      <c r="AG51" s="406">
        <f>AF51*(1+'Driver PIB'!AG$2)</f>
        <v>0</v>
      </c>
      <c r="AH51" s="406">
        <f>AG51*(1+'Driver PIB'!AH$2)</f>
        <v>0</v>
      </c>
      <c r="AI51" s="406">
        <f>AH51*(1+'Driver PIB'!AI$2)</f>
        <v>0</v>
      </c>
      <c r="AJ51" s="406">
        <f>AI51*(1+'Driver PIB'!AJ$2)</f>
        <v>0</v>
      </c>
      <c r="AK51" s="450"/>
    </row>
    <row r="52" spans="1:37" ht="14.25" customHeight="1" x14ac:dyDescent="0.45">
      <c r="A52" s="618"/>
      <c r="B52" s="400"/>
      <c r="C52" s="405" t="s">
        <v>397</v>
      </c>
      <c r="D52" s="406"/>
      <c r="E52" s="406"/>
      <c r="F52" s="406"/>
      <c r="G52" s="406"/>
      <c r="H52" s="406">
        <f>G52*(1+'Driver PIB'!H$2)</f>
        <v>0</v>
      </c>
      <c r="I52" s="406">
        <f>H52*(1+'Driver PIB'!I$2)</f>
        <v>0</v>
      </c>
      <c r="J52" s="406">
        <f>I52*(1+'Driver PIB'!J$2)</f>
        <v>0</v>
      </c>
      <c r="K52" s="406">
        <f>J52*(1+'Driver PIB'!K$2)</f>
        <v>0</v>
      </c>
      <c r="L52" s="406">
        <f>K52*(1+'Driver PIB'!L$2)</f>
        <v>0</v>
      </c>
      <c r="M52" s="406">
        <f>L52*(1+'Driver PIB'!M$2)</f>
        <v>0</v>
      </c>
      <c r="N52" s="406">
        <f>M52*(1+'Driver PIB'!N$2)</f>
        <v>0</v>
      </c>
      <c r="O52" s="406">
        <f>N52*(1+'Driver PIB'!O$2)</f>
        <v>0</v>
      </c>
      <c r="P52" s="406">
        <f>O52*(1+'Driver PIB'!P$2)</f>
        <v>0</v>
      </c>
      <c r="Q52" s="406">
        <f>P52*(1+'Driver PIB'!Q$2)</f>
        <v>0</v>
      </c>
      <c r="R52" s="406">
        <f>Q52*(1+'Driver PIB'!R$2)</f>
        <v>0</v>
      </c>
      <c r="S52" s="406">
        <f>R52*(1+'Driver PIB'!S$2)</f>
        <v>0</v>
      </c>
      <c r="T52" s="406">
        <f>S52*(1+'Driver PIB'!T$2)</f>
        <v>0</v>
      </c>
      <c r="U52" s="406">
        <f>T52*(1+'Driver PIB'!U$2)</f>
        <v>0</v>
      </c>
      <c r="V52" s="406">
        <f>U52*(1+'Driver PIB'!V$2)</f>
        <v>0</v>
      </c>
      <c r="W52" s="406">
        <f>V52*(1+'Driver PIB'!W$2)</f>
        <v>0</v>
      </c>
      <c r="X52" s="406">
        <f>W52*(1+'Driver PIB'!X$2)</f>
        <v>0</v>
      </c>
      <c r="Y52" s="406">
        <f>X52*(1+'Driver PIB'!Y$2)</f>
        <v>0</v>
      </c>
      <c r="Z52" s="406">
        <f>Y52*(1+'Driver PIB'!Z$2)</f>
        <v>0</v>
      </c>
      <c r="AA52" s="406">
        <f>Z52*(1+'Driver PIB'!AA$2)</f>
        <v>0</v>
      </c>
      <c r="AB52" s="406">
        <f>AA52*(1+'Driver PIB'!AB$2)</f>
        <v>0</v>
      </c>
      <c r="AC52" s="406">
        <f>AB52*(1+'Driver PIB'!AC$2)</f>
        <v>0</v>
      </c>
      <c r="AD52" s="406">
        <f>AC52*(1+'Driver PIB'!AD$2)</f>
        <v>0</v>
      </c>
      <c r="AE52" s="406">
        <f>AD52*(1+'Driver PIB'!AE$2)</f>
        <v>0</v>
      </c>
      <c r="AF52" s="406">
        <f>AE52*(1+'Driver PIB'!AF$2)</f>
        <v>0</v>
      </c>
      <c r="AG52" s="406">
        <f>AF52*(1+'Driver PIB'!AG$2)</f>
        <v>0</v>
      </c>
      <c r="AH52" s="406">
        <f>AG52*(1+'Driver PIB'!AH$2)</f>
        <v>0</v>
      </c>
      <c r="AI52" s="406">
        <f>AH52*(1+'Driver PIB'!AI$2)</f>
        <v>0</v>
      </c>
      <c r="AJ52" s="406">
        <f>AI52*(1+'Driver PIB'!AJ$2)</f>
        <v>0</v>
      </c>
      <c r="AK52" s="450"/>
    </row>
    <row r="53" spans="1:37" ht="14.25" customHeight="1" x14ac:dyDescent="0.45">
      <c r="A53" s="618"/>
      <c r="B53" s="400"/>
      <c r="C53" s="405" t="s">
        <v>398</v>
      </c>
      <c r="D53" s="406"/>
      <c r="E53" s="406"/>
      <c r="F53" s="406"/>
      <c r="G53" s="406"/>
      <c r="H53" s="406">
        <f>G53*(1+'Driver PIB'!H$2)</f>
        <v>0</v>
      </c>
      <c r="I53" s="406">
        <f>H53*(1+'Driver PIB'!I$2)</f>
        <v>0</v>
      </c>
      <c r="J53" s="406">
        <f>I53*(1+'Driver PIB'!J$2)</f>
        <v>0</v>
      </c>
      <c r="K53" s="406">
        <f>J53*(1+'Driver PIB'!K$2)</f>
        <v>0</v>
      </c>
      <c r="L53" s="406">
        <f>K53*(1+'Driver PIB'!L$2)</f>
        <v>0</v>
      </c>
      <c r="M53" s="406">
        <f>L53*(1+'Driver PIB'!M$2)</f>
        <v>0</v>
      </c>
      <c r="N53" s="406">
        <f>M53*(1+'Driver PIB'!N$2)</f>
        <v>0</v>
      </c>
      <c r="O53" s="406">
        <f>N53*(1+'Driver PIB'!O$2)</f>
        <v>0</v>
      </c>
      <c r="P53" s="406">
        <f>O53*(1+'Driver PIB'!P$2)</f>
        <v>0</v>
      </c>
      <c r="Q53" s="406">
        <f>P53*(1+'Driver PIB'!Q$2)</f>
        <v>0</v>
      </c>
      <c r="R53" s="406">
        <f>Q53*(1+'Driver PIB'!R$2)</f>
        <v>0</v>
      </c>
      <c r="S53" s="406">
        <f>R53*(1+'Driver PIB'!S$2)</f>
        <v>0</v>
      </c>
      <c r="T53" s="406">
        <f>S53*(1+'Driver PIB'!T$2)</f>
        <v>0</v>
      </c>
      <c r="U53" s="406">
        <f>T53*(1+'Driver PIB'!U$2)</f>
        <v>0</v>
      </c>
      <c r="V53" s="406">
        <f>U53*(1+'Driver PIB'!V$2)</f>
        <v>0</v>
      </c>
      <c r="W53" s="406">
        <f>V53*(1+'Driver PIB'!W$2)</f>
        <v>0</v>
      </c>
      <c r="X53" s="406">
        <f>W53*(1+'Driver PIB'!X$2)</f>
        <v>0</v>
      </c>
      <c r="Y53" s="406">
        <f>X53*(1+'Driver PIB'!Y$2)</f>
        <v>0</v>
      </c>
      <c r="Z53" s="406">
        <f>Y53*(1+'Driver PIB'!Z$2)</f>
        <v>0</v>
      </c>
      <c r="AA53" s="406">
        <f>Z53*(1+'Driver PIB'!AA$2)</f>
        <v>0</v>
      </c>
      <c r="AB53" s="406">
        <f>AA53*(1+'Driver PIB'!AB$2)</f>
        <v>0</v>
      </c>
      <c r="AC53" s="406">
        <f>AB53*(1+'Driver PIB'!AC$2)</f>
        <v>0</v>
      </c>
      <c r="AD53" s="406">
        <f>AC53*(1+'Driver PIB'!AD$2)</f>
        <v>0</v>
      </c>
      <c r="AE53" s="406">
        <f>AD53*(1+'Driver PIB'!AE$2)</f>
        <v>0</v>
      </c>
      <c r="AF53" s="406">
        <f>AE53*(1+'Driver PIB'!AF$2)</f>
        <v>0</v>
      </c>
      <c r="AG53" s="406">
        <f>AF53*(1+'Driver PIB'!AG$2)</f>
        <v>0</v>
      </c>
      <c r="AH53" s="406">
        <f>AG53*(1+'Driver PIB'!AH$2)</f>
        <v>0</v>
      </c>
      <c r="AI53" s="406">
        <f>AH53*(1+'Driver PIB'!AI$2)</f>
        <v>0</v>
      </c>
      <c r="AJ53" s="406">
        <f>AI53*(1+'Driver PIB'!AJ$2)</f>
        <v>0</v>
      </c>
      <c r="AK53" s="450"/>
    </row>
    <row r="54" spans="1:37" ht="14.25" customHeight="1" x14ac:dyDescent="0.45">
      <c r="A54" s="618">
        <v>2</v>
      </c>
      <c r="B54" s="400"/>
      <c r="C54" s="405" t="s">
        <v>399</v>
      </c>
      <c r="D54" s="406">
        <f>'Copia de Demandas de energía '!D54*1000*($E$110)</f>
        <v>4.1532654304999994</v>
      </c>
      <c r="E54" s="406">
        <f>'Copia de Demandas de energía '!E54*1000*($E$110)</f>
        <v>4.1757529676000003</v>
      </c>
      <c r="F54" s="406">
        <f>'Copia de Demandas de energía '!F54*1000*($E$110)</f>
        <v>1.8891420873</v>
      </c>
      <c r="G54" s="406">
        <f>'Copia de Demandas de energía '!G54*1000*($E$110)</f>
        <v>2.5656579093</v>
      </c>
      <c r="H54" s="406">
        <f>G54*(1+'Driver PIB'!H$2)</f>
        <v>2.6437184083060981</v>
      </c>
      <c r="I54" s="406">
        <f>H54*(1+'Driver PIB'!I$2)</f>
        <v>2.7121279460425707</v>
      </c>
      <c r="J54" s="406">
        <f>I54*(1+'Driver PIB'!J$2)</f>
        <v>2.789894076799396</v>
      </c>
      <c r="K54" s="406">
        <f>J54*(1+'Driver PIB'!K$2)</f>
        <v>2.873133688916409</v>
      </c>
      <c r="L54" s="406">
        <f>K54*(1+'Driver PIB'!L$2)</f>
        <v>2.9612428468153187</v>
      </c>
      <c r="M54" s="406">
        <f>L54*(1+'Driver PIB'!M$2)</f>
        <v>3.0399162008529141</v>
      </c>
      <c r="N54" s="406">
        <f>M54*(1+'Driver PIB'!N$2)</f>
        <v>3.1267357165803786</v>
      </c>
      <c r="O54" s="406">
        <f>N54*(1+'Driver PIB'!O$2)</f>
        <v>3.1956979268456247</v>
      </c>
      <c r="P54" s="406">
        <f>O54*(1+'Driver PIB'!P$2)</f>
        <v>3.272123323742691</v>
      </c>
      <c r="Q54" s="406">
        <f>P54*(1+'Driver PIB'!Q$2)</f>
        <v>3.3760882463315829</v>
      </c>
      <c r="R54" s="406">
        <f>Q54*(1+'Driver PIB'!R$2)</f>
        <v>3.4596847825218116</v>
      </c>
      <c r="S54" s="406">
        <f>R54*(1+'Driver PIB'!S$2)</f>
        <v>3.5600381413297284</v>
      </c>
      <c r="T54" s="406">
        <f>S54*(1+'Driver PIB'!T$2)</f>
        <v>3.6446133974580035</v>
      </c>
      <c r="U54" s="406">
        <f>T54*(1+'Driver PIB'!U$2)</f>
        <v>3.7311126521117597</v>
      </c>
      <c r="V54" s="406">
        <f>U54*(1+'Driver PIB'!V$2)</f>
        <v>3.826725092675209</v>
      </c>
      <c r="W54" s="406">
        <f>V54*(1+'Driver PIB'!W$2)</f>
        <v>3.9138880648985612</v>
      </c>
      <c r="X54" s="406">
        <f>W54*(1+'Driver PIB'!X$2)</f>
        <v>4.0059110481164142</v>
      </c>
      <c r="Y54" s="406">
        <f>X54*(1+'Driver PIB'!Y$2)</f>
        <v>4.10723998052572</v>
      </c>
      <c r="Z54" s="406">
        <f>Y54*(1+'Driver PIB'!Z$2)</f>
        <v>4.2008728133933912</v>
      </c>
      <c r="AA54" s="406">
        <f>Z54*(1+'Driver PIB'!AA$2)</f>
        <v>4.2971015252287819</v>
      </c>
      <c r="AB54" s="406">
        <f>AA54*(1+'Driver PIB'!AB$2)</f>
        <v>4.3931875175281085</v>
      </c>
      <c r="AC54" s="406">
        <f>AB54*(1+'Driver PIB'!AC$2)</f>
        <v>4.4703783391695744</v>
      </c>
      <c r="AD54" s="406">
        <f>AC54*(1+'Driver PIB'!AD$2)</f>
        <v>4.5686966314413331</v>
      </c>
      <c r="AE54" s="406">
        <f>AD54*(1+'Driver PIB'!AE$2)</f>
        <v>4.6539752286111344</v>
      </c>
      <c r="AF54" s="406">
        <f>AE54*(1+'Driver PIB'!AF$2)</f>
        <v>4.7607173930343292</v>
      </c>
      <c r="AG54" s="406">
        <f>AF54*(1+'Driver PIB'!AG$2)</f>
        <v>4.8488049471843926</v>
      </c>
      <c r="AH54" s="406">
        <f>AG54*(1+'Driver PIB'!AH$2)</f>
        <v>4.9360405602818487</v>
      </c>
      <c r="AI54" s="406">
        <f>AH54*(1+'Driver PIB'!AI$2)</f>
        <v>5.0264845125686675</v>
      </c>
      <c r="AJ54" s="406">
        <f>AI54*(1+'Driver PIB'!AJ$2)</f>
        <v>5.1176080442559293</v>
      </c>
      <c r="AK54" s="450"/>
    </row>
    <row r="55" spans="1:37" ht="14.25" customHeight="1" x14ac:dyDescent="0.45">
      <c r="A55" s="4"/>
      <c r="B55" s="485"/>
      <c r="C55" s="404" t="s">
        <v>25</v>
      </c>
      <c r="D55" s="406">
        <f t="shared" ref="D55:AJ55" si="3">SUM(D45:D54)</f>
        <v>5.6377786425951193</v>
      </c>
      <c r="E55" s="406">
        <f t="shared" si="3"/>
        <v>5.3152837392186205</v>
      </c>
      <c r="F55" s="406">
        <f t="shared" si="3"/>
        <v>3.6246560799919898</v>
      </c>
      <c r="G55" s="406">
        <f t="shared" si="3"/>
        <v>4.55367285957366</v>
      </c>
      <c r="H55" s="486">
        <f t="shared" si="3"/>
        <v>4.6922189901549682</v>
      </c>
      <c r="I55" s="486">
        <f t="shared" si="3"/>
        <v>4.8136360560067235</v>
      </c>
      <c r="J55" s="486">
        <f t="shared" si="3"/>
        <v>4.9516597253890655</v>
      </c>
      <c r="K55" s="486">
        <f t="shared" si="3"/>
        <v>5.0993980349917267</v>
      </c>
      <c r="L55" s="486">
        <f t="shared" si="3"/>
        <v>5.2557790862417049</v>
      </c>
      <c r="M55" s="486">
        <f t="shared" si="3"/>
        <v>5.3954129461394071</v>
      </c>
      <c r="N55" s="486">
        <f t="shared" si="3"/>
        <v>5.5495050684821514</v>
      </c>
      <c r="O55" s="486">
        <f t="shared" si="3"/>
        <v>5.6719030483853805</v>
      </c>
      <c r="P55" s="486">
        <f t="shared" si="3"/>
        <v>5.8075471084803869</v>
      </c>
      <c r="Q55" s="486">
        <f t="shared" si="3"/>
        <v>5.9920698558913532</v>
      </c>
      <c r="R55" s="486">
        <f t="shared" si="3"/>
        <v>6.1404416542608686</v>
      </c>
      <c r="S55" s="486">
        <f t="shared" si="3"/>
        <v>6.3185543966939957</v>
      </c>
      <c r="T55" s="486">
        <f t="shared" si="3"/>
        <v>6.4686632818367915</v>
      </c>
      <c r="U55" s="486">
        <f t="shared" si="3"/>
        <v>6.6221869869505507</v>
      </c>
      <c r="V55" s="486">
        <f t="shared" si="3"/>
        <v>6.791885283069135</v>
      </c>
      <c r="W55" s="486">
        <f t="shared" si="3"/>
        <v>6.9465869911707987</v>
      </c>
      <c r="X55" s="486">
        <f t="shared" si="3"/>
        <v>7.1099145180469234</v>
      </c>
      <c r="Y55" s="486">
        <f t="shared" si="3"/>
        <v>7.2897587629594192</v>
      </c>
      <c r="Z55" s="486">
        <f t="shared" si="3"/>
        <v>7.4559435408477697</v>
      </c>
      <c r="AA55" s="486">
        <f t="shared" si="3"/>
        <v>7.6267356296169648</v>
      </c>
      <c r="AB55" s="486">
        <f t="shared" si="3"/>
        <v>7.7972744117876651</v>
      </c>
      <c r="AC55" s="486">
        <f t="shared" si="3"/>
        <v>7.9342769904411998</v>
      </c>
      <c r="AD55" s="486">
        <f t="shared" si="3"/>
        <v>8.1087777831987538</v>
      </c>
      <c r="AE55" s="486">
        <f t="shared" si="3"/>
        <v>8.2601349972790157</v>
      </c>
      <c r="AF55" s="486">
        <f t="shared" si="3"/>
        <v>8.4495869485092037</v>
      </c>
      <c r="AG55" s="486">
        <f t="shared" si="3"/>
        <v>8.6059296562199172</v>
      </c>
      <c r="AH55" s="486">
        <f t="shared" si="3"/>
        <v>8.7607602913993894</v>
      </c>
      <c r="AI55" s="486">
        <f t="shared" si="3"/>
        <v>8.9212852660455333</v>
      </c>
      <c r="AJ55" s="486">
        <f t="shared" si="3"/>
        <v>9.0830163961422947</v>
      </c>
      <c r="AK55" s="487"/>
    </row>
    <row r="56" spans="1:37" ht="14.25" customHeight="1" x14ac:dyDescent="0.45">
      <c r="A56" s="618"/>
      <c r="B56" s="400"/>
      <c r="C56" s="410"/>
      <c r="D56" s="401"/>
      <c r="E56" s="401"/>
      <c r="F56" s="401"/>
      <c r="G56" s="401"/>
      <c r="H56" s="401"/>
      <c r="I56" s="401"/>
      <c r="J56" s="401"/>
      <c r="K56" s="417"/>
      <c r="L56" s="401"/>
      <c r="M56" s="401"/>
      <c r="N56" s="401"/>
      <c r="O56" s="401"/>
      <c r="P56" s="417"/>
      <c r="Q56" s="401"/>
      <c r="R56" s="401"/>
      <c r="S56" s="401"/>
      <c r="T56" s="401"/>
      <c r="U56" s="417"/>
      <c r="V56" s="401"/>
      <c r="W56" s="401"/>
      <c r="X56" s="401"/>
      <c r="Y56" s="401"/>
      <c r="Z56" s="417"/>
      <c r="AA56" s="401"/>
      <c r="AB56" s="401"/>
      <c r="AC56" s="401"/>
      <c r="AD56" s="401"/>
      <c r="AE56" s="417"/>
      <c r="AF56" s="401"/>
      <c r="AG56" s="401"/>
      <c r="AH56" s="401"/>
      <c r="AI56" s="401"/>
      <c r="AJ56" s="417"/>
      <c r="AK56" s="450"/>
    </row>
    <row r="57" spans="1:37" ht="14.25" customHeight="1" x14ac:dyDescent="0.45">
      <c r="A57" s="618"/>
      <c r="B57" s="400"/>
      <c r="C57" s="404" t="s">
        <v>507</v>
      </c>
      <c r="D57" s="403"/>
      <c r="E57" s="403"/>
      <c r="F57" s="403"/>
      <c r="G57" s="403"/>
      <c r="H57" s="403"/>
      <c r="I57" s="403"/>
      <c r="J57" s="403"/>
      <c r="K57" s="415"/>
      <c r="L57" s="403"/>
      <c r="M57" s="403"/>
      <c r="N57" s="403"/>
      <c r="O57" s="403"/>
      <c r="P57" s="415"/>
      <c r="Q57" s="403"/>
      <c r="R57" s="403"/>
      <c r="S57" s="403"/>
      <c r="T57" s="403"/>
      <c r="U57" s="415"/>
      <c r="V57" s="403"/>
      <c r="W57" s="403"/>
      <c r="X57" s="403"/>
      <c r="Y57" s="403"/>
      <c r="Z57" s="415"/>
      <c r="AA57" s="403"/>
      <c r="AB57" s="403"/>
      <c r="AC57" s="403"/>
      <c r="AD57" s="403"/>
      <c r="AE57" s="415"/>
      <c r="AF57" s="403"/>
      <c r="AG57" s="403"/>
      <c r="AH57" s="403"/>
      <c r="AI57" s="403"/>
      <c r="AJ57" s="415"/>
      <c r="AK57" s="450"/>
    </row>
    <row r="58" spans="1:37" ht="14.25" customHeight="1" x14ac:dyDescent="0.45">
      <c r="A58" s="618"/>
      <c r="B58" s="400"/>
      <c r="C58" s="405" t="s">
        <v>480</v>
      </c>
      <c r="D58" s="406"/>
      <c r="E58" s="406"/>
      <c r="F58" s="406"/>
      <c r="G58" s="406"/>
      <c r="H58" s="406">
        <f>G58*(1+'Driver PIB'!H$2)</f>
        <v>0</v>
      </c>
      <c r="I58" s="406">
        <f>H58*(1+'Driver PIB'!I$2)</f>
        <v>0</v>
      </c>
      <c r="J58" s="406">
        <f>I58*(1+'Driver PIB'!J$2)</f>
        <v>0</v>
      </c>
      <c r="K58" s="406">
        <f>J58*(1+'Driver PIB'!K$2)</f>
        <v>0</v>
      </c>
      <c r="L58" s="406">
        <f>K58*(1+'Driver PIB'!L$2)</f>
        <v>0</v>
      </c>
      <c r="M58" s="406">
        <f>L58*(1+'Driver PIB'!M$2)</f>
        <v>0</v>
      </c>
      <c r="N58" s="406">
        <f>M58*(1+'Driver PIB'!N$2)</f>
        <v>0</v>
      </c>
      <c r="O58" s="406">
        <f>N58*(1+'Driver PIB'!O$2)</f>
        <v>0</v>
      </c>
      <c r="P58" s="406">
        <f>O58*(1+'Driver PIB'!P$2)</f>
        <v>0</v>
      </c>
      <c r="Q58" s="406">
        <f>P58*(1+'Driver PIB'!Q$2)</f>
        <v>0</v>
      </c>
      <c r="R58" s="406">
        <f>Q58*(1+'Driver PIB'!R$2)</f>
        <v>0</v>
      </c>
      <c r="S58" s="406">
        <f>R58*(1+'Driver PIB'!S$2)</f>
        <v>0</v>
      </c>
      <c r="T58" s="406">
        <f>S58*(1+'Driver PIB'!T$2)</f>
        <v>0</v>
      </c>
      <c r="U58" s="406">
        <f>T58*(1+'Driver PIB'!U$2)</f>
        <v>0</v>
      </c>
      <c r="V58" s="406">
        <f>U58*(1+'Driver PIB'!V$2)</f>
        <v>0</v>
      </c>
      <c r="W58" s="406">
        <f>V58*(1+'Driver PIB'!W$2)</f>
        <v>0</v>
      </c>
      <c r="X58" s="406">
        <f>W58*(1+'Driver PIB'!X$2)</f>
        <v>0</v>
      </c>
      <c r="Y58" s="406">
        <f>X58*(1+'Driver PIB'!Y$2)</f>
        <v>0</v>
      </c>
      <c r="Z58" s="406">
        <f>Y58*(1+'Driver PIB'!Z$2)</f>
        <v>0</v>
      </c>
      <c r="AA58" s="406">
        <f>Z58*(1+'Driver PIB'!AA$2)</f>
        <v>0</v>
      </c>
      <c r="AB58" s="406">
        <f>AA58*(1+'Driver PIB'!AB$2)</f>
        <v>0</v>
      </c>
      <c r="AC58" s="406">
        <f>AB58*(1+'Driver PIB'!AC$2)</f>
        <v>0</v>
      </c>
      <c r="AD58" s="406">
        <f>AC58*(1+'Driver PIB'!AD$2)</f>
        <v>0</v>
      </c>
      <c r="AE58" s="406">
        <f>AD58*(1+'Driver PIB'!AE$2)</f>
        <v>0</v>
      </c>
      <c r="AF58" s="406">
        <f>AE58*(1+'Driver PIB'!AF$2)</f>
        <v>0</v>
      </c>
      <c r="AG58" s="406">
        <f>AF58*(1+'Driver PIB'!AG$2)</f>
        <v>0</v>
      </c>
      <c r="AH58" s="406">
        <f>AG58*(1+'Driver PIB'!AH$2)</f>
        <v>0</v>
      </c>
      <c r="AI58" s="406">
        <f>AH58*(1+'Driver PIB'!AI$2)</f>
        <v>0</v>
      </c>
      <c r="AJ58" s="406">
        <f>AI58*(1+'Driver PIB'!AJ$2)</f>
        <v>0</v>
      </c>
      <c r="AK58" s="450"/>
    </row>
    <row r="59" spans="1:37" ht="14.25" customHeight="1" x14ac:dyDescent="0.45">
      <c r="A59" s="618"/>
      <c r="B59" s="400"/>
      <c r="C59" s="405" t="s">
        <v>482</v>
      </c>
      <c r="D59" s="406">
        <f>'Copia de Demandas de energía '!D59*1000*($E$110)</f>
        <v>0.29781895160477301</v>
      </c>
      <c r="E59" s="406">
        <f>'Copia de Demandas de energía '!E59*1000*($E$110)</f>
        <v>0.30651962348122402</v>
      </c>
      <c r="F59" s="406">
        <f>'Copia de Demandas de energía '!F59*1000*($E$110)</f>
        <v>0.29268793499009799</v>
      </c>
      <c r="G59" s="406">
        <f>'Copia de Demandas de energía '!G59*1000*($E$110)</f>
        <v>0.34162132972054593</v>
      </c>
      <c r="H59" s="406">
        <f>G59*(1+'Driver PIB'!H$2)</f>
        <v>0.35201520622779564</v>
      </c>
      <c r="I59" s="406">
        <f>H59*(1+'Driver PIB'!I$2)</f>
        <v>0.36112404227424966</v>
      </c>
      <c r="J59" s="406">
        <f>I59*(1+'Driver PIB'!J$2)</f>
        <v>0.37147872319257086</v>
      </c>
      <c r="K59" s="406">
        <f>J59*(1+'Driver PIB'!K$2)</f>
        <v>0.38256220664286256</v>
      </c>
      <c r="L59" s="406">
        <f>K59*(1+'Driver PIB'!L$2)</f>
        <v>0.39429407766622726</v>
      </c>
      <c r="M59" s="406">
        <f>L59*(1+'Driver PIB'!M$2)</f>
        <v>0.40476955677140208</v>
      </c>
      <c r="N59" s="406">
        <f>M59*(1+'Driver PIB'!N$2)</f>
        <v>0.41632970993952351</v>
      </c>
      <c r="O59" s="406">
        <f>N59*(1+'Driver PIB'!O$2)</f>
        <v>0.42551213519032749</v>
      </c>
      <c r="P59" s="406">
        <f>O59*(1+'Driver PIB'!P$2)</f>
        <v>0.435688295315868</v>
      </c>
      <c r="Q59" s="406">
        <f>P59*(1+'Driver PIB'!Q$2)</f>
        <v>0.44953138599852294</v>
      </c>
      <c r="R59" s="406">
        <f>Q59*(1+'Driver PIB'!R$2)</f>
        <v>0.46066239444271934</v>
      </c>
      <c r="S59" s="406">
        <f>R59*(1+'Driver PIB'!S$2)</f>
        <v>0.47402459980673733</v>
      </c>
      <c r="T59" s="406">
        <f>S59*(1+'Driver PIB'!T$2)</f>
        <v>0.48528592632858841</v>
      </c>
      <c r="U59" s="406">
        <f>T59*(1+'Driver PIB'!U$2)</f>
        <v>0.4968034362380504</v>
      </c>
      <c r="V59" s="406">
        <f>U59*(1+'Driver PIB'!V$2)</f>
        <v>0.5095343809850934</v>
      </c>
      <c r="W59" s="406">
        <f>V59*(1+'Driver PIB'!W$2)</f>
        <v>0.52114026591831142</v>
      </c>
      <c r="X59" s="406">
        <f>W59*(1+'Driver PIB'!X$2)</f>
        <v>0.53339326885287308</v>
      </c>
      <c r="Y59" s="406">
        <f>X59*(1+'Driver PIB'!Y$2)</f>
        <v>0.54688537335494003</v>
      </c>
      <c r="Z59" s="406">
        <f>Y59*(1+'Driver PIB'!Z$2)</f>
        <v>0.55935273026710242</v>
      </c>
      <c r="AA59" s="406">
        <f>Z59*(1+'Driver PIB'!AA$2)</f>
        <v>0.57216573248978397</v>
      </c>
      <c r="AB59" s="406">
        <f>AA59*(1+'Driver PIB'!AB$2)</f>
        <v>0.58495973138489388</v>
      </c>
      <c r="AC59" s="406">
        <f>AB59*(1+'Driver PIB'!AC$2)</f>
        <v>0.59523780900225387</v>
      </c>
      <c r="AD59" s="406">
        <f>AC59*(1+'Driver PIB'!AD$2)</f>
        <v>0.60832904210078309</v>
      </c>
      <c r="AE59" s="406">
        <f>AD59*(1+'Driver PIB'!AE$2)</f>
        <v>0.61968401957313002</v>
      </c>
      <c r="AF59" s="406">
        <f>AE59*(1+'Driver PIB'!AF$2)</f>
        <v>0.63389690431326673</v>
      </c>
      <c r="AG59" s="406">
        <f>AF59*(1+'Driver PIB'!AG$2)</f>
        <v>0.64562589876396703</v>
      </c>
      <c r="AH59" s="406">
        <f>AG59*(1+'Driver PIB'!AH$2)</f>
        <v>0.65724145594223127</v>
      </c>
      <c r="AI59" s="406">
        <f>AH59*(1+'Driver PIB'!AI$2)</f>
        <v>0.66928420845939529</v>
      </c>
      <c r="AJ59" s="406">
        <f>AI59*(1+'Driver PIB'!AJ$2)</f>
        <v>0.681417448027693</v>
      </c>
      <c r="AK59" s="450"/>
    </row>
    <row r="60" spans="1:37" ht="14.25" customHeight="1" x14ac:dyDescent="0.45">
      <c r="A60" s="618"/>
      <c r="B60" s="400"/>
      <c r="C60" s="405" t="s">
        <v>484</v>
      </c>
      <c r="D60" s="406">
        <f>'Copia de Demandas de energía '!D60*1000*($E$110)</f>
        <v>10.263136756415699</v>
      </c>
      <c r="E60" s="406">
        <f>'Copia de Demandas de energía '!E60*1000*($E$110)</f>
        <v>10.5629705844157</v>
      </c>
      <c r="F60" s="406">
        <f>'Copia de Demandas de energía '!F60*1000*($E$110)</f>
        <v>10.0863168742566</v>
      </c>
      <c r="G60" s="406">
        <f>'Copia de Demandas de energía '!G60*1000*($E$110)</f>
        <v>11.7726102276315</v>
      </c>
      <c r="H60" s="406">
        <f>G60*(1+'Driver PIB'!H$2)</f>
        <v>12.130793532444704</v>
      </c>
      <c r="I60" s="406">
        <f>H60*(1+'Driver PIB'!I$2)</f>
        <v>12.444693067025941</v>
      </c>
      <c r="J60" s="406">
        <f>I60*(1+'Driver PIB'!J$2)</f>
        <v>12.801525652926262</v>
      </c>
      <c r="K60" s="406">
        <f>J60*(1+'Driver PIB'!K$2)</f>
        <v>13.183473497726894</v>
      </c>
      <c r="L60" s="406">
        <f>K60*(1+'Driver PIB'!L$2)</f>
        <v>13.587765422097945</v>
      </c>
      <c r="M60" s="406">
        <f>L60*(1+'Driver PIB'!M$2)</f>
        <v>13.948760833461172</v>
      </c>
      <c r="N60" s="406">
        <f>M60*(1+'Driver PIB'!N$2)</f>
        <v>14.347135190037035</v>
      </c>
      <c r="O60" s="406">
        <f>N60*(1+'Driver PIB'!O$2)</f>
        <v>14.663570681668972</v>
      </c>
      <c r="P60" s="406">
        <f>O60*(1+'Driver PIB'!P$2)</f>
        <v>15.014251263791738</v>
      </c>
      <c r="Q60" s="406">
        <f>P60*(1+'Driver PIB'!Q$2)</f>
        <v>15.491297913911527</v>
      </c>
      <c r="R60" s="406">
        <f>Q60*(1+'Driver PIB'!R$2)</f>
        <v>15.874883517191023</v>
      </c>
      <c r="S60" s="406">
        <f>R60*(1+'Driver PIB'!S$2)</f>
        <v>16.335358381745976</v>
      </c>
      <c r="T60" s="406">
        <f>S60*(1+'Driver PIB'!T$2)</f>
        <v>16.723434875377951</v>
      </c>
      <c r="U60" s="406">
        <f>T60*(1+'Driver PIB'!U$2)</f>
        <v>17.120339702918713</v>
      </c>
      <c r="V60" s="406">
        <f>U60*(1+'Driver PIB'!V$2)</f>
        <v>17.559060699816222</v>
      </c>
      <c r="W60" s="406">
        <f>V60*(1+'Driver PIB'!W$2)</f>
        <v>17.959011018425674</v>
      </c>
      <c r="X60" s="406">
        <f>W60*(1+'Driver PIB'!X$2)</f>
        <v>18.381261665903157</v>
      </c>
      <c r="Y60" s="406">
        <f>X60*(1+'Driver PIB'!Y$2)</f>
        <v>18.846212983735796</v>
      </c>
      <c r="Z60" s="406">
        <f>Y60*(1+'Driver PIB'!Z$2)</f>
        <v>19.275850482119516</v>
      </c>
      <c r="AA60" s="406">
        <f>Z60*(1+'Driver PIB'!AA$2)</f>
        <v>19.71739926110471</v>
      </c>
      <c r="AB60" s="406">
        <f>AA60*(1+'Driver PIB'!AB$2)</f>
        <v>20.158293166552848</v>
      </c>
      <c r="AC60" s="406">
        <f>AB60*(1+'Driver PIB'!AC$2)</f>
        <v>20.512485926640469</v>
      </c>
      <c r="AD60" s="406">
        <f>AC60*(1+'Driver PIB'!AD$2)</f>
        <v>20.963622817870668</v>
      </c>
      <c r="AE60" s="406">
        <f>AD60*(1+'Driver PIB'!AE$2)</f>
        <v>21.354926616245404</v>
      </c>
      <c r="AF60" s="406">
        <f>AE60*(1+'Driver PIB'!AF$2)</f>
        <v>21.844716736764969</v>
      </c>
      <c r="AG60" s="406">
        <f>AF60*(1+'Driver PIB'!AG$2)</f>
        <v>22.248909531585777</v>
      </c>
      <c r="AH60" s="406">
        <f>AG60*(1+'Driver PIB'!AH$2)</f>
        <v>22.649193165363364</v>
      </c>
      <c r="AI60" s="406">
        <f>AH60*(1+'Driver PIB'!AI$2)</f>
        <v>23.064198374693753</v>
      </c>
      <c r="AJ60" s="406">
        <f>AI60*(1+'Driver PIB'!AJ$2)</f>
        <v>23.482321857653353</v>
      </c>
      <c r="AK60" s="450"/>
    </row>
    <row r="61" spans="1:37" ht="14.25" customHeight="1" x14ac:dyDescent="0.45">
      <c r="A61" s="618"/>
      <c r="B61" s="400"/>
      <c r="C61" s="405" t="s">
        <v>486</v>
      </c>
      <c r="D61" s="406"/>
      <c r="E61" s="406"/>
      <c r="F61" s="406"/>
      <c r="G61" s="406"/>
      <c r="H61" s="406">
        <f>G61*(1+'Driver PIB'!H$2)</f>
        <v>0</v>
      </c>
      <c r="I61" s="406">
        <f>H61*(1+'Driver PIB'!I$2)</f>
        <v>0</v>
      </c>
      <c r="J61" s="406">
        <f>I61*(1+'Driver PIB'!J$2)</f>
        <v>0</v>
      </c>
      <c r="K61" s="406">
        <f>J61*(1+'Driver PIB'!K$2)</f>
        <v>0</v>
      </c>
      <c r="L61" s="406">
        <f>K61*(1+'Driver PIB'!L$2)</f>
        <v>0</v>
      </c>
      <c r="M61" s="406">
        <f>L61*(1+'Driver PIB'!M$2)</f>
        <v>0</v>
      </c>
      <c r="N61" s="406">
        <f>M61*(1+'Driver PIB'!N$2)</f>
        <v>0</v>
      </c>
      <c r="O61" s="406">
        <f>N61*(1+'Driver PIB'!O$2)</f>
        <v>0</v>
      </c>
      <c r="P61" s="406">
        <f>O61*(1+'Driver PIB'!P$2)</f>
        <v>0</v>
      </c>
      <c r="Q61" s="406">
        <f>P61*(1+'Driver PIB'!Q$2)</f>
        <v>0</v>
      </c>
      <c r="R61" s="406">
        <f>Q61*(1+'Driver PIB'!R$2)</f>
        <v>0</v>
      </c>
      <c r="S61" s="406">
        <f>R61*(1+'Driver PIB'!S$2)</f>
        <v>0</v>
      </c>
      <c r="T61" s="406">
        <f>S61*(1+'Driver PIB'!T$2)</f>
        <v>0</v>
      </c>
      <c r="U61" s="406">
        <f>T61*(1+'Driver PIB'!U$2)</f>
        <v>0</v>
      </c>
      <c r="V61" s="406">
        <f>U61*(1+'Driver PIB'!V$2)</f>
        <v>0</v>
      </c>
      <c r="W61" s="406">
        <f>V61*(1+'Driver PIB'!W$2)</f>
        <v>0</v>
      </c>
      <c r="X61" s="406">
        <f>W61*(1+'Driver PIB'!X$2)</f>
        <v>0</v>
      </c>
      <c r="Y61" s="406">
        <f>X61*(1+'Driver PIB'!Y$2)</f>
        <v>0</v>
      </c>
      <c r="Z61" s="406">
        <f>Y61*(1+'Driver PIB'!Z$2)</f>
        <v>0</v>
      </c>
      <c r="AA61" s="406">
        <f>Z61*(1+'Driver PIB'!AA$2)</f>
        <v>0</v>
      </c>
      <c r="AB61" s="406">
        <f>AA61*(1+'Driver PIB'!AB$2)</f>
        <v>0</v>
      </c>
      <c r="AC61" s="406">
        <f>AB61*(1+'Driver PIB'!AC$2)</f>
        <v>0</v>
      </c>
      <c r="AD61" s="406">
        <f>AC61*(1+'Driver PIB'!AD$2)</f>
        <v>0</v>
      </c>
      <c r="AE61" s="406">
        <f>AD61*(1+'Driver PIB'!AE$2)</f>
        <v>0</v>
      </c>
      <c r="AF61" s="406">
        <f>AE61*(1+'Driver PIB'!AF$2)</f>
        <v>0</v>
      </c>
      <c r="AG61" s="406">
        <f>AF61*(1+'Driver PIB'!AG$2)</f>
        <v>0</v>
      </c>
      <c r="AH61" s="406">
        <f>AG61*(1+'Driver PIB'!AH$2)</f>
        <v>0</v>
      </c>
      <c r="AI61" s="406">
        <f>AH61*(1+'Driver PIB'!AI$2)</f>
        <v>0</v>
      </c>
      <c r="AJ61" s="406">
        <f>AI61*(1+'Driver PIB'!AJ$2)</f>
        <v>0</v>
      </c>
      <c r="AK61" s="450"/>
    </row>
    <row r="62" spans="1:37" ht="14.25" customHeight="1" x14ac:dyDescent="0.45">
      <c r="A62" s="618"/>
      <c r="B62" s="400"/>
      <c r="C62" s="405" t="s">
        <v>488</v>
      </c>
      <c r="D62" s="406"/>
      <c r="E62" s="406"/>
      <c r="F62" s="406"/>
      <c r="G62" s="406"/>
      <c r="H62" s="406">
        <f>G62*(1+'Driver PIB'!H$2)</f>
        <v>0</v>
      </c>
      <c r="I62" s="406">
        <f>H62*(1+'Driver PIB'!I$2)</f>
        <v>0</v>
      </c>
      <c r="J62" s="406">
        <f>I62*(1+'Driver PIB'!J$2)</f>
        <v>0</v>
      </c>
      <c r="K62" s="406">
        <f>J62*(1+'Driver PIB'!K$2)</f>
        <v>0</v>
      </c>
      <c r="L62" s="406">
        <f>K62*(1+'Driver PIB'!L$2)</f>
        <v>0</v>
      </c>
      <c r="M62" s="406">
        <f>L62*(1+'Driver PIB'!M$2)</f>
        <v>0</v>
      </c>
      <c r="N62" s="406">
        <f>M62*(1+'Driver PIB'!N$2)</f>
        <v>0</v>
      </c>
      <c r="O62" s="406">
        <f>N62*(1+'Driver PIB'!O$2)</f>
        <v>0</v>
      </c>
      <c r="P62" s="406">
        <f>O62*(1+'Driver PIB'!P$2)</f>
        <v>0</v>
      </c>
      <c r="Q62" s="406">
        <f>P62*(1+'Driver PIB'!Q$2)</f>
        <v>0</v>
      </c>
      <c r="R62" s="406">
        <f>Q62*(1+'Driver PIB'!R$2)</f>
        <v>0</v>
      </c>
      <c r="S62" s="406">
        <f>R62*(1+'Driver PIB'!S$2)</f>
        <v>0</v>
      </c>
      <c r="T62" s="406">
        <f>S62*(1+'Driver PIB'!T$2)</f>
        <v>0</v>
      </c>
      <c r="U62" s="406">
        <f>T62*(1+'Driver PIB'!U$2)</f>
        <v>0</v>
      </c>
      <c r="V62" s="406">
        <f>U62*(1+'Driver PIB'!V$2)</f>
        <v>0</v>
      </c>
      <c r="W62" s="406">
        <f>V62*(1+'Driver PIB'!W$2)</f>
        <v>0</v>
      </c>
      <c r="X62" s="406">
        <f>W62*(1+'Driver PIB'!X$2)</f>
        <v>0</v>
      </c>
      <c r="Y62" s="406">
        <f>X62*(1+'Driver PIB'!Y$2)</f>
        <v>0</v>
      </c>
      <c r="Z62" s="406">
        <f>Y62*(1+'Driver PIB'!Z$2)</f>
        <v>0</v>
      </c>
      <c r="AA62" s="406">
        <f>Z62*(1+'Driver PIB'!AA$2)</f>
        <v>0</v>
      </c>
      <c r="AB62" s="406">
        <f>AA62*(1+'Driver PIB'!AB$2)</f>
        <v>0</v>
      </c>
      <c r="AC62" s="406">
        <f>AB62*(1+'Driver PIB'!AC$2)</f>
        <v>0</v>
      </c>
      <c r="AD62" s="406">
        <f>AC62*(1+'Driver PIB'!AD$2)</f>
        <v>0</v>
      </c>
      <c r="AE62" s="406">
        <f>AD62*(1+'Driver PIB'!AE$2)</f>
        <v>0</v>
      </c>
      <c r="AF62" s="406">
        <f>AE62*(1+'Driver PIB'!AF$2)</f>
        <v>0</v>
      </c>
      <c r="AG62" s="406">
        <f>AF62*(1+'Driver PIB'!AG$2)</f>
        <v>0</v>
      </c>
      <c r="AH62" s="406">
        <f>AG62*(1+'Driver PIB'!AH$2)</f>
        <v>0</v>
      </c>
      <c r="AI62" s="406">
        <f>AH62*(1+'Driver PIB'!AI$2)</f>
        <v>0</v>
      </c>
      <c r="AJ62" s="406">
        <f>AI62*(1+'Driver PIB'!AJ$2)</f>
        <v>0</v>
      </c>
      <c r="AK62" s="450"/>
    </row>
    <row r="63" spans="1:37" ht="14.25" customHeight="1" x14ac:dyDescent="0.45">
      <c r="A63" s="618"/>
      <c r="B63" s="400"/>
      <c r="C63" s="405" t="s">
        <v>489</v>
      </c>
      <c r="D63" s="406"/>
      <c r="E63" s="406"/>
      <c r="F63" s="406"/>
      <c r="G63" s="406"/>
      <c r="H63" s="406">
        <f>G63*(1+'Driver PIB'!H$2)</f>
        <v>0</v>
      </c>
      <c r="I63" s="406">
        <f>H63*(1+'Driver PIB'!I$2)</f>
        <v>0</v>
      </c>
      <c r="J63" s="406">
        <f>I63*(1+'Driver PIB'!J$2)</f>
        <v>0</v>
      </c>
      <c r="K63" s="406">
        <f>J63*(1+'Driver PIB'!K$2)</f>
        <v>0</v>
      </c>
      <c r="L63" s="406">
        <f>K63*(1+'Driver PIB'!L$2)</f>
        <v>0</v>
      </c>
      <c r="M63" s="406">
        <f>L63*(1+'Driver PIB'!M$2)</f>
        <v>0</v>
      </c>
      <c r="N63" s="406">
        <f>M63*(1+'Driver PIB'!N$2)</f>
        <v>0</v>
      </c>
      <c r="O63" s="406">
        <f>N63*(1+'Driver PIB'!O$2)</f>
        <v>0</v>
      </c>
      <c r="P63" s="406">
        <f>O63*(1+'Driver PIB'!P$2)</f>
        <v>0</v>
      </c>
      <c r="Q63" s="406">
        <f>P63*(1+'Driver PIB'!Q$2)</f>
        <v>0</v>
      </c>
      <c r="R63" s="406">
        <f>Q63*(1+'Driver PIB'!R$2)</f>
        <v>0</v>
      </c>
      <c r="S63" s="406">
        <f>R63*(1+'Driver PIB'!S$2)</f>
        <v>0</v>
      </c>
      <c r="T63" s="406">
        <f>S63*(1+'Driver PIB'!T$2)</f>
        <v>0</v>
      </c>
      <c r="U63" s="406">
        <f>T63*(1+'Driver PIB'!U$2)</f>
        <v>0</v>
      </c>
      <c r="V63" s="406">
        <f>U63*(1+'Driver PIB'!V$2)</f>
        <v>0</v>
      </c>
      <c r="W63" s="406">
        <f>V63*(1+'Driver PIB'!W$2)</f>
        <v>0</v>
      </c>
      <c r="X63" s="406">
        <f>W63*(1+'Driver PIB'!X$2)</f>
        <v>0</v>
      </c>
      <c r="Y63" s="406">
        <f>X63*(1+'Driver PIB'!Y$2)</f>
        <v>0</v>
      </c>
      <c r="Z63" s="406">
        <f>Y63*(1+'Driver PIB'!Z$2)</f>
        <v>0</v>
      </c>
      <c r="AA63" s="406">
        <f>Z63*(1+'Driver PIB'!AA$2)</f>
        <v>0</v>
      </c>
      <c r="AB63" s="406">
        <f>AA63*(1+'Driver PIB'!AB$2)</f>
        <v>0</v>
      </c>
      <c r="AC63" s="406">
        <f>AB63*(1+'Driver PIB'!AC$2)</f>
        <v>0</v>
      </c>
      <c r="AD63" s="406">
        <f>AC63*(1+'Driver PIB'!AD$2)</f>
        <v>0</v>
      </c>
      <c r="AE63" s="406">
        <f>AD63*(1+'Driver PIB'!AE$2)</f>
        <v>0</v>
      </c>
      <c r="AF63" s="406">
        <f>AE63*(1+'Driver PIB'!AF$2)</f>
        <v>0</v>
      </c>
      <c r="AG63" s="406">
        <f>AF63*(1+'Driver PIB'!AG$2)</f>
        <v>0</v>
      </c>
      <c r="AH63" s="406">
        <f>AG63*(1+'Driver PIB'!AH$2)</f>
        <v>0</v>
      </c>
      <c r="AI63" s="406">
        <f>AH63*(1+'Driver PIB'!AI$2)</f>
        <v>0</v>
      </c>
      <c r="AJ63" s="406">
        <f>AI63*(1+'Driver PIB'!AJ$2)</f>
        <v>0</v>
      </c>
      <c r="AK63" s="450"/>
    </row>
    <row r="64" spans="1:37" ht="14.25" customHeight="1" x14ac:dyDescent="0.45">
      <c r="A64" s="618"/>
      <c r="B64" s="400"/>
      <c r="C64" s="405" t="s">
        <v>396</v>
      </c>
      <c r="D64" s="406"/>
      <c r="E64" s="406"/>
      <c r="F64" s="406"/>
      <c r="G64" s="406"/>
      <c r="H64" s="406">
        <f>G64*(1+'Driver PIB'!H$2)</f>
        <v>0</v>
      </c>
      <c r="I64" s="406">
        <f>H64*(1+'Driver PIB'!I$2)</f>
        <v>0</v>
      </c>
      <c r="J64" s="406">
        <f>I64*(1+'Driver PIB'!J$2)</f>
        <v>0</v>
      </c>
      <c r="K64" s="406">
        <f>J64*(1+'Driver PIB'!K$2)</f>
        <v>0</v>
      </c>
      <c r="L64" s="406">
        <f>K64*(1+'Driver PIB'!L$2)</f>
        <v>0</v>
      </c>
      <c r="M64" s="406">
        <f>L64*(1+'Driver PIB'!M$2)</f>
        <v>0</v>
      </c>
      <c r="N64" s="406">
        <f>M64*(1+'Driver PIB'!N$2)</f>
        <v>0</v>
      </c>
      <c r="O64" s="406">
        <f>N64*(1+'Driver PIB'!O$2)</f>
        <v>0</v>
      </c>
      <c r="P64" s="406">
        <f>O64*(1+'Driver PIB'!P$2)</f>
        <v>0</v>
      </c>
      <c r="Q64" s="406">
        <f>P64*(1+'Driver PIB'!Q$2)</f>
        <v>0</v>
      </c>
      <c r="R64" s="406">
        <f>Q64*(1+'Driver PIB'!R$2)</f>
        <v>0</v>
      </c>
      <c r="S64" s="406">
        <f>R64*(1+'Driver PIB'!S$2)</f>
        <v>0</v>
      </c>
      <c r="T64" s="406">
        <f>S64*(1+'Driver PIB'!T$2)</f>
        <v>0</v>
      </c>
      <c r="U64" s="406">
        <f>T64*(1+'Driver PIB'!U$2)</f>
        <v>0</v>
      </c>
      <c r="V64" s="406">
        <f>U64*(1+'Driver PIB'!V$2)</f>
        <v>0</v>
      </c>
      <c r="W64" s="406">
        <f>V64*(1+'Driver PIB'!W$2)</f>
        <v>0</v>
      </c>
      <c r="X64" s="406">
        <f>W64*(1+'Driver PIB'!X$2)</f>
        <v>0</v>
      </c>
      <c r="Y64" s="406">
        <f>X64*(1+'Driver PIB'!Y$2)</f>
        <v>0</v>
      </c>
      <c r="Z64" s="406">
        <f>Y64*(1+'Driver PIB'!Z$2)</f>
        <v>0</v>
      </c>
      <c r="AA64" s="406">
        <f>Z64*(1+'Driver PIB'!AA$2)</f>
        <v>0</v>
      </c>
      <c r="AB64" s="406">
        <f>AA64*(1+'Driver PIB'!AB$2)</f>
        <v>0</v>
      </c>
      <c r="AC64" s="406">
        <f>AB64*(1+'Driver PIB'!AC$2)</f>
        <v>0</v>
      </c>
      <c r="AD64" s="406">
        <f>AC64*(1+'Driver PIB'!AD$2)</f>
        <v>0</v>
      </c>
      <c r="AE64" s="406">
        <f>AD64*(1+'Driver PIB'!AE$2)</f>
        <v>0</v>
      </c>
      <c r="AF64" s="406">
        <f>AE64*(1+'Driver PIB'!AF$2)</f>
        <v>0</v>
      </c>
      <c r="AG64" s="406">
        <f>AF64*(1+'Driver PIB'!AG$2)</f>
        <v>0</v>
      </c>
      <c r="AH64" s="406">
        <f>AG64*(1+'Driver PIB'!AH$2)</f>
        <v>0</v>
      </c>
      <c r="AI64" s="406">
        <f>AH64*(1+'Driver PIB'!AI$2)</f>
        <v>0</v>
      </c>
      <c r="AJ64" s="406">
        <f>AI64*(1+'Driver PIB'!AJ$2)</f>
        <v>0</v>
      </c>
      <c r="AK64" s="450"/>
    </row>
    <row r="65" spans="1:37" ht="14.25" customHeight="1" x14ac:dyDescent="0.45">
      <c r="A65" s="618"/>
      <c r="B65" s="400"/>
      <c r="C65" s="405" t="s">
        <v>397</v>
      </c>
      <c r="D65" s="406"/>
      <c r="E65" s="406"/>
      <c r="F65" s="406"/>
      <c r="G65" s="406"/>
      <c r="H65" s="406">
        <f>G65*(1+'Driver PIB'!H$2)</f>
        <v>0</v>
      </c>
      <c r="I65" s="406">
        <f>H65*(1+'Driver PIB'!I$2)</f>
        <v>0</v>
      </c>
      <c r="J65" s="406">
        <f>I65*(1+'Driver PIB'!J$2)</f>
        <v>0</v>
      </c>
      <c r="K65" s="406">
        <f>J65*(1+'Driver PIB'!K$2)</f>
        <v>0</v>
      </c>
      <c r="L65" s="406">
        <f>K65*(1+'Driver PIB'!L$2)</f>
        <v>0</v>
      </c>
      <c r="M65" s="406">
        <f>L65*(1+'Driver PIB'!M$2)</f>
        <v>0</v>
      </c>
      <c r="N65" s="406">
        <f>M65*(1+'Driver PIB'!N$2)</f>
        <v>0</v>
      </c>
      <c r="O65" s="406">
        <f>N65*(1+'Driver PIB'!O$2)</f>
        <v>0</v>
      </c>
      <c r="P65" s="406">
        <f>O65*(1+'Driver PIB'!P$2)</f>
        <v>0</v>
      </c>
      <c r="Q65" s="406">
        <f>P65*(1+'Driver PIB'!Q$2)</f>
        <v>0</v>
      </c>
      <c r="R65" s="406">
        <f>Q65*(1+'Driver PIB'!R$2)</f>
        <v>0</v>
      </c>
      <c r="S65" s="406">
        <f>R65*(1+'Driver PIB'!S$2)</f>
        <v>0</v>
      </c>
      <c r="T65" s="406">
        <f>S65*(1+'Driver PIB'!T$2)</f>
        <v>0</v>
      </c>
      <c r="U65" s="406">
        <f>T65*(1+'Driver PIB'!U$2)</f>
        <v>0</v>
      </c>
      <c r="V65" s="406">
        <f>U65*(1+'Driver PIB'!V$2)</f>
        <v>0</v>
      </c>
      <c r="W65" s="406">
        <f>V65*(1+'Driver PIB'!W$2)</f>
        <v>0</v>
      </c>
      <c r="X65" s="406">
        <f>W65*(1+'Driver PIB'!X$2)</f>
        <v>0</v>
      </c>
      <c r="Y65" s="406">
        <f>X65*(1+'Driver PIB'!Y$2)</f>
        <v>0</v>
      </c>
      <c r="Z65" s="406">
        <f>Y65*(1+'Driver PIB'!Z$2)</f>
        <v>0</v>
      </c>
      <c r="AA65" s="406">
        <f>Z65*(1+'Driver PIB'!AA$2)</f>
        <v>0</v>
      </c>
      <c r="AB65" s="406">
        <f>AA65*(1+'Driver PIB'!AB$2)</f>
        <v>0</v>
      </c>
      <c r="AC65" s="406">
        <f>AB65*(1+'Driver PIB'!AC$2)</f>
        <v>0</v>
      </c>
      <c r="AD65" s="406">
        <f>AC65*(1+'Driver PIB'!AD$2)</f>
        <v>0</v>
      </c>
      <c r="AE65" s="406">
        <f>AD65*(1+'Driver PIB'!AE$2)</f>
        <v>0</v>
      </c>
      <c r="AF65" s="406">
        <f>AE65*(1+'Driver PIB'!AF$2)</f>
        <v>0</v>
      </c>
      <c r="AG65" s="406">
        <f>AF65*(1+'Driver PIB'!AG$2)</f>
        <v>0</v>
      </c>
      <c r="AH65" s="406">
        <f>AG65*(1+'Driver PIB'!AH$2)</f>
        <v>0</v>
      </c>
      <c r="AI65" s="406">
        <f>AH65*(1+'Driver PIB'!AI$2)</f>
        <v>0</v>
      </c>
      <c r="AJ65" s="406">
        <f>AI65*(1+'Driver PIB'!AJ$2)</f>
        <v>0</v>
      </c>
      <c r="AK65" s="450"/>
    </row>
    <row r="66" spans="1:37" ht="14.25" customHeight="1" x14ac:dyDescent="0.45">
      <c r="A66" s="618"/>
      <c r="B66" s="400"/>
      <c r="C66" s="405" t="s">
        <v>398</v>
      </c>
      <c r="D66" s="406">
        <f>'Copia de Demandas de energía '!D66*1000*($E$110)</f>
        <v>0.40162615279999997</v>
      </c>
      <c r="E66" s="406">
        <f>'Copia de Demandas de energía '!E66*1000*($E$110)</f>
        <v>0.40036634679999999</v>
      </c>
      <c r="F66" s="406">
        <f>'Copia de Demandas de energía '!F66*1000*($E$110)</f>
        <v>0.20308072720000001</v>
      </c>
      <c r="G66" s="406">
        <f>F66*(1+'Driver PIB'!B$2)</f>
        <v>0.20308072720000001</v>
      </c>
      <c r="H66" s="406">
        <f>G66*(1+'Driver PIB'!H$2)</f>
        <v>0.20925948659200266</v>
      </c>
      <c r="I66" s="406">
        <f>H66*(1+'Driver PIB'!I$2)</f>
        <v>0.21467433890749671</v>
      </c>
      <c r="J66" s="406">
        <f>I66*(1+'Driver PIB'!J$2)</f>
        <v>0.22082979803101455</v>
      </c>
      <c r="K66" s="406">
        <f>J66*(1+'Driver PIB'!K$2)</f>
        <v>0.2274185021989763</v>
      </c>
      <c r="L66" s="406">
        <f>K66*(1+'Driver PIB'!L$2)</f>
        <v>0.23439264781450464</v>
      </c>
      <c r="M66" s="406">
        <f>L66*(1+'Driver PIB'!M$2)</f>
        <v>0.24061991680905936</v>
      </c>
      <c r="N66" s="406">
        <f>M66*(1+'Driver PIB'!N$2)</f>
        <v>0.24749198277123424</v>
      </c>
      <c r="O66" s="406">
        <f>N66*(1+'Driver PIB'!O$2)</f>
        <v>0.25295058103533663</v>
      </c>
      <c r="P66" s="406">
        <f>O66*(1+'Driver PIB'!P$2)</f>
        <v>0.25899991642106601</v>
      </c>
      <c r="Q66" s="406">
        <f>P66*(1+'Driver PIB'!Q$2)</f>
        <v>0.26722910083653795</v>
      </c>
      <c r="R66" s="406">
        <f>Q66*(1+'Driver PIB'!R$2)</f>
        <v>0.2738460567835389</v>
      </c>
      <c r="S66" s="406">
        <f>R66*(1+'Driver PIB'!S$2)</f>
        <v>0.28178937339242954</v>
      </c>
      <c r="T66" s="406">
        <f>S66*(1+'Driver PIB'!T$2)</f>
        <v>0.28848379841900779</v>
      </c>
      <c r="U66" s="406">
        <f>T66*(1+'Driver PIB'!U$2)</f>
        <v>0.29533051460578713</v>
      </c>
      <c r="V66" s="406">
        <f>U66*(1+'Driver PIB'!V$2)</f>
        <v>0.30289857108307866</v>
      </c>
      <c r="W66" s="406">
        <f>V66*(1+'Driver PIB'!W$2)</f>
        <v>0.30979782281881035</v>
      </c>
      <c r="X66" s="406">
        <f>W66*(1+'Driver PIB'!X$2)</f>
        <v>0.31708176129059734</v>
      </c>
      <c r="Y66" s="406">
        <f>X66*(1+'Driver PIB'!Y$2)</f>
        <v>0.32510229793559997</v>
      </c>
      <c r="Z66" s="406">
        <f>Y66*(1+'Driver PIB'!Z$2)</f>
        <v>0.33251366159387924</v>
      </c>
      <c r="AA66" s="406">
        <f>Z66*(1+'Driver PIB'!AA$2)</f>
        <v>0.34013049808100942</v>
      </c>
      <c r="AB66" s="406">
        <f>AA66*(1+'Driver PIB'!AB$2)</f>
        <v>0.3477360378215763</v>
      </c>
      <c r="AC66" s="406">
        <f>AB66*(1+'Driver PIB'!AC$2)</f>
        <v>0.3538459592321011</v>
      </c>
      <c r="AD66" s="406">
        <f>AC66*(1+'Driver PIB'!AD$2)</f>
        <v>0.36162819326230294</v>
      </c>
      <c r="AE66" s="406">
        <f>AD66*(1+'Driver PIB'!AE$2)</f>
        <v>0.36837829017314333</v>
      </c>
      <c r="AF66" s="406">
        <f>AE66*(1+'Driver PIB'!AF$2)</f>
        <v>0.37682730291774524</v>
      </c>
      <c r="AG66" s="406">
        <f>AF66*(1+'Driver PIB'!AG$2)</f>
        <v>0.38379973852158028</v>
      </c>
      <c r="AH66" s="406">
        <f>AG66*(1+'Driver PIB'!AH$2)</f>
        <v>0.39070474003458505</v>
      </c>
      <c r="AI66" s="406">
        <f>AH66*(1+'Driver PIB'!AI$2)</f>
        <v>0.39786369272842276</v>
      </c>
      <c r="AJ66" s="406">
        <f>AI66*(1+'Driver PIB'!AJ$2)</f>
        <v>0.40507643649017017</v>
      </c>
      <c r="AK66" s="450"/>
    </row>
    <row r="67" spans="1:37" ht="14.25" customHeight="1" x14ac:dyDescent="0.45">
      <c r="A67" s="618"/>
      <c r="B67" s="400"/>
      <c r="C67" s="405" t="s">
        <v>399</v>
      </c>
      <c r="D67" s="406"/>
      <c r="E67" s="406"/>
      <c r="F67" s="406"/>
      <c r="G67" s="406"/>
      <c r="H67" s="406">
        <f>G67*(1+'Driver PIB'!H$2)</f>
        <v>0</v>
      </c>
      <c r="I67" s="406">
        <f>H67*(1+'Driver PIB'!I$2)</f>
        <v>0</v>
      </c>
      <c r="J67" s="406">
        <f>I67*(1+'Driver PIB'!J$2)</f>
        <v>0</v>
      </c>
      <c r="K67" s="406">
        <f>J67*(1+'Driver PIB'!K$2)</f>
        <v>0</v>
      </c>
      <c r="L67" s="406">
        <f>K67*(1+'Driver PIB'!L$2)</f>
        <v>0</v>
      </c>
      <c r="M67" s="406">
        <f>L67*(1+'Driver PIB'!M$2)</f>
        <v>0</v>
      </c>
      <c r="N67" s="406">
        <f>M67*(1+'Driver PIB'!N$2)</f>
        <v>0</v>
      </c>
      <c r="O67" s="406">
        <f>N67*(1+'Driver PIB'!O$2)</f>
        <v>0</v>
      </c>
      <c r="P67" s="406">
        <f>O67*(1+'Driver PIB'!P$2)</f>
        <v>0</v>
      </c>
      <c r="Q67" s="406">
        <f>P67*(1+'Driver PIB'!Q$2)</f>
        <v>0</v>
      </c>
      <c r="R67" s="406">
        <f>Q67*(1+'Driver PIB'!R$2)</f>
        <v>0</v>
      </c>
      <c r="S67" s="406">
        <f>R67*(1+'Driver PIB'!S$2)</f>
        <v>0</v>
      </c>
      <c r="T67" s="406">
        <f>S67*(1+'Driver PIB'!T$2)</f>
        <v>0</v>
      </c>
      <c r="U67" s="406">
        <f>T67*(1+'Driver PIB'!U$2)</f>
        <v>0</v>
      </c>
      <c r="V67" s="406">
        <f>U67*(1+'Driver PIB'!V$2)</f>
        <v>0</v>
      </c>
      <c r="W67" s="406">
        <f>V67*(1+'Driver PIB'!W$2)</f>
        <v>0</v>
      </c>
      <c r="X67" s="406">
        <f>W67*(1+'Driver PIB'!X$2)</f>
        <v>0</v>
      </c>
      <c r="Y67" s="406">
        <f>X67*(1+'Driver PIB'!Y$2)</f>
        <v>0</v>
      </c>
      <c r="Z67" s="406">
        <f>Y67*(1+'Driver PIB'!Z$2)</f>
        <v>0</v>
      </c>
      <c r="AA67" s="406">
        <f>Z67*(1+'Driver PIB'!AA$2)</f>
        <v>0</v>
      </c>
      <c r="AB67" s="406">
        <f>AA67*(1+'Driver PIB'!AB$2)</f>
        <v>0</v>
      </c>
      <c r="AC67" s="406">
        <f>AB67*(1+'Driver PIB'!AC$2)</f>
        <v>0</v>
      </c>
      <c r="AD67" s="406">
        <f>AC67*(1+'Driver PIB'!AD$2)</f>
        <v>0</v>
      </c>
      <c r="AE67" s="406">
        <f>AD67*(1+'Driver PIB'!AE$2)</f>
        <v>0</v>
      </c>
      <c r="AF67" s="406">
        <f>AE67*(1+'Driver PIB'!AF$2)</f>
        <v>0</v>
      </c>
      <c r="AG67" s="406">
        <f>AF67*(1+'Driver PIB'!AG$2)</f>
        <v>0</v>
      </c>
      <c r="AH67" s="406">
        <f>AG67*(1+'Driver PIB'!AH$2)</f>
        <v>0</v>
      </c>
      <c r="AI67" s="406">
        <f>AH67*(1+'Driver PIB'!AI$2)</f>
        <v>0</v>
      </c>
      <c r="AJ67" s="406">
        <f>AI67*(1+'Driver PIB'!AJ$2)</f>
        <v>0</v>
      </c>
      <c r="AK67" s="450"/>
    </row>
    <row r="68" spans="1:37" ht="14.25" customHeight="1" x14ac:dyDescent="0.45">
      <c r="A68" s="4"/>
      <c r="B68" s="485"/>
      <c r="C68" s="404" t="s">
        <v>25</v>
      </c>
      <c r="D68" s="406">
        <f t="shared" ref="D68:AJ68" si="4">SUM(D58:D67)</f>
        <v>10.962581860820473</v>
      </c>
      <c r="E68" s="406">
        <f t="shared" si="4"/>
        <v>11.269856554696924</v>
      </c>
      <c r="F68" s="406">
        <f t="shared" si="4"/>
        <v>10.582085536446698</v>
      </c>
      <c r="G68" s="406">
        <f t="shared" si="4"/>
        <v>12.317312284552045</v>
      </c>
      <c r="H68" s="486">
        <f t="shared" si="4"/>
        <v>12.692068225264503</v>
      </c>
      <c r="I68" s="486">
        <f t="shared" si="4"/>
        <v>13.020491448207688</v>
      </c>
      <c r="J68" s="486">
        <f t="shared" si="4"/>
        <v>13.393834174149847</v>
      </c>
      <c r="K68" s="486">
        <f t="shared" si="4"/>
        <v>13.793454206568732</v>
      </c>
      <c r="L68" s="486">
        <f t="shared" si="4"/>
        <v>14.216452147578677</v>
      </c>
      <c r="M68" s="486">
        <f t="shared" si="4"/>
        <v>14.594150307041634</v>
      </c>
      <c r="N68" s="486">
        <f t="shared" si="4"/>
        <v>15.010956882747791</v>
      </c>
      <c r="O68" s="486">
        <f t="shared" si="4"/>
        <v>15.342033397894637</v>
      </c>
      <c r="P68" s="486">
        <f t="shared" si="4"/>
        <v>15.708939475528673</v>
      </c>
      <c r="Q68" s="486">
        <f t="shared" si="4"/>
        <v>16.208058400746587</v>
      </c>
      <c r="R68" s="486">
        <f t="shared" si="4"/>
        <v>16.609391968417281</v>
      </c>
      <c r="S68" s="486">
        <f t="shared" si="4"/>
        <v>17.09117235494514</v>
      </c>
      <c r="T68" s="486">
        <f t="shared" si="4"/>
        <v>17.497204600125549</v>
      </c>
      <c r="U68" s="486">
        <f t="shared" si="4"/>
        <v>17.91247365376255</v>
      </c>
      <c r="V68" s="486">
        <f t="shared" si="4"/>
        <v>18.371493651884396</v>
      </c>
      <c r="W68" s="486">
        <f t="shared" si="4"/>
        <v>18.789949107162798</v>
      </c>
      <c r="X68" s="486">
        <f t="shared" si="4"/>
        <v>19.231736696046628</v>
      </c>
      <c r="Y68" s="486">
        <f t="shared" si="4"/>
        <v>19.718200655026337</v>
      </c>
      <c r="Z68" s="486">
        <f t="shared" si="4"/>
        <v>20.167716873980496</v>
      </c>
      <c r="AA68" s="486">
        <f t="shared" si="4"/>
        <v>20.629695491675502</v>
      </c>
      <c r="AB68" s="486">
        <f t="shared" si="4"/>
        <v>21.09098893575932</v>
      </c>
      <c r="AC68" s="486">
        <f t="shared" si="4"/>
        <v>21.461569694874822</v>
      </c>
      <c r="AD68" s="486">
        <f t="shared" si="4"/>
        <v>21.933580053233754</v>
      </c>
      <c r="AE68" s="486">
        <f t="shared" si="4"/>
        <v>22.342988925991676</v>
      </c>
      <c r="AF68" s="486">
        <f t="shared" si="4"/>
        <v>22.855440943995983</v>
      </c>
      <c r="AG68" s="486">
        <f t="shared" si="4"/>
        <v>23.278335168871326</v>
      </c>
      <c r="AH68" s="486">
        <f t="shared" si="4"/>
        <v>23.697139361340181</v>
      </c>
      <c r="AI68" s="486">
        <f t="shared" si="4"/>
        <v>24.131346275881569</v>
      </c>
      <c r="AJ68" s="486">
        <f t="shared" si="4"/>
        <v>24.568815742171218</v>
      </c>
      <c r="AK68" s="487"/>
    </row>
    <row r="69" spans="1:37" ht="14.25" customHeight="1" x14ac:dyDescent="0.45">
      <c r="A69" s="618"/>
      <c r="B69" s="400"/>
      <c r="C69" s="410"/>
      <c r="D69" s="401"/>
      <c r="E69" s="401"/>
      <c r="F69" s="401"/>
      <c r="G69" s="401"/>
      <c r="H69" s="401"/>
      <c r="I69" s="401"/>
      <c r="J69" s="401"/>
      <c r="K69" s="417"/>
      <c r="L69" s="401"/>
      <c r="M69" s="401"/>
      <c r="N69" s="401"/>
      <c r="O69" s="401"/>
      <c r="P69" s="417"/>
      <c r="Q69" s="401"/>
      <c r="R69" s="401"/>
      <c r="S69" s="401"/>
      <c r="T69" s="401"/>
      <c r="U69" s="417"/>
      <c r="V69" s="401"/>
      <c r="W69" s="401"/>
      <c r="X69" s="401"/>
      <c r="Y69" s="401"/>
      <c r="Z69" s="417"/>
      <c r="AA69" s="401"/>
      <c r="AB69" s="401"/>
      <c r="AC69" s="401"/>
      <c r="AD69" s="401"/>
      <c r="AE69" s="417"/>
      <c r="AF69" s="401"/>
      <c r="AG69" s="401"/>
      <c r="AH69" s="401"/>
      <c r="AI69" s="401"/>
      <c r="AJ69" s="417"/>
      <c r="AK69" s="450"/>
    </row>
    <row r="70" spans="1:37" ht="14.25" customHeight="1" x14ac:dyDescent="0.45">
      <c r="A70" s="618"/>
      <c r="B70" s="400"/>
      <c r="C70" s="404" t="s">
        <v>511</v>
      </c>
      <c r="D70" s="403"/>
      <c r="E70" s="414"/>
      <c r="F70" s="415"/>
      <c r="G70" s="415"/>
      <c r="H70" s="415"/>
      <c r="I70" s="415"/>
      <c r="J70" s="403"/>
      <c r="K70" s="415"/>
      <c r="L70" s="403"/>
      <c r="M70" s="403"/>
      <c r="N70" s="403"/>
      <c r="O70" s="403"/>
      <c r="P70" s="415"/>
      <c r="Q70" s="403"/>
      <c r="R70" s="403"/>
      <c r="S70" s="403"/>
      <c r="T70" s="403"/>
      <c r="U70" s="415"/>
      <c r="V70" s="403"/>
      <c r="W70" s="403"/>
      <c r="X70" s="403"/>
      <c r="Y70" s="403"/>
      <c r="Z70" s="415"/>
      <c r="AA70" s="403"/>
      <c r="AB70" s="403"/>
      <c r="AC70" s="403"/>
      <c r="AD70" s="403"/>
      <c r="AE70" s="415"/>
      <c r="AF70" s="403"/>
      <c r="AG70" s="403"/>
      <c r="AH70" s="403"/>
      <c r="AI70" s="403"/>
      <c r="AJ70" s="415"/>
      <c r="AK70" s="450"/>
    </row>
    <row r="71" spans="1:37" ht="14.25" customHeight="1" x14ac:dyDescent="0.45">
      <c r="A71" s="618"/>
      <c r="B71" s="400"/>
      <c r="C71" s="405" t="s">
        <v>484</v>
      </c>
      <c r="D71" s="406">
        <f>'Copia de Demandas de energía '!D71*1000*($E$110)</f>
        <v>2.1298993790118397</v>
      </c>
      <c r="E71" s="406">
        <f>'Copia de Demandas de energía '!E71*1000*($E$110)</f>
        <v>1.71331447873874</v>
      </c>
      <c r="F71" s="406">
        <f>'Copia de Demandas de energía '!F71*1000*($E$110)</f>
        <v>1.0244284893451099</v>
      </c>
      <c r="G71" s="406">
        <f>'Copia de Demandas de energía '!G71*1000*($E$110)</f>
        <v>1.79521406366082</v>
      </c>
      <c r="H71" s="406">
        <f>G71*(1+'Driver PIB'!H$2)</f>
        <v>1.8498337014247503</v>
      </c>
      <c r="I71" s="406">
        <f>H71*(1+'Driver PIB'!I$2)</f>
        <v>1.8977004742271142</v>
      </c>
      <c r="J71" s="406">
        <f>I71*(1+'Driver PIB'!J$2)</f>
        <v>1.9521141398623854</v>
      </c>
      <c r="K71" s="406">
        <f>J71*(1+'Driver PIB'!K$2)</f>
        <v>2.0103576499517346</v>
      </c>
      <c r="L71" s="406">
        <f>K71*(1+'Driver PIB'!L$2)</f>
        <v>2.0720084253041628</v>
      </c>
      <c r="M71" s="406">
        <f>L71*(1+'Driver PIB'!M$2)</f>
        <v>2.1270568832812407</v>
      </c>
      <c r="N71" s="406">
        <f>M71*(1+'Driver PIB'!N$2)</f>
        <v>2.1878052843323728</v>
      </c>
      <c r="O71" s="406">
        <f>N71*(1+'Driver PIB'!O$2)</f>
        <v>2.236058767105952</v>
      </c>
      <c r="P71" s="406">
        <f>O71*(1+'Driver PIB'!P$2)</f>
        <v>2.2895343091231286</v>
      </c>
      <c r="Q71" s="406">
        <f>P71*(1+'Driver PIB'!Q$2)</f>
        <v>2.3622795065566824</v>
      </c>
      <c r="R71" s="406">
        <f>Q71*(1+'Driver PIB'!R$2)</f>
        <v>2.4207727596509634</v>
      </c>
      <c r="S71" s="406">
        <f>R71*(1+'Driver PIB'!S$2)</f>
        <v>2.4909909132148287</v>
      </c>
      <c r="T71" s="406">
        <f>S71*(1+'Driver PIB'!T$2)</f>
        <v>2.5501689855092056</v>
      </c>
      <c r="U71" s="406">
        <f>T71*(1+'Driver PIB'!U$2)</f>
        <v>2.6106932969880372</v>
      </c>
      <c r="V71" s="406">
        <f>U71*(1+'Driver PIB'!V$2)</f>
        <v>2.6775941871411089</v>
      </c>
      <c r="W71" s="406">
        <f>V71*(1+'Driver PIB'!W$2)</f>
        <v>2.738582907811407</v>
      </c>
      <c r="X71" s="406">
        <f>W71*(1+'Driver PIB'!X$2)</f>
        <v>2.8029722221677331</v>
      </c>
      <c r="Y71" s="406">
        <f>X71*(1+'Driver PIB'!Y$2)</f>
        <v>2.873872993411454</v>
      </c>
      <c r="Z71" s="406">
        <f>Y71*(1+'Driver PIB'!Z$2)</f>
        <v>2.9393887341402358</v>
      </c>
      <c r="AA71" s="406">
        <f>Z71*(1+'Driver PIB'!AA$2)</f>
        <v>3.0067208348808174</v>
      </c>
      <c r="AB71" s="406">
        <f>AA71*(1+'Driver PIB'!AB$2)</f>
        <v>3.0739530734701077</v>
      </c>
      <c r="AC71" s="406">
        <f>AB71*(1+'Driver PIB'!AC$2)</f>
        <v>3.1279641901096213</v>
      </c>
      <c r="AD71" s="406">
        <f>AC71*(1+'Driver PIB'!AD$2)</f>
        <v>3.1967583891965652</v>
      </c>
      <c r="AE71" s="406">
        <f>AD71*(1+'Driver PIB'!AE$2)</f>
        <v>3.2564285955843926</v>
      </c>
      <c r="AF71" s="406">
        <f>AE71*(1+'Driver PIB'!AF$2)</f>
        <v>3.3311170542692046</v>
      </c>
      <c r="AG71" s="406">
        <f>AF71*(1+'Driver PIB'!AG$2)</f>
        <v>3.3927527132830062</v>
      </c>
      <c r="AH71" s="406">
        <f>AG71*(1+'Driver PIB'!AH$2)</f>
        <v>3.4537922614304652</v>
      </c>
      <c r="AI71" s="406">
        <f>AH71*(1+'Driver PIB'!AI$2)</f>
        <v>3.5170767135508432</v>
      </c>
      <c r="AJ71" s="406">
        <f>AI71*(1+'Driver PIB'!AJ$2)</f>
        <v>3.5808366735293142</v>
      </c>
      <c r="AK71" s="450"/>
    </row>
    <row r="72" spans="1:37" ht="14.25" customHeight="1" x14ac:dyDescent="0.45">
      <c r="A72" s="618"/>
      <c r="B72" s="400"/>
      <c r="C72" s="405" t="s">
        <v>480</v>
      </c>
      <c r="D72" s="406">
        <f>'Copia de Demandas de energía '!D72*1000*($E$110)</f>
        <v>2.3828000541402199E-2</v>
      </c>
      <c r="E72" s="406">
        <f>'Copia de Demandas de energía '!E72*1000*($E$110)</f>
        <v>2.2311391529002397E-2</v>
      </c>
      <c r="F72" s="406">
        <f>'Copia de Demandas de energía '!F72*1000*($E$110)</f>
        <v>2.0620421019871899E-2</v>
      </c>
      <c r="G72" s="406">
        <f>'Copia de Demandas de energía '!G72*1000*($E$110)</f>
        <v>2.5484834843234296E-2</v>
      </c>
      <c r="H72" s="406">
        <f>G72*(1+'Driver PIB'!H$2)</f>
        <v>2.6260214490590961E-2</v>
      </c>
      <c r="I72" s="406">
        <f>H72*(1+'Driver PIB'!I$2)</f>
        <v>2.6939730557248371E-2</v>
      </c>
      <c r="J72" s="406">
        <f>I72*(1+'Driver PIB'!J$2)</f>
        <v>2.7712186227020721E-2</v>
      </c>
      <c r="K72" s="406">
        <f>J72*(1+'Driver PIB'!K$2)</f>
        <v>2.8539010317452849E-2</v>
      </c>
      <c r="L72" s="406">
        <f>K72*(1+'Driver PIB'!L$2)</f>
        <v>2.9414203899999793E-2</v>
      </c>
      <c r="M72" s="406">
        <f>L72*(1+'Driver PIB'!M$2)</f>
        <v>3.0195671073368378E-2</v>
      </c>
      <c r="N72" s="406">
        <f>M72*(1+'Driver PIB'!N$2)</f>
        <v>3.1058054562400118E-2</v>
      </c>
      <c r="O72" s="406">
        <f>N72*(1+'Driver PIB'!O$2)</f>
        <v>3.1743060358638053E-2</v>
      </c>
      <c r="P72" s="406">
        <f>O72*(1+'Driver PIB'!P$2)</f>
        <v>3.2502198438071943E-2</v>
      </c>
      <c r="Q72" s="406">
        <f>P72*(1+'Driver PIB'!Q$2)</f>
        <v>3.3534888288134779E-2</v>
      </c>
      <c r="R72" s="406">
        <f>Q72*(1+'Driver PIB'!R$2)</f>
        <v>3.4365257726925509E-2</v>
      </c>
      <c r="S72" s="406">
        <f>R72*(1+'Driver PIB'!S$2)</f>
        <v>3.5362073696004324E-2</v>
      </c>
      <c r="T72" s="406">
        <f>S72*(1+'Driver PIB'!T$2)</f>
        <v>3.6202164819002632E-2</v>
      </c>
      <c r="U72" s="406">
        <f>T72*(1+'Driver PIB'!U$2)</f>
        <v>3.7061367135462382E-2</v>
      </c>
      <c r="V72" s="406">
        <f>U72*(1+'Driver PIB'!V$2)</f>
        <v>3.8011091277517964E-2</v>
      </c>
      <c r="W72" s="406">
        <f>V72*(1+'Driver PIB'!W$2)</f>
        <v>3.887688634064998E-2</v>
      </c>
      <c r="X72" s="406">
        <f>W72*(1+'Driver PIB'!X$2)</f>
        <v>3.979095618627821E-2</v>
      </c>
      <c r="Y72" s="406">
        <f>X72*(1+'Driver PIB'!Y$2)</f>
        <v>4.0797462586812709E-2</v>
      </c>
      <c r="Z72" s="406">
        <f>Y72*(1+'Driver PIB'!Z$2)</f>
        <v>4.172752316616244E-2</v>
      </c>
      <c r="AA72" s="406">
        <f>Z72*(1+'Driver PIB'!AA$2)</f>
        <v>4.2683368767952437E-2</v>
      </c>
      <c r="AB72" s="406">
        <f>AA72*(1+'Driver PIB'!AB$2)</f>
        <v>4.3637796727977997E-2</v>
      </c>
      <c r="AC72" s="406">
        <f>AB72*(1+'Driver PIB'!AC$2)</f>
        <v>4.4404537817589212E-2</v>
      </c>
      <c r="AD72" s="406">
        <f>AC72*(1+'Driver PIB'!AD$2)</f>
        <v>4.5381139347953889E-2</v>
      </c>
      <c r="AE72" s="406">
        <f>AD72*(1+'Driver PIB'!AE$2)</f>
        <v>4.6228216799962307E-2</v>
      </c>
      <c r="AF72" s="406">
        <f>AE72*(1+'Driver PIB'!AF$2)</f>
        <v>4.7288493160763917E-2</v>
      </c>
      <c r="AG72" s="406">
        <f>AF72*(1+'Driver PIB'!AG$2)</f>
        <v>4.8163472151969845E-2</v>
      </c>
      <c r="AH72" s="406">
        <f>AG72*(1+'Driver PIB'!AH$2)</f>
        <v>4.9029988761288001E-2</v>
      </c>
      <c r="AI72" s="406">
        <f>AH72*(1+'Driver PIB'!AI$2)</f>
        <v>4.992837399738824E-2</v>
      </c>
      <c r="AJ72" s="406">
        <f>AI72*(1+'Driver PIB'!AJ$2)</f>
        <v>5.0833509536683773E-2</v>
      </c>
      <c r="AK72" s="450"/>
    </row>
    <row r="73" spans="1:37" ht="14.25" customHeight="1" x14ac:dyDescent="0.45">
      <c r="A73" s="4"/>
      <c r="B73" s="485"/>
      <c r="C73" s="404" t="s">
        <v>25</v>
      </c>
      <c r="D73" s="406">
        <f t="shared" ref="D73:AJ73" si="5">SUM(D71:D72)</f>
        <v>2.1537273795532417</v>
      </c>
      <c r="E73" s="406">
        <f t="shared" si="5"/>
        <v>1.7356258702677423</v>
      </c>
      <c r="F73" s="406">
        <f t="shared" si="5"/>
        <v>1.0450489103649818</v>
      </c>
      <c r="G73" s="406">
        <f t="shared" si="5"/>
        <v>1.8206988985040544</v>
      </c>
      <c r="H73" s="486">
        <f t="shared" si="5"/>
        <v>1.8760939159153414</v>
      </c>
      <c r="I73" s="486">
        <f t="shared" si="5"/>
        <v>1.9246402047843625</v>
      </c>
      <c r="J73" s="486">
        <f t="shared" si="5"/>
        <v>1.979826326089406</v>
      </c>
      <c r="K73" s="486">
        <f t="shared" si="5"/>
        <v>2.0388966602691876</v>
      </c>
      <c r="L73" s="486">
        <f t="shared" si="5"/>
        <v>2.1014226292041625</v>
      </c>
      <c r="M73" s="486">
        <f t="shared" si="5"/>
        <v>2.1572525543546091</v>
      </c>
      <c r="N73" s="486">
        <f t="shared" si="5"/>
        <v>2.2188633388947729</v>
      </c>
      <c r="O73" s="486">
        <f t="shared" si="5"/>
        <v>2.2678018274645901</v>
      </c>
      <c r="P73" s="486">
        <f t="shared" si="5"/>
        <v>2.3220365075612004</v>
      </c>
      <c r="Q73" s="486">
        <f t="shared" si="5"/>
        <v>2.395814394844817</v>
      </c>
      <c r="R73" s="486">
        <f t="shared" si="5"/>
        <v>2.4551380173778887</v>
      </c>
      <c r="S73" s="486">
        <f t="shared" si="5"/>
        <v>2.5263529869108332</v>
      </c>
      <c r="T73" s="486">
        <f t="shared" si="5"/>
        <v>2.5863711503282083</v>
      </c>
      <c r="U73" s="486">
        <f t="shared" si="5"/>
        <v>2.6477546641234997</v>
      </c>
      <c r="V73" s="486">
        <f t="shared" si="5"/>
        <v>2.7156052784186269</v>
      </c>
      <c r="W73" s="486">
        <f t="shared" si="5"/>
        <v>2.7774597941520569</v>
      </c>
      <c r="X73" s="486">
        <f t="shared" si="5"/>
        <v>2.8427631783540113</v>
      </c>
      <c r="Y73" s="486">
        <f t="shared" si="5"/>
        <v>2.9146704559982668</v>
      </c>
      <c r="Z73" s="486">
        <f t="shared" si="5"/>
        <v>2.9811162573063981</v>
      </c>
      <c r="AA73" s="486">
        <f t="shared" si="5"/>
        <v>3.0494042036487699</v>
      </c>
      <c r="AB73" s="486">
        <f t="shared" si="5"/>
        <v>3.1175908701980859</v>
      </c>
      <c r="AC73" s="486">
        <f t="shared" si="5"/>
        <v>3.1723687279272106</v>
      </c>
      <c r="AD73" s="486">
        <f t="shared" si="5"/>
        <v>3.2421395285445191</v>
      </c>
      <c r="AE73" s="486">
        <f t="shared" si="5"/>
        <v>3.3026568123843547</v>
      </c>
      <c r="AF73" s="486">
        <f t="shared" si="5"/>
        <v>3.3784055474299683</v>
      </c>
      <c r="AG73" s="486">
        <f t="shared" si="5"/>
        <v>3.4409161854349759</v>
      </c>
      <c r="AH73" s="486">
        <f t="shared" si="5"/>
        <v>3.5028222501917532</v>
      </c>
      <c r="AI73" s="486">
        <f t="shared" si="5"/>
        <v>3.5670050875482313</v>
      </c>
      <c r="AJ73" s="486">
        <f t="shared" si="5"/>
        <v>3.6316701830659981</v>
      </c>
      <c r="AK73" s="487"/>
    </row>
    <row r="74" spans="1:37" ht="14.25" customHeight="1" x14ac:dyDescent="0.45">
      <c r="A74" s="618"/>
      <c r="B74" s="400"/>
      <c r="C74" s="410"/>
      <c r="D74" s="401"/>
      <c r="E74" s="417"/>
      <c r="F74" s="417"/>
      <c r="G74" s="417"/>
      <c r="H74" s="417"/>
      <c r="I74" s="417"/>
      <c r="J74" s="401"/>
      <c r="K74" s="417"/>
      <c r="L74" s="401"/>
      <c r="M74" s="401"/>
      <c r="N74" s="401"/>
      <c r="O74" s="401"/>
      <c r="P74" s="417"/>
      <c r="Q74" s="401"/>
      <c r="R74" s="401"/>
      <c r="S74" s="401"/>
      <c r="T74" s="401"/>
      <c r="U74" s="417"/>
      <c r="V74" s="401"/>
      <c r="W74" s="401"/>
      <c r="X74" s="401"/>
      <c r="Y74" s="401"/>
      <c r="Z74" s="417"/>
      <c r="AA74" s="401"/>
      <c r="AB74" s="401"/>
      <c r="AC74" s="401"/>
      <c r="AD74" s="401"/>
      <c r="AE74" s="417"/>
      <c r="AF74" s="401"/>
      <c r="AG74" s="401"/>
      <c r="AH74" s="401"/>
      <c r="AI74" s="401"/>
      <c r="AJ74" s="417"/>
      <c r="AK74" s="450"/>
    </row>
    <row r="75" spans="1:37" ht="14.25" customHeight="1" x14ac:dyDescent="0.45">
      <c r="A75" s="618"/>
      <c r="B75" s="400"/>
      <c r="C75" s="404" t="s">
        <v>514</v>
      </c>
      <c r="D75" s="403"/>
      <c r="E75" s="403"/>
      <c r="F75" s="403"/>
      <c r="G75" s="403"/>
      <c r="H75" s="403"/>
      <c r="I75" s="403"/>
      <c r="J75" s="403"/>
      <c r="K75" s="415"/>
      <c r="L75" s="403"/>
      <c r="M75" s="403"/>
      <c r="N75" s="403"/>
      <c r="O75" s="403"/>
      <c r="P75" s="415"/>
      <c r="Q75" s="403"/>
      <c r="R75" s="403"/>
      <c r="S75" s="403"/>
      <c r="T75" s="403"/>
      <c r="U75" s="415"/>
      <c r="V75" s="403"/>
      <c r="W75" s="403"/>
      <c r="X75" s="403"/>
      <c r="Y75" s="403"/>
      <c r="Z75" s="415"/>
      <c r="AA75" s="403"/>
      <c r="AB75" s="403"/>
      <c r="AC75" s="403"/>
      <c r="AD75" s="403"/>
      <c r="AE75" s="415"/>
      <c r="AF75" s="403"/>
      <c r="AG75" s="403"/>
      <c r="AH75" s="403"/>
      <c r="AI75" s="403"/>
      <c r="AJ75" s="415"/>
      <c r="AK75" s="450"/>
    </row>
    <row r="76" spans="1:37" ht="14.25" customHeight="1" x14ac:dyDescent="0.45">
      <c r="A76" s="618"/>
      <c r="B76" s="400"/>
      <c r="C76" s="405" t="s">
        <v>516</v>
      </c>
      <c r="D76" s="406">
        <f>'Copia de Demandas de energía '!D76*1000*($E$110)</f>
        <v>2.2108249071308399</v>
      </c>
      <c r="E76" s="406">
        <f>'Copia de Demandas de energía '!E76*1000*($E$110)</f>
        <v>2.2550414017459999</v>
      </c>
      <c r="F76" s="406">
        <f>'Copia de Demandas de energía '!F76*1000*($E$110)</f>
        <v>2.3001422297809198</v>
      </c>
      <c r="G76" s="406">
        <f>'Copia de Demandas de energía '!G76*1000*($E$110)</f>
        <v>2.3461450789118397</v>
      </c>
      <c r="H76" s="406">
        <f>G76*(1+'Driver PIB'!H$2)</f>
        <v>2.4175268694992398</v>
      </c>
      <c r="I76" s="406">
        <f>H76*(1+'Driver PIB'!I$2)</f>
        <v>2.4800834167806536</v>
      </c>
      <c r="J76" s="406">
        <f>I76*(1+'Driver PIB'!J$2)</f>
        <v>2.5511960247085437</v>
      </c>
      <c r="K76" s="406">
        <f>J76*(1+'Driver PIB'!K$2)</f>
        <v>2.6273138133002982</v>
      </c>
      <c r="L76" s="406">
        <f>K76*(1+'Driver PIB'!L$2)</f>
        <v>2.7078845185616216</v>
      </c>
      <c r="M76" s="406">
        <f>L76*(1+'Driver PIB'!M$2)</f>
        <v>2.7798267294650048</v>
      </c>
      <c r="N76" s="406">
        <f>M76*(1+'Driver PIB'!N$2)</f>
        <v>2.8592181318959988</v>
      </c>
      <c r="O76" s="406">
        <f>N76*(1+'Driver PIB'!O$2)</f>
        <v>2.9222800660915964</v>
      </c>
      <c r="P76" s="406">
        <f>O76*(1+'Driver PIB'!P$2)</f>
        <v>2.9921666508089086</v>
      </c>
      <c r="Q76" s="406">
        <f>P76*(1+'Driver PIB'!Q$2)</f>
        <v>3.087236531570186</v>
      </c>
      <c r="R76" s="406">
        <f>Q76*(1+'Driver PIB'!R$2)</f>
        <v>3.1636807064876016</v>
      </c>
      <c r="S76" s="406">
        <f>R76*(1+'Driver PIB'!S$2)</f>
        <v>3.2554480220233293</v>
      </c>
      <c r="T76" s="406">
        <f>S76*(1+'Driver PIB'!T$2)</f>
        <v>3.3327871794549599</v>
      </c>
      <c r="U76" s="406">
        <f>T76*(1+'Driver PIB'!U$2)</f>
        <v>3.4118857217430159</v>
      </c>
      <c r="V76" s="406">
        <f>U76*(1+'Driver PIB'!V$2)</f>
        <v>3.499317743018171</v>
      </c>
      <c r="W76" s="406">
        <f>V76*(1+'Driver PIB'!W$2)</f>
        <v>3.5790232164579021</v>
      </c>
      <c r="X76" s="406">
        <f>W76*(1+'Driver PIB'!X$2)</f>
        <v>3.6631728875581526</v>
      </c>
      <c r="Y76" s="406">
        <f>X76*(1+'Driver PIB'!Y$2)</f>
        <v>3.7558323084660414</v>
      </c>
      <c r="Z76" s="406">
        <f>Y76*(1+'Driver PIB'!Z$2)</f>
        <v>3.8414540935297397</v>
      </c>
      <c r="AA76" s="406">
        <f>Z76*(1+'Driver PIB'!AA$2)</f>
        <v>3.9294496590742609</v>
      </c>
      <c r="AB76" s="406">
        <f>AA76*(1+'Driver PIB'!AB$2)</f>
        <v>4.0173147158958589</v>
      </c>
      <c r="AC76" s="406">
        <f>AB76*(1+'Driver PIB'!AC$2)</f>
        <v>4.0879012370664451</v>
      </c>
      <c r="AD76" s="406">
        <f>AC76*(1+'Driver PIB'!AD$2)</f>
        <v>4.1778076025036581</v>
      </c>
      <c r="AE76" s="406">
        <f>AD76*(1+'Driver PIB'!AE$2)</f>
        <v>4.2557899244496973</v>
      </c>
      <c r="AF76" s="406">
        <f>AE76*(1+'Driver PIB'!AF$2)</f>
        <v>4.3533994314950863</v>
      </c>
      <c r="AG76" s="406">
        <f>AF76*(1+'Driver PIB'!AG$2)</f>
        <v>4.4339503813833891</v>
      </c>
      <c r="AH76" s="406">
        <f>AG76*(1+'Driver PIB'!AH$2)</f>
        <v>4.5137222806816455</v>
      </c>
      <c r="AI76" s="406">
        <f>AH76*(1+'Driver PIB'!AI$2)</f>
        <v>4.5964280197460363</v>
      </c>
      <c r="AJ76" s="406">
        <f>AI76*(1+'Driver PIB'!AJ$2)</f>
        <v>4.6797551946847511</v>
      </c>
      <c r="AK76" s="450"/>
    </row>
    <row r="77" spans="1:37" ht="14.25" customHeight="1" x14ac:dyDescent="0.45">
      <c r="A77" s="618"/>
      <c r="B77" s="400"/>
      <c r="C77" s="405" t="s">
        <v>480</v>
      </c>
      <c r="D77" s="406">
        <f>'Copia de Demandas de energía '!D77*1000*($E$110)</f>
        <v>8.7686913220029989</v>
      </c>
      <c r="E77" s="406">
        <f>'Copia de Demandas de energía '!E77*1000*($E$110)</f>
        <v>8.3863427206149996</v>
      </c>
      <c r="F77" s="406">
        <f>'Copia de Demandas de energía '!F77*1000*($E$110)</f>
        <v>7.9631449096769993</v>
      </c>
      <c r="G77" s="406">
        <f>'Copia de Demandas de energía '!G77*1000*($E$110)</f>
        <v>7.5146205888180004</v>
      </c>
      <c r="H77" s="406">
        <f>G77*(1+'Driver PIB'!H$2)</f>
        <v>7.7432539661978694</v>
      </c>
      <c r="I77" s="406">
        <f>H77*(1+'Driver PIB'!I$2)</f>
        <v>7.943620398091463</v>
      </c>
      <c r="J77" s="406">
        <f>I77*(1+'Driver PIB'!J$2)</f>
        <v>8.1713915928324621</v>
      </c>
      <c r="K77" s="406">
        <f>J77*(1+'Driver PIB'!K$2)</f>
        <v>8.4151942060929308</v>
      </c>
      <c r="L77" s="406">
        <f>K77*(1+'Driver PIB'!L$2)</f>
        <v>8.6732593556245803</v>
      </c>
      <c r="M77" s="406">
        <f>L77*(1+'Driver PIB'!M$2)</f>
        <v>8.9036877396656866</v>
      </c>
      <c r="N77" s="406">
        <f>M77*(1+'Driver PIB'!N$2)</f>
        <v>9.1579756234992775</v>
      </c>
      <c r="O77" s="406">
        <f>N77*(1+'Driver PIB'!O$2)</f>
        <v>9.3599607919939363</v>
      </c>
      <c r="P77" s="406">
        <f>O77*(1+'Driver PIB'!P$2)</f>
        <v>9.5838050772938317</v>
      </c>
      <c r="Q77" s="406">
        <f>P77*(1+'Driver PIB'!Q$2)</f>
        <v>9.8883105785804428</v>
      </c>
      <c r="R77" s="406">
        <f>Q77*(1+'Driver PIB'!R$2)</f>
        <v>10.133158595820728</v>
      </c>
      <c r="S77" s="406">
        <f>R77*(1+'Driver PIB'!S$2)</f>
        <v>10.427086096256966</v>
      </c>
      <c r="T77" s="406">
        <f>S77*(1+'Driver PIB'!T$2)</f>
        <v>10.67480071117205</v>
      </c>
      <c r="U77" s="406">
        <f>T77*(1+'Driver PIB'!U$2)</f>
        <v>10.9281505742159</v>
      </c>
      <c r="V77" s="406">
        <f>U77*(1+'Driver PIB'!V$2)</f>
        <v>11.208192278840997</v>
      </c>
      <c r="W77" s="406">
        <f>V77*(1+'Driver PIB'!W$2)</f>
        <v>11.463486121125246</v>
      </c>
      <c r="X77" s="406">
        <f>W77*(1+'Driver PIB'!X$2)</f>
        <v>11.733014572999798</v>
      </c>
      <c r="Y77" s="406">
        <f>X77*(1+'Driver PIB'!Y$2)</f>
        <v>12.029799455725517</v>
      </c>
      <c r="Z77" s="406">
        <f>Y77*(1+'Driver PIB'!Z$2)</f>
        <v>12.30404303711113</v>
      </c>
      <c r="AA77" s="406">
        <f>Z77*(1+'Driver PIB'!AA$2)</f>
        <v>12.585889754310834</v>
      </c>
      <c r="AB77" s="406">
        <f>AA77*(1+'Driver PIB'!AB$2)</f>
        <v>12.867318456637923</v>
      </c>
      <c r="AC77" s="406">
        <f>AB77*(1+'Driver PIB'!AC$2)</f>
        <v>13.093404613904696</v>
      </c>
      <c r="AD77" s="406">
        <f>AC77*(1+'Driver PIB'!AD$2)</f>
        <v>13.381371556295843</v>
      </c>
      <c r="AE77" s="406">
        <f>AD77*(1+'Driver PIB'!AE$2)</f>
        <v>13.631146204644246</v>
      </c>
      <c r="AF77" s="406">
        <f>AE77*(1+'Driver PIB'!AF$2)</f>
        <v>13.943786040049419</v>
      </c>
      <c r="AG77" s="406">
        <f>AF77*(1+'Driver PIB'!AG$2)</f>
        <v>14.201787913812584</v>
      </c>
      <c r="AH77" s="406">
        <f>AG77*(1+'Driver PIB'!AH$2)</f>
        <v>14.457294515797242</v>
      </c>
      <c r="AI77" s="406">
        <f>AH77*(1+'Driver PIB'!AI$2)</f>
        <v>14.722198103888623</v>
      </c>
      <c r="AJ77" s="406">
        <f>AI77*(1+'Driver PIB'!AJ$2)</f>
        <v>14.989092129339481</v>
      </c>
      <c r="AK77" s="450"/>
    </row>
    <row r="78" spans="1:37" ht="14.25" customHeight="1" x14ac:dyDescent="0.45">
      <c r="A78" s="4"/>
      <c r="B78" s="485"/>
      <c r="C78" s="404" t="s">
        <v>25</v>
      </c>
      <c r="D78" s="406">
        <f t="shared" ref="D78:AJ78" si="6">SUM(D76:D77)</f>
        <v>10.979516229133839</v>
      </c>
      <c r="E78" s="406">
        <f t="shared" si="6"/>
        <v>10.641384122361</v>
      </c>
      <c r="F78" s="406">
        <f t="shared" si="6"/>
        <v>10.263287139457919</v>
      </c>
      <c r="G78" s="406">
        <f t="shared" si="6"/>
        <v>9.8607656677298401</v>
      </c>
      <c r="H78" s="486">
        <f t="shared" si="6"/>
        <v>10.160780835697109</v>
      </c>
      <c r="I78" s="486">
        <f t="shared" si="6"/>
        <v>10.423703814872116</v>
      </c>
      <c r="J78" s="486">
        <f t="shared" si="6"/>
        <v>10.722587617541006</v>
      </c>
      <c r="K78" s="486">
        <f t="shared" si="6"/>
        <v>11.042508019393228</v>
      </c>
      <c r="L78" s="486">
        <f t="shared" si="6"/>
        <v>11.381143874186202</v>
      </c>
      <c r="M78" s="486">
        <f t="shared" si="6"/>
        <v>11.683514469130692</v>
      </c>
      <c r="N78" s="486">
        <f t="shared" si="6"/>
        <v>12.017193755395276</v>
      </c>
      <c r="O78" s="486">
        <f t="shared" si="6"/>
        <v>12.282240858085533</v>
      </c>
      <c r="P78" s="486">
        <f t="shared" si="6"/>
        <v>12.57597172810274</v>
      </c>
      <c r="Q78" s="486">
        <f t="shared" si="6"/>
        <v>12.975547110150629</v>
      </c>
      <c r="R78" s="486">
        <f t="shared" si="6"/>
        <v>13.29683930230833</v>
      </c>
      <c r="S78" s="486">
        <f t="shared" si="6"/>
        <v>13.682534118280294</v>
      </c>
      <c r="T78" s="486">
        <f t="shared" si="6"/>
        <v>14.007587890627011</v>
      </c>
      <c r="U78" s="486">
        <f t="shared" si="6"/>
        <v>14.340036295958916</v>
      </c>
      <c r="V78" s="486">
        <f t="shared" si="6"/>
        <v>14.707510021859168</v>
      </c>
      <c r="W78" s="486">
        <f t="shared" si="6"/>
        <v>15.042509337583148</v>
      </c>
      <c r="X78" s="486">
        <f t="shared" si="6"/>
        <v>15.39618746055795</v>
      </c>
      <c r="Y78" s="486">
        <f t="shared" si="6"/>
        <v>15.785631764191558</v>
      </c>
      <c r="Z78" s="486">
        <f t="shared" si="6"/>
        <v>16.145497130640869</v>
      </c>
      <c r="AA78" s="486">
        <f t="shared" si="6"/>
        <v>16.515339413385096</v>
      </c>
      <c r="AB78" s="486">
        <f t="shared" si="6"/>
        <v>16.884633172533782</v>
      </c>
      <c r="AC78" s="486">
        <f t="shared" si="6"/>
        <v>17.181305850971142</v>
      </c>
      <c r="AD78" s="486">
        <f t="shared" si="6"/>
        <v>17.559179158799502</v>
      </c>
      <c r="AE78" s="486">
        <f t="shared" si="6"/>
        <v>17.886936129093943</v>
      </c>
      <c r="AF78" s="486">
        <f t="shared" si="6"/>
        <v>18.297185471544505</v>
      </c>
      <c r="AG78" s="486">
        <f t="shared" si="6"/>
        <v>18.635738295195974</v>
      </c>
      <c r="AH78" s="486">
        <f t="shared" si="6"/>
        <v>18.971016796478889</v>
      </c>
      <c r="AI78" s="486">
        <f t="shared" si="6"/>
        <v>19.318626123634658</v>
      </c>
      <c r="AJ78" s="486">
        <f t="shared" si="6"/>
        <v>19.668847324024231</v>
      </c>
      <c r="AK78" s="487"/>
    </row>
    <row r="79" spans="1:37" ht="14.25" customHeight="1" x14ac:dyDescent="0.45">
      <c r="A79" s="618"/>
      <c r="B79" s="400"/>
      <c r="C79" s="410"/>
      <c r="D79" s="401"/>
      <c r="E79" s="417"/>
      <c r="F79" s="417"/>
      <c r="G79" s="417"/>
      <c r="H79" s="417"/>
      <c r="I79" s="417"/>
      <c r="J79" s="401"/>
      <c r="K79" s="417"/>
      <c r="L79" s="401"/>
      <c r="M79" s="401"/>
      <c r="N79" s="401"/>
      <c r="O79" s="401"/>
      <c r="P79" s="417"/>
      <c r="Q79" s="401"/>
      <c r="R79" s="401"/>
      <c r="S79" s="401"/>
      <c r="T79" s="401"/>
      <c r="U79" s="417"/>
      <c r="V79" s="401"/>
      <c r="W79" s="401"/>
      <c r="X79" s="401"/>
      <c r="Y79" s="401"/>
      <c r="Z79" s="417"/>
      <c r="AA79" s="401"/>
      <c r="AB79" s="401"/>
      <c r="AC79" s="401"/>
      <c r="AD79" s="401"/>
      <c r="AE79" s="417"/>
      <c r="AF79" s="401"/>
      <c r="AG79" s="401"/>
      <c r="AH79" s="401"/>
      <c r="AI79" s="401"/>
      <c r="AJ79" s="417"/>
      <c r="AK79" s="450"/>
    </row>
    <row r="80" spans="1:37" ht="14.25" customHeight="1" x14ac:dyDescent="0.45">
      <c r="A80" s="618"/>
      <c r="B80" s="400"/>
      <c r="C80" s="404" t="s">
        <v>518</v>
      </c>
      <c r="D80" s="403"/>
      <c r="E80" s="403"/>
      <c r="F80" s="403"/>
      <c r="G80" s="403"/>
      <c r="H80" s="403"/>
      <c r="I80" s="403"/>
      <c r="J80" s="403"/>
      <c r="K80" s="415"/>
      <c r="L80" s="403"/>
      <c r="M80" s="403"/>
      <c r="N80" s="403"/>
      <c r="O80" s="403"/>
      <c r="P80" s="415"/>
      <c r="Q80" s="403"/>
      <c r="R80" s="403"/>
      <c r="S80" s="403"/>
      <c r="T80" s="403"/>
      <c r="U80" s="415"/>
      <c r="V80" s="403"/>
      <c r="W80" s="403"/>
      <c r="X80" s="403"/>
      <c r="Y80" s="403"/>
      <c r="Z80" s="415"/>
      <c r="AA80" s="403"/>
      <c r="AB80" s="403"/>
      <c r="AC80" s="403"/>
      <c r="AD80" s="403"/>
      <c r="AE80" s="415"/>
      <c r="AF80" s="403"/>
      <c r="AG80" s="403"/>
      <c r="AH80" s="403"/>
      <c r="AI80" s="403"/>
      <c r="AJ80" s="415"/>
      <c r="AK80" s="450"/>
    </row>
    <row r="81" spans="1:37" ht="14.25" customHeight="1" x14ac:dyDescent="0.45">
      <c r="A81" s="618"/>
      <c r="B81" s="400"/>
      <c r="C81" s="405" t="s">
        <v>516</v>
      </c>
      <c r="D81" s="406">
        <f>'Copia de Demandas de energía '!D81*1000*($E$110)</f>
        <v>8.9113939569439999</v>
      </c>
      <c r="E81" s="406">
        <f>'Copia de Demandas de energía '!E81*1000*($E$110)</f>
        <v>9.717581925475498</v>
      </c>
      <c r="F81" s="406">
        <f>'Copia de Demandas de energía '!F81*1000*($E$110)</f>
        <v>9.8625494396433009</v>
      </c>
      <c r="G81" s="406">
        <f>'Copia de Demandas de energía '!G81*1000*($E$110)</f>
        <v>8.3203983015255982</v>
      </c>
      <c r="H81" s="406">
        <f>G81*(1+'Driver PIB'!H$2)</f>
        <v>8.5735475779713362</v>
      </c>
      <c r="I81" s="406">
        <f>H81*(1+'Driver PIB'!I$2)</f>
        <v>8.7953989009896851</v>
      </c>
      <c r="J81" s="406">
        <f>I81*(1+'Driver PIB'!J$2)</f>
        <v>9.0475935446792821</v>
      </c>
      <c r="K81" s="406">
        <f>J81*(1+'Driver PIB'!K$2)</f>
        <v>9.3175386237826014</v>
      </c>
      <c r="L81" s="406">
        <f>K81*(1+'Driver PIB'!L$2)</f>
        <v>9.6032755823512339</v>
      </c>
      <c r="M81" s="406">
        <f>L81*(1+'Driver PIB'!M$2)</f>
        <v>9.8584123404267991</v>
      </c>
      <c r="N81" s="406">
        <f>M81*(1+'Driver PIB'!N$2)</f>
        <v>10.13996700466306</v>
      </c>
      <c r="O81" s="406">
        <f>N81*(1+'Driver PIB'!O$2)</f>
        <v>10.363610638165609</v>
      </c>
      <c r="P81" s="406">
        <f>O81*(1+'Driver PIB'!P$2)</f>
        <v>10.611457297780984</v>
      </c>
      <c r="Q81" s="406">
        <f>P81*(1+'Driver PIB'!Q$2)</f>
        <v>10.948614313995536</v>
      </c>
      <c r="R81" s="406">
        <f>Q81*(1+'Driver PIB'!R$2)</f>
        <v>11.21971689365331</v>
      </c>
      <c r="S81" s="406">
        <f>R81*(1+'Driver PIB'!S$2)</f>
        <v>11.545161651175794</v>
      </c>
      <c r="T81" s="406">
        <f>S81*(1+'Driver PIB'!T$2)</f>
        <v>11.819438208034766</v>
      </c>
      <c r="U81" s="406">
        <f>T81*(1+'Driver PIB'!U$2)</f>
        <v>12.099954269391015</v>
      </c>
      <c r="V81" s="406">
        <f>U81*(1+'Driver PIB'!V$2)</f>
        <v>12.410024285033082</v>
      </c>
      <c r="W81" s="406">
        <f>V81*(1+'Driver PIB'!W$2)</f>
        <v>12.692692774629565</v>
      </c>
      <c r="X81" s="406">
        <f>W81*(1+'Driver PIB'!X$2)</f>
        <v>12.991122222488434</v>
      </c>
      <c r="Y81" s="406">
        <f>X81*(1+'Driver PIB'!Y$2)</f>
        <v>13.31973075367949</v>
      </c>
      <c r="Z81" s="406">
        <f>Y81*(1+'Driver PIB'!Z$2)</f>
        <v>13.623380924941706</v>
      </c>
      <c r="AA81" s="406">
        <f>Z81*(1+'Driver PIB'!AA$2)</f>
        <v>13.935449501041015</v>
      </c>
      <c r="AB81" s="406">
        <f>AA81*(1+'Driver PIB'!AB$2)</f>
        <v>14.247055239370271</v>
      </c>
      <c r="AC81" s="406">
        <f>AB81*(1+'Driver PIB'!AC$2)</f>
        <v>14.49738416239269</v>
      </c>
      <c r="AD81" s="406">
        <f>AC81*(1+'Driver PIB'!AD$2)</f>
        <v>14.816229223170893</v>
      </c>
      <c r="AE81" s="406">
        <f>AD81*(1+'Driver PIB'!AE$2)</f>
        <v>15.092786706721649</v>
      </c>
      <c r="AF81" s="406">
        <f>AE81*(1+'Driver PIB'!AF$2)</f>
        <v>15.438950285407877</v>
      </c>
      <c r="AG81" s="406">
        <f>AF81*(1+'Driver PIB'!AG$2)</f>
        <v>15.724617183274123</v>
      </c>
      <c r="AH81" s="406">
        <f>AG81*(1+'Driver PIB'!AH$2)</f>
        <v>16.007521246367496</v>
      </c>
      <c r="AI81" s="406">
        <f>AH81*(1+'Driver PIB'!AI$2)</f>
        <v>16.300829915564094</v>
      </c>
      <c r="AJ81" s="406">
        <f>AI81*(1+'Driver PIB'!AJ$2)</f>
        <v>16.596342452731051</v>
      </c>
      <c r="AK81" s="450"/>
    </row>
    <row r="82" spans="1:37" ht="14.25" customHeight="1" x14ac:dyDescent="0.45">
      <c r="A82" s="618"/>
      <c r="B82" s="400"/>
      <c r="C82" s="410"/>
      <c r="D82" s="401"/>
      <c r="E82" s="401"/>
      <c r="F82" s="401"/>
      <c r="G82" s="401"/>
      <c r="H82" s="401"/>
      <c r="I82" s="401"/>
      <c r="J82" s="401"/>
      <c r="K82" s="417"/>
      <c r="L82" s="401"/>
      <c r="M82" s="401"/>
      <c r="N82" s="401"/>
      <c r="O82" s="401"/>
      <c r="P82" s="417"/>
      <c r="Q82" s="401"/>
      <c r="R82" s="401"/>
      <c r="S82" s="401"/>
      <c r="T82" s="401"/>
      <c r="U82" s="417"/>
      <c r="V82" s="401"/>
      <c r="W82" s="401"/>
      <c r="X82" s="401"/>
      <c r="Y82" s="401"/>
      <c r="Z82" s="417"/>
      <c r="AA82" s="401"/>
      <c r="AB82" s="401"/>
      <c r="AC82" s="401"/>
      <c r="AD82" s="401"/>
      <c r="AE82" s="417"/>
      <c r="AF82" s="401"/>
      <c r="AG82" s="401"/>
      <c r="AH82" s="401"/>
      <c r="AI82" s="401"/>
      <c r="AJ82" s="417"/>
      <c r="AK82" s="450"/>
    </row>
    <row r="83" spans="1:37" ht="14.25" customHeight="1" x14ac:dyDescent="0.45">
      <c r="A83" s="618"/>
      <c r="B83" s="400"/>
      <c r="C83" s="404" t="s">
        <v>520</v>
      </c>
      <c r="D83" s="403"/>
      <c r="E83" s="403"/>
      <c r="F83" s="403"/>
      <c r="G83" s="403"/>
      <c r="H83" s="403"/>
      <c r="I83" s="403"/>
      <c r="J83" s="403"/>
      <c r="K83" s="415"/>
      <c r="L83" s="403"/>
      <c r="M83" s="403"/>
      <c r="N83" s="403"/>
      <c r="O83" s="403"/>
      <c r="P83" s="415"/>
      <c r="Q83" s="403" t="str">
        <f>IFERROR(_xlfn.FORECAST.LINEAR(Q$1,Demanda_energia!$J83:$K83,Demanda_energia!$J$1:$K$1),"")</f>
        <v/>
      </c>
      <c r="R83" s="403" t="str">
        <f>IFERROR(_xlfn.FORECAST.LINEAR(R$1,Demanda_energia!$J83:$K83,Demanda_energia!$J$1:$K$1),"")</f>
        <v/>
      </c>
      <c r="S83" s="403" t="str">
        <f>IFERROR(_xlfn.FORECAST.LINEAR(S$1,Demanda_energia!$J83:$K83,Demanda_energia!$J$1:$K$1),"")</f>
        <v/>
      </c>
      <c r="T83" s="403" t="str">
        <f>IFERROR(_xlfn.FORECAST.LINEAR(T$1,Demanda_energia!$J83:$K83,Demanda_energia!$J$1:$K$1),"")</f>
        <v/>
      </c>
      <c r="U83" s="415"/>
      <c r="V83" s="403"/>
      <c r="W83" s="403"/>
      <c r="X83" s="403"/>
      <c r="Y83" s="403"/>
      <c r="Z83" s="415"/>
      <c r="AA83" s="403"/>
      <c r="AB83" s="403"/>
      <c r="AC83" s="403"/>
      <c r="AD83" s="403"/>
      <c r="AE83" s="415"/>
      <c r="AF83" s="403"/>
      <c r="AG83" s="403"/>
      <c r="AH83" s="403"/>
      <c r="AI83" s="403"/>
      <c r="AJ83" s="415"/>
      <c r="AK83" s="450"/>
    </row>
    <row r="84" spans="1:37" ht="14.25" customHeight="1" x14ac:dyDescent="0.45">
      <c r="A84" s="618"/>
      <c r="B84" s="400"/>
      <c r="C84" s="408" t="s">
        <v>516</v>
      </c>
      <c r="D84" s="403"/>
      <c r="E84" s="403"/>
      <c r="F84" s="403"/>
      <c r="G84" s="403"/>
      <c r="H84" s="403"/>
      <c r="I84" s="403"/>
      <c r="J84" s="403"/>
      <c r="K84" s="415">
        <v>16.09</v>
      </c>
      <c r="L84" s="403" t="str">
        <f>IFERROR(_xlfn.FORECAST.LINEAR(L$1,Demanda_energia!$I84:$J84,Demanda_energia!$I$1:$J$1),"")</f>
        <v/>
      </c>
      <c r="M84" s="403" t="str">
        <f>IFERROR(_xlfn.FORECAST.LINEAR(M$1,Demanda_energia!$I84:$J84,Demanda_energia!$I$1:$J$1),"")</f>
        <v/>
      </c>
      <c r="N84" s="403" t="str">
        <f>IFERROR(_xlfn.FORECAST.LINEAR(N$1,Demanda_energia!$I84:$J84,Demanda_energia!$I$1:$J$1),"")</f>
        <v/>
      </c>
      <c r="O84" s="403" t="str">
        <f>IFERROR(_xlfn.FORECAST.LINEAR(O$1,Demanda_energia!$I84:$J84,Demanda_energia!$I$1:$J$1),"")</f>
        <v/>
      </c>
      <c r="P84" s="415">
        <v>17.32</v>
      </c>
      <c r="Q84" s="403" t="str">
        <f>IFERROR(_xlfn.FORECAST.LINEAR(Q$1,Demanda_energia!$J84:$K84,Demanda_energia!$J$1:$K$1),"")</f>
        <v/>
      </c>
      <c r="R84" s="403" t="str">
        <f>IFERROR(_xlfn.FORECAST.LINEAR(R$1,Demanda_energia!$J84:$K84,Demanda_energia!$J$1:$K$1),"")</f>
        <v/>
      </c>
      <c r="S84" s="403" t="str">
        <f>IFERROR(_xlfn.FORECAST.LINEAR(S$1,Demanda_energia!$J84:$K84,Demanda_energia!$J$1:$K$1),"")</f>
        <v/>
      </c>
      <c r="T84" s="403" t="str">
        <f>IFERROR(_xlfn.FORECAST.LINEAR(T$1,Demanda_energia!$J84:$K84,Demanda_energia!$J$1:$K$1),"")</f>
        <v/>
      </c>
      <c r="U84" s="415">
        <v>25.79</v>
      </c>
      <c r="V84" s="403" t="str">
        <f>IFERROR(_xlfn.FORECAST.LINEAR(V$1,Demanda_energia!$K84:$L84,Demanda_energia!$K$1:$L$1),"")</f>
        <v/>
      </c>
      <c r="W84" s="403" t="str">
        <f>IFERROR(_xlfn.FORECAST.LINEAR(W$1,Demanda_energia!$K84:$L84,Demanda_energia!$K$1:$L$1),"")</f>
        <v/>
      </c>
      <c r="X84" s="403" t="str">
        <f>IFERROR(_xlfn.FORECAST.LINEAR(X$1,Demanda_energia!$K84:$L84,Demanda_energia!$K$1:$L$1),"")</f>
        <v/>
      </c>
      <c r="Y84" s="403" t="str">
        <f>IFERROR(_xlfn.FORECAST.LINEAR(Y$1,Demanda_energia!$K84:$L84,Demanda_energia!$K$1:$L$1),"")</f>
        <v/>
      </c>
      <c r="Z84" s="415">
        <v>33.979999999999997</v>
      </c>
      <c r="AA84" s="403" t="str">
        <f>IFERROR(_xlfn.FORECAST.LINEAR(AA$1,Demanda_energia!$L84:$M84,Demanda_energia!$L$1:$M$1),"")</f>
        <v/>
      </c>
      <c r="AB84" s="403" t="str">
        <f>IFERROR(_xlfn.FORECAST.LINEAR(AB$1,Demanda_energia!$L84:$M84,Demanda_energia!$L$1:$M$1),"")</f>
        <v/>
      </c>
      <c r="AC84" s="403" t="str">
        <f>IFERROR(_xlfn.FORECAST.LINEAR(AC$1,Demanda_energia!$L84:$M84,Demanda_energia!$L$1:$M$1),"")</f>
        <v/>
      </c>
      <c r="AD84" s="403" t="str">
        <f>IFERROR(_xlfn.FORECAST.LINEAR(AD$1,Demanda_energia!$L84:$M84,Demanda_energia!$L$1:$M$1),"")</f>
        <v/>
      </c>
      <c r="AE84" s="415">
        <v>37.840000000000003</v>
      </c>
      <c r="AF84" s="403" t="str">
        <f>IFERROR(_xlfn.FORECAST.LINEAR(AF$1,Demanda_energia!$M84:$N84,Demanda_energia!$M$1:$N$1),"")</f>
        <v/>
      </c>
      <c r="AG84" s="403" t="str">
        <f>IFERROR(_xlfn.FORECAST.LINEAR(AG$1,Demanda_energia!$M84:$N84,Demanda_energia!$M$1:$N$1),"")</f>
        <v/>
      </c>
      <c r="AH84" s="403" t="str">
        <f>IFERROR(_xlfn.FORECAST.LINEAR(AH$1,Demanda_energia!$M84:$N84,Demanda_energia!$M$1:$N$1),"")</f>
        <v/>
      </c>
      <c r="AI84" s="403" t="str">
        <f>IFERROR(_xlfn.FORECAST.LINEAR(AI$1,Demanda_energia!$M84:$N84,Demanda_energia!$M$1:$N$1),"")</f>
        <v/>
      </c>
      <c r="AJ84" s="415">
        <v>41.36</v>
      </c>
      <c r="AK84" s="450"/>
    </row>
    <row r="85" spans="1:37" ht="14.25" customHeight="1" x14ac:dyDescent="0.45">
      <c r="A85" s="618"/>
      <c r="B85" s="400"/>
      <c r="C85" s="410"/>
      <c r="D85" s="401"/>
      <c r="E85" s="401"/>
      <c r="F85" s="401"/>
      <c r="G85" s="401"/>
      <c r="H85" s="401"/>
      <c r="I85" s="401"/>
      <c r="J85" s="401"/>
      <c r="K85" s="417"/>
      <c r="L85" s="401"/>
      <c r="M85" s="401"/>
      <c r="N85" s="401"/>
      <c r="O85" s="401"/>
      <c r="P85" s="417"/>
      <c r="Q85" s="401"/>
      <c r="R85" s="401"/>
      <c r="S85" s="401"/>
      <c r="T85" s="401"/>
      <c r="U85" s="417"/>
      <c r="V85" s="401"/>
      <c r="W85" s="401"/>
      <c r="X85" s="401"/>
      <c r="Y85" s="401"/>
      <c r="Z85" s="417"/>
      <c r="AA85" s="401"/>
      <c r="AB85" s="401"/>
      <c r="AC85" s="401"/>
      <c r="AD85" s="401"/>
      <c r="AE85" s="417"/>
      <c r="AF85" s="401"/>
      <c r="AG85" s="401"/>
      <c r="AH85" s="401"/>
      <c r="AI85" s="401"/>
      <c r="AJ85" s="417"/>
      <c r="AK85" s="450"/>
    </row>
    <row r="86" spans="1:37" ht="14.25" customHeight="1" x14ac:dyDescent="0.45">
      <c r="A86" s="618"/>
      <c r="B86" s="400"/>
      <c r="C86" s="404" t="s">
        <v>829</v>
      </c>
      <c r="D86" s="403"/>
      <c r="E86" s="414"/>
      <c r="F86" s="415"/>
      <c r="G86" s="415"/>
      <c r="H86" s="415"/>
      <c r="I86" s="415"/>
      <c r="J86" s="403"/>
      <c r="K86" s="415"/>
      <c r="L86" s="403"/>
      <c r="M86" s="403"/>
      <c r="N86" s="403"/>
      <c r="O86" s="403"/>
      <c r="P86" s="415"/>
      <c r="Q86" s="403"/>
      <c r="R86" s="403"/>
      <c r="S86" s="403"/>
      <c r="T86" s="403"/>
      <c r="U86" s="415"/>
      <c r="V86" s="403"/>
      <c r="W86" s="403"/>
      <c r="X86" s="403"/>
      <c r="Y86" s="403"/>
      <c r="Z86" s="415"/>
      <c r="AA86" s="403"/>
      <c r="AB86" s="403"/>
      <c r="AC86" s="403"/>
      <c r="AD86" s="403"/>
      <c r="AE86" s="415"/>
      <c r="AF86" s="403"/>
      <c r="AG86" s="403"/>
      <c r="AH86" s="403"/>
      <c r="AI86" s="403"/>
      <c r="AJ86" s="415"/>
      <c r="AK86" s="450"/>
    </row>
    <row r="87" spans="1:37" ht="14.25" customHeight="1" x14ac:dyDescent="0.45">
      <c r="A87" s="618"/>
      <c r="B87" s="400"/>
      <c r="C87" s="405" t="s">
        <v>480</v>
      </c>
      <c r="D87" s="403"/>
      <c r="E87" s="403"/>
      <c r="F87" s="403"/>
      <c r="G87" s="403"/>
      <c r="H87" s="403"/>
      <c r="I87" s="403"/>
      <c r="J87" s="403"/>
      <c r="K87" s="415"/>
      <c r="L87" s="403"/>
      <c r="M87" s="403"/>
      <c r="N87" s="403"/>
      <c r="O87" s="403"/>
      <c r="P87" s="415"/>
      <c r="Q87" s="403"/>
      <c r="R87" s="403"/>
      <c r="S87" s="403"/>
      <c r="T87" s="403"/>
      <c r="U87" s="415"/>
      <c r="V87" s="403"/>
      <c r="W87" s="403"/>
      <c r="X87" s="403"/>
      <c r="Y87" s="403"/>
      <c r="Z87" s="415"/>
      <c r="AA87" s="403"/>
      <c r="AB87" s="403"/>
      <c r="AC87" s="403"/>
      <c r="AD87" s="403"/>
      <c r="AE87" s="415"/>
      <c r="AF87" s="403"/>
      <c r="AG87" s="403"/>
      <c r="AH87" s="403"/>
      <c r="AI87" s="403"/>
      <c r="AJ87" s="415"/>
      <c r="AK87" s="450"/>
    </row>
    <row r="88" spans="1:37" ht="14.25" customHeight="1" x14ac:dyDescent="0.45">
      <c r="A88" s="618"/>
      <c r="B88" s="400"/>
      <c r="C88" s="405" t="s">
        <v>830</v>
      </c>
      <c r="D88" s="403"/>
      <c r="E88" s="403"/>
      <c r="F88" s="403"/>
      <c r="G88" s="403"/>
      <c r="H88" s="403"/>
      <c r="I88" s="403"/>
      <c r="J88" s="403"/>
      <c r="K88" s="415"/>
      <c r="L88" s="403"/>
      <c r="M88" s="403"/>
      <c r="N88" s="403"/>
      <c r="O88" s="403"/>
      <c r="P88" s="415"/>
      <c r="Q88" s="403"/>
      <c r="R88" s="403"/>
      <c r="S88" s="403"/>
      <c r="T88" s="403"/>
      <c r="U88" s="415"/>
      <c r="V88" s="403"/>
      <c r="W88" s="403"/>
      <c r="X88" s="403"/>
      <c r="Y88" s="403"/>
      <c r="Z88" s="415"/>
      <c r="AA88" s="403"/>
      <c r="AB88" s="403"/>
      <c r="AC88" s="403"/>
      <c r="AD88" s="403"/>
      <c r="AE88" s="415"/>
      <c r="AF88" s="403"/>
      <c r="AG88" s="403"/>
      <c r="AH88" s="403"/>
      <c r="AI88" s="403"/>
      <c r="AJ88" s="415"/>
      <c r="AK88" s="450"/>
    </row>
    <row r="89" spans="1:37" ht="14.25" customHeight="1" x14ac:dyDescent="0.45">
      <c r="A89" s="618"/>
      <c r="B89" s="400"/>
      <c r="C89" s="405" t="s">
        <v>516</v>
      </c>
      <c r="D89" s="403"/>
      <c r="E89" s="403"/>
      <c r="F89" s="403"/>
      <c r="G89" s="403"/>
      <c r="H89" s="403"/>
      <c r="I89" s="403"/>
      <c r="J89" s="403"/>
      <c r="K89" s="415"/>
      <c r="L89" s="403"/>
      <c r="M89" s="403"/>
      <c r="N89" s="403"/>
      <c r="O89" s="403"/>
      <c r="P89" s="415"/>
      <c r="Q89" s="403"/>
      <c r="R89" s="403"/>
      <c r="S89" s="403"/>
      <c r="T89" s="403"/>
      <c r="U89" s="415"/>
      <c r="V89" s="403"/>
      <c r="W89" s="403"/>
      <c r="X89" s="403"/>
      <c r="Y89" s="403"/>
      <c r="Z89" s="415"/>
      <c r="AA89" s="403"/>
      <c r="AB89" s="403"/>
      <c r="AC89" s="403"/>
      <c r="AD89" s="403"/>
      <c r="AE89" s="415"/>
      <c r="AF89" s="403"/>
      <c r="AG89" s="403"/>
      <c r="AH89" s="403"/>
      <c r="AI89" s="403"/>
      <c r="AJ89" s="415"/>
      <c r="AK89" s="450"/>
    </row>
    <row r="90" spans="1:37" ht="14.25" customHeight="1" x14ac:dyDescent="0.45">
      <c r="A90" s="618"/>
      <c r="B90" s="400"/>
      <c r="C90" s="405" t="s">
        <v>831</v>
      </c>
      <c r="D90" s="403"/>
      <c r="E90" s="403"/>
      <c r="F90" s="403"/>
      <c r="G90" s="403"/>
      <c r="H90" s="403"/>
      <c r="I90" s="403"/>
      <c r="J90" s="403"/>
      <c r="K90" s="415"/>
      <c r="L90" s="403"/>
      <c r="M90" s="403"/>
      <c r="N90" s="403"/>
      <c r="O90" s="403"/>
      <c r="P90" s="415"/>
      <c r="Q90" s="403"/>
      <c r="R90" s="403"/>
      <c r="S90" s="403"/>
      <c r="T90" s="403"/>
      <c r="U90" s="415"/>
      <c r="V90" s="403"/>
      <c r="W90" s="403"/>
      <c r="X90" s="403"/>
      <c r="Y90" s="403"/>
      <c r="Z90" s="415"/>
      <c r="AA90" s="403"/>
      <c r="AB90" s="403"/>
      <c r="AC90" s="403"/>
      <c r="AD90" s="403"/>
      <c r="AE90" s="415"/>
      <c r="AF90" s="403"/>
      <c r="AG90" s="403"/>
      <c r="AH90" s="403"/>
      <c r="AI90" s="403"/>
      <c r="AJ90" s="415"/>
      <c r="AK90" s="450"/>
    </row>
    <row r="91" spans="1:37" ht="14.25" customHeight="1" x14ac:dyDescent="0.45">
      <c r="A91" s="618"/>
      <c r="B91" s="400"/>
      <c r="C91" s="405" t="s">
        <v>832</v>
      </c>
      <c r="D91" s="403"/>
      <c r="E91" s="403"/>
      <c r="F91" s="403"/>
      <c r="G91" s="403"/>
      <c r="H91" s="403"/>
      <c r="I91" s="403"/>
      <c r="J91" s="403"/>
      <c r="K91" s="415"/>
      <c r="L91" s="403"/>
      <c r="M91" s="403"/>
      <c r="N91" s="403"/>
      <c r="O91" s="403"/>
      <c r="P91" s="415"/>
      <c r="Q91" s="403"/>
      <c r="R91" s="403"/>
      <c r="S91" s="403"/>
      <c r="T91" s="403"/>
      <c r="U91" s="415"/>
      <c r="V91" s="403"/>
      <c r="W91" s="403"/>
      <c r="X91" s="403"/>
      <c r="Y91" s="403"/>
      <c r="Z91" s="415"/>
      <c r="AA91" s="403"/>
      <c r="AB91" s="403"/>
      <c r="AC91" s="403"/>
      <c r="AD91" s="403"/>
      <c r="AE91" s="415"/>
      <c r="AF91" s="403"/>
      <c r="AG91" s="403"/>
      <c r="AH91" s="403"/>
      <c r="AI91" s="403"/>
      <c r="AJ91" s="415"/>
      <c r="AK91" s="450"/>
    </row>
    <row r="92" spans="1:37" ht="14.25" customHeight="1" x14ac:dyDescent="0.45">
      <c r="A92" s="618"/>
      <c r="B92" s="400"/>
      <c r="C92" s="405" t="s">
        <v>25</v>
      </c>
      <c r="D92" s="403"/>
      <c r="E92" s="403"/>
      <c r="F92" s="403"/>
      <c r="G92" s="403"/>
      <c r="H92" s="403"/>
      <c r="I92" s="403"/>
      <c r="J92" s="403"/>
      <c r="K92" s="415"/>
      <c r="L92" s="403"/>
      <c r="M92" s="403"/>
      <c r="N92" s="403"/>
      <c r="O92" s="403"/>
      <c r="P92" s="415"/>
      <c r="Q92" s="403"/>
      <c r="R92" s="403"/>
      <c r="S92" s="403"/>
      <c r="T92" s="403"/>
      <c r="U92" s="415"/>
      <c r="V92" s="403"/>
      <c r="W92" s="403"/>
      <c r="X92" s="403"/>
      <c r="Y92" s="403"/>
      <c r="Z92" s="415"/>
      <c r="AA92" s="403"/>
      <c r="AB92" s="403"/>
      <c r="AC92" s="403"/>
      <c r="AD92" s="403"/>
      <c r="AE92" s="415"/>
      <c r="AF92" s="403"/>
      <c r="AG92" s="403"/>
      <c r="AH92" s="403"/>
      <c r="AI92" s="403"/>
      <c r="AJ92" s="415"/>
      <c r="AK92" s="450"/>
    </row>
    <row r="93" spans="1:37" ht="14.25" customHeight="1" x14ac:dyDescent="0.45">
      <c r="A93" s="618"/>
      <c r="B93" s="400"/>
      <c r="C93" s="405"/>
      <c r="D93" s="403"/>
      <c r="E93" s="403"/>
      <c r="F93" s="403"/>
      <c r="G93" s="403"/>
      <c r="H93" s="403"/>
      <c r="I93" s="403"/>
      <c r="J93" s="403"/>
      <c r="K93" s="415"/>
      <c r="L93" s="403"/>
      <c r="M93" s="403"/>
      <c r="N93" s="403"/>
      <c r="O93" s="403"/>
      <c r="P93" s="415"/>
      <c r="Q93" s="403"/>
      <c r="R93" s="403"/>
      <c r="S93" s="403"/>
      <c r="T93" s="403"/>
      <c r="U93" s="415"/>
      <c r="V93" s="403"/>
      <c r="W93" s="403"/>
      <c r="X93" s="403"/>
      <c r="Y93" s="403"/>
      <c r="Z93" s="415"/>
      <c r="AA93" s="403"/>
      <c r="AB93" s="403"/>
      <c r="AC93" s="403"/>
      <c r="AD93" s="403"/>
      <c r="AE93" s="415"/>
      <c r="AF93" s="403"/>
      <c r="AG93" s="403"/>
      <c r="AH93" s="403"/>
      <c r="AI93" s="403"/>
      <c r="AJ93" s="415"/>
      <c r="AK93" s="450"/>
    </row>
    <row r="94" spans="1:37" ht="14.25" customHeight="1" x14ac:dyDescent="0.45">
      <c r="A94" s="618"/>
      <c r="B94" s="451"/>
      <c r="C94" s="452"/>
      <c r="D94" s="488"/>
      <c r="E94" s="488"/>
      <c r="F94" s="488"/>
      <c r="G94" s="488"/>
      <c r="H94" s="453"/>
      <c r="I94" s="453"/>
      <c r="J94" s="453"/>
      <c r="K94" s="488"/>
      <c r="L94" s="453"/>
      <c r="M94" s="453"/>
      <c r="N94" s="453"/>
      <c r="O94" s="453"/>
      <c r="P94" s="488"/>
      <c r="Q94" s="453"/>
      <c r="R94" s="453"/>
      <c r="S94" s="453"/>
      <c r="T94" s="453"/>
      <c r="U94" s="488"/>
      <c r="V94" s="453"/>
      <c r="W94" s="453"/>
      <c r="X94" s="453"/>
      <c r="Y94" s="453"/>
      <c r="Z94" s="488"/>
      <c r="AA94" s="453"/>
      <c r="AB94" s="453"/>
      <c r="AC94" s="453"/>
      <c r="AD94" s="453"/>
      <c r="AE94" s="488"/>
      <c r="AF94" s="453"/>
      <c r="AG94" s="453"/>
      <c r="AH94" s="453"/>
      <c r="AI94" s="453"/>
      <c r="AJ94" s="488"/>
      <c r="AK94" s="454"/>
    </row>
    <row r="95" spans="1:37" ht="14.25" customHeight="1" x14ac:dyDescent="0.45">
      <c r="A95" s="1"/>
      <c r="B95" s="1"/>
      <c r="C95" s="1"/>
      <c r="D95" s="18"/>
      <c r="E95" s="18"/>
      <c r="F95" s="18"/>
      <c r="G95" s="18"/>
      <c r="H95" s="1"/>
      <c r="I95" s="1"/>
      <c r="J95" s="1"/>
      <c r="K95" s="18"/>
      <c r="L95" s="1"/>
      <c r="M95" s="1"/>
      <c r="N95" s="1"/>
      <c r="O95" s="1"/>
      <c r="P95" s="18"/>
      <c r="Q95" s="1"/>
      <c r="R95" s="1"/>
      <c r="S95" s="1"/>
      <c r="T95" s="1"/>
      <c r="U95" s="18"/>
      <c r="V95" s="1"/>
      <c r="W95" s="1"/>
      <c r="X95" s="1"/>
      <c r="Y95" s="1"/>
      <c r="Z95" s="18"/>
      <c r="AA95" s="1"/>
      <c r="AB95" s="1"/>
      <c r="AC95" s="1"/>
      <c r="AD95" s="1"/>
      <c r="AE95" s="18"/>
      <c r="AF95" s="1"/>
      <c r="AG95" s="1"/>
      <c r="AH95" s="1"/>
      <c r="AI95" s="1"/>
      <c r="AJ95" s="18"/>
      <c r="AK95" s="1"/>
    </row>
    <row r="96" spans="1:37" ht="14.25" customHeight="1" x14ac:dyDescent="0.45">
      <c r="A96" s="618"/>
      <c r="B96" s="215"/>
      <c r="C96" s="243" t="s">
        <v>822</v>
      </c>
      <c r="D96" s="218"/>
      <c r="E96" s="218"/>
      <c r="F96" s="218"/>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352"/>
    </row>
    <row r="97" spans="1:37" ht="15" customHeight="1" x14ac:dyDescent="0.45">
      <c r="A97" s="618"/>
      <c r="B97" s="617" t="s">
        <v>356</v>
      </c>
      <c r="C97" s="221" t="s">
        <v>386</v>
      </c>
      <c r="D97" s="218">
        <f>'Copia de Electricidad'!D357*1000*'Demandas Cálculos Driver PIB'!$E$110</f>
        <v>28.882312356</v>
      </c>
      <c r="E97" s="218">
        <f>'Copia de Electricidad'!E357*1000*'Demandas Cálculos Driver PIB'!$E$110</f>
        <v>29.881338513999999</v>
      </c>
      <c r="F97" s="218">
        <f>'Copia de Electricidad'!F357*1000*'Demandas Cálculos Driver PIB'!$E$110</f>
        <v>31.469953879999998</v>
      </c>
      <c r="G97" s="218">
        <f>'Copia de Electricidad'!G357*1000*'Demandas Cálculos Driver PIB'!$E$110</f>
        <v>31.063666444999999</v>
      </c>
      <c r="H97" s="218">
        <f>G97*(1+'Driver PIB'!H$2)</f>
        <v>32.008782820361695</v>
      </c>
      <c r="I97" s="218">
        <f>H97*(1+'Driver PIB'!I$2)</f>
        <v>32.837050320171215</v>
      </c>
      <c r="J97" s="218">
        <f>I97*(1+'Driver PIB'!J$2)</f>
        <v>33.778602636164649</v>
      </c>
      <c r="K97" s="218">
        <f>J97*(1+'Driver PIB'!K$2)</f>
        <v>34.786425049449491</v>
      </c>
      <c r="L97" s="218">
        <f>K97*(1+'Driver PIB'!L$2)</f>
        <v>35.853205418648564</v>
      </c>
      <c r="M97" s="218">
        <f>L97*(1+'Driver PIB'!M$2)</f>
        <v>36.805741927539586</v>
      </c>
      <c r="N97" s="218">
        <f>M97*(1+'Driver PIB'!N$2)</f>
        <v>37.856907972591245</v>
      </c>
      <c r="O97" s="218">
        <f>N97*(1+'Driver PIB'!O$2)</f>
        <v>38.69186694713904</v>
      </c>
      <c r="P97" s="218">
        <f>O97*(1+'Driver PIB'!P$2)</f>
        <v>39.617186347099469</v>
      </c>
      <c r="Q97" s="218">
        <f>P97*(1+'Driver PIB'!Q$2)</f>
        <v>40.875940160526881</v>
      </c>
      <c r="R97" s="218">
        <f>Q97*(1+'Driver PIB'!R$2)</f>
        <v>41.888084026923757</v>
      </c>
      <c r="S97" s="218">
        <f>R97*(1+'Driver PIB'!S$2)</f>
        <v>43.103110883522525</v>
      </c>
      <c r="T97" s="218">
        <f>S97*(1+'Driver PIB'!T$2)</f>
        <v>44.127104587572482</v>
      </c>
      <c r="U97" s="218">
        <f>T97*(1+'Driver PIB'!U$2)</f>
        <v>45.174393076254319</v>
      </c>
      <c r="V97" s="218">
        <f>U97*(1+'Driver PIB'!V$2)</f>
        <v>46.332019333008759</v>
      </c>
      <c r="W97" s="218">
        <f>V97*(1+'Driver PIB'!W$2)</f>
        <v>47.387343772672558</v>
      </c>
      <c r="X97" s="218">
        <f>W97*(1+'Driver PIB'!X$2)</f>
        <v>48.501510725948542</v>
      </c>
      <c r="Y97" s="218">
        <f>X97*(1+'Driver PIB'!Y$2)</f>
        <v>49.7283493259743</v>
      </c>
      <c r="Z97" s="218">
        <f>Y97*(1+'Driver PIB'!Z$2)</f>
        <v>50.862007510862767</v>
      </c>
      <c r="AA97" s="218">
        <f>Z97*(1+'Driver PIB'!AA$2)</f>
        <v>52.027095263228851</v>
      </c>
      <c r="AB97" s="218">
        <f>AA97*(1+'Driver PIB'!AB$2)</f>
        <v>53.190455040853095</v>
      </c>
      <c r="AC97" s="218">
        <f>AB97*(1+'Driver PIB'!AC$2)</f>
        <v>54.125041809959889</v>
      </c>
      <c r="AD97" s="218">
        <f>AC97*(1+'Driver PIB'!AD$2)</f>
        <v>55.315429127575904</v>
      </c>
      <c r="AE97" s="218">
        <f>AD97*(1+'Driver PIB'!AE$2)</f>
        <v>56.347938523227562</v>
      </c>
      <c r="AF97" s="218">
        <f>AE97*(1+'Driver PIB'!AF$2)</f>
        <v>57.640317752446052</v>
      </c>
      <c r="AG97" s="218">
        <f>AF97*(1+'Driver PIB'!AG$2)</f>
        <v>58.706836554564923</v>
      </c>
      <c r="AH97" s="218">
        <f>AG97*(1+'Driver PIB'!AH$2)</f>
        <v>59.763040492573083</v>
      </c>
      <c r="AI97" s="218">
        <f>AH97*(1+'Driver PIB'!AI$2)</f>
        <v>60.85808935143352</v>
      </c>
      <c r="AJ97" s="218">
        <f>AI97*(1+'Driver PIB'!AJ$2)</f>
        <v>61.961366208166069</v>
      </c>
      <c r="AK97" s="352"/>
    </row>
    <row r="98" spans="1:37" ht="14.25" customHeight="1" x14ac:dyDescent="0.45">
      <c r="A98" s="618"/>
      <c r="B98" s="617"/>
      <c r="C98" s="221" t="s">
        <v>388</v>
      </c>
      <c r="D98" s="218">
        <f>'Copia de Electricidad'!D358*1000*'Demandas Cálculos Driver PIB'!$E$110</f>
        <v>27.080159872999999</v>
      </c>
      <c r="E98" s="218">
        <f>'Copia de Electricidad'!E358*1000*'Demandas Cálculos Driver PIB'!$E$110</f>
        <v>28.270676543</v>
      </c>
      <c r="F98" s="218">
        <f>'Copia de Electricidad'!F358*1000*'Demandas Cálculos Driver PIB'!$E$110</f>
        <v>25.946334473</v>
      </c>
      <c r="G98" s="218">
        <f>'Copia de Electricidad'!G358*1000*'Demandas Cálculos Driver PIB'!$E$110</f>
        <v>27.283618541999999</v>
      </c>
      <c r="H98" s="218">
        <f>G98*(1+'Driver PIB'!H$2)</f>
        <v>28.113726433765517</v>
      </c>
      <c r="I98" s="218">
        <f>H98*(1+'Driver PIB'!I$2)</f>
        <v>28.841204452355186</v>
      </c>
      <c r="J98" s="218">
        <f>I98*(1+'Driver PIB'!J$2)</f>
        <v>29.668181984849141</v>
      </c>
      <c r="K98" s="218">
        <f>J98*(1+'Driver PIB'!K$2)</f>
        <v>30.553365397786781</v>
      </c>
      <c r="L98" s="218">
        <f>K98*(1+'Driver PIB'!L$2)</f>
        <v>31.490332343168276</v>
      </c>
      <c r="M98" s="218">
        <f>L98*(1+'Driver PIB'!M$2)</f>
        <v>32.32695743383249</v>
      </c>
      <c r="N98" s="218">
        <f>M98*(1+'Driver PIB'!N$2)</f>
        <v>33.250210117100615</v>
      </c>
      <c r="O98" s="218">
        <f>N98*(1+'Driver PIB'!O$2)</f>
        <v>33.983565344182907</v>
      </c>
      <c r="P98" s="218">
        <f>O98*(1+'Driver PIB'!P$2)</f>
        <v>34.796285297338869</v>
      </c>
      <c r="Q98" s="218">
        <f>P98*(1+'Driver PIB'!Q$2)</f>
        <v>35.901864992660677</v>
      </c>
      <c r="R98" s="218">
        <f>Q98*(1+'Driver PIB'!R$2)</f>
        <v>36.790843993555221</v>
      </c>
      <c r="S98" s="218">
        <f>R98*(1+'Driver PIB'!S$2)</f>
        <v>37.858017739205003</v>
      </c>
      <c r="T98" s="218">
        <f>S98*(1+'Driver PIB'!T$2)</f>
        <v>38.757404605213722</v>
      </c>
      <c r="U98" s="218">
        <f>T98*(1+'Driver PIB'!U$2)</f>
        <v>39.677251580753925</v>
      </c>
      <c r="V98" s="218">
        <f>U98*(1+'Driver PIB'!V$2)</f>
        <v>40.69400963986498</v>
      </c>
      <c r="W98" s="218">
        <f>V98*(1+'Driver PIB'!W$2)</f>
        <v>41.620914694708283</v>
      </c>
      <c r="X98" s="218">
        <f>W98*(1+'Driver PIB'!X$2)</f>
        <v>42.599501887533911</v>
      </c>
      <c r="Y98" s="218">
        <f>X98*(1+'Driver PIB'!Y$2)</f>
        <v>43.677050039648186</v>
      </c>
      <c r="Z98" s="218">
        <f>Y98*(1+'Driver PIB'!Z$2)</f>
        <v>44.672756632373705</v>
      </c>
      <c r="AA98" s="218">
        <f>Z98*(1+'Driver PIB'!AA$2)</f>
        <v>45.696068219233368</v>
      </c>
      <c r="AB98" s="218">
        <f>AA98*(1+'Driver PIB'!AB$2)</f>
        <v>46.717862103609654</v>
      </c>
      <c r="AC98" s="218">
        <f>AB98*(1+'Driver PIB'!AC$2)</f>
        <v>47.53872170651124</v>
      </c>
      <c r="AD98" s="218">
        <f>AC98*(1+'Driver PIB'!AD$2)</f>
        <v>48.58425422755392</v>
      </c>
      <c r="AE98" s="218">
        <f>AD98*(1+'Driver PIB'!AE$2)</f>
        <v>49.491120535234259</v>
      </c>
      <c r="AF98" s="218">
        <f>AE98*(1+'Driver PIB'!AF$2)</f>
        <v>50.626233866560831</v>
      </c>
      <c r="AG98" s="218">
        <f>AF98*(1+'Driver PIB'!AG$2)</f>
        <v>51.562971074205095</v>
      </c>
      <c r="AH98" s="218">
        <f>AG98*(1+'Driver PIB'!AH$2)</f>
        <v>52.490648603777949</v>
      </c>
      <c r="AI98" s="218">
        <f>AH98*(1+'Driver PIB'!AI$2)</f>
        <v>53.452444127912209</v>
      </c>
      <c r="AJ98" s="218">
        <f>AI98*(1+'Driver PIB'!AJ$2)</f>
        <v>54.421466408608012</v>
      </c>
      <c r="AK98" s="352"/>
    </row>
    <row r="99" spans="1:37" ht="14.25" customHeight="1" x14ac:dyDescent="0.45">
      <c r="A99" s="618"/>
      <c r="B99" s="617"/>
      <c r="C99" s="221" t="s">
        <v>390</v>
      </c>
      <c r="D99" s="218">
        <f>'Copia de Electricidad'!D359*1000*'Demandas Cálculos Driver PIB'!$E$110</f>
        <v>39.022490849999997</v>
      </c>
      <c r="E99" s="218">
        <f>'Copia de Electricidad'!E359*1000*'Demandas Cálculos Driver PIB'!$E$110</f>
        <v>40.550635528000001</v>
      </c>
      <c r="F99" s="218">
        <f>'Copia de Electricidad'!F359*1000*'Demandas Cálculos Driver PIB'!$E$110</f>
        <v>39.586254034999996</v>
      </c>
      <c r="G99" s="218">
        <f>'Copia de Electricidad'!G359*1000*'Demandas Cálculos Driver PIB'!$E$110</f>
        <v>44.418239948</v>
      </c>
      <c r="H99" s="218">
        <f>G99*(1+'Driver PIB'!H$2)</f>
        <v>45.769671081022523</v>
      </c>
      <c r="I99" s="218">
        <f>H99*(1+'Driver PIB'!I$2)</f>
        <v>46.954018866008184</v>
      </c>
      <c r="J99" s="218">
        <f>I99*(1+'Driver PIB'!J$2)</f>
        <v>48.300353715741387</v>
      </c>
      <c r="K99" s="218">
        <f>J99*(1+'Driver PIB'!K$2)</f>
        <v>49.741448824637139</v>
      </c>
      <c r="L99" s="218">
        <f>K99*(1+'Driver PIB'!L$2)</f>
        <v>51.266848490346185</v>
      </c>
      <c r="M99" s="218">
        <f>L99*(1+'Driver PIB'!M$2)</f>
        <v>52.628889744750715</v>
      </c>
      <c r="N99" s="218">
        <f>M99*(1+'Driver PIB'!N$2)</f>
        <v>54.131962335906806</v>
      </c>
      <c r="O99" s="218">
        <f>N99*(1+'Driver PIB'!O$2)</f>
        <v>55.325878325954704</v>
      </c>
      <c r="P99" s="218">
        <f>O99*(1+'Driver PIB'!P$2)</f>
        <v>56.649001570557964</v>
      </c>
      <c r="Q99" s="218">
        <f>P99*(1+'Driver PIB'!Q$2)</f>
        <v>58.448905938552436</v>
      </c>
      <c r="R99" s="218">
        <f>Q99*(1+'Driver PIB'!R$2)</f>
        <v>59.896180335446729</v>
      </c>
      <c r="S99" s="218">
        <f>R99*(1+'Driver PIB'!S$2)</f>
        <v>61.633559100932253</v>
      </c>
      <c r="T99" s="218">
        <f>S99*(1+'Driver PIB'!T$2)</f>
        <v>63.097777696385698</v>
      </c>
      <c r="U99" s="218">
        <f>T99*(1+'Driver PIB'!U$2)</f>
        <v>64.595305731829029</v>
      </c>
      <c r="V99" s="218">
        <f>U99*(1+'Driver PIB'!V$2)</f>
        <v>66.250606819151258</v>
      </c>
      <c r="W99" s="218">
        <f>V99*(1+'Driver PIB'!W$2)</f>
        <v>67.759625539364833</v>
      </c>
      <c r="X99" s="218">
        <f>W99*(1+'Driver PIB'!X$2)</f>
        <v>69.352783744316852</v>
      </c>
      <c r="Y99" s="218">
        <f>X99*(1+'Driver PIB'!Y$2)</f>
        <v>71.107052237055697</v>
      </c>
      <c r="Z99" s="218">
        <f>Y99*(1+'Driver PIB'!Z$2)</f>
        <v>72.728081144398189</v>
      </c>
      <c r="AA99" s="218">
        <f>Z99*(1+'Driver PIB'!AA$2)</f>
        <v>74.394051497147785</v>
      </c>
      <c r="AB99" s="218">
        <f>AA99*(1+'Driver PIB'!AB$2)</f>
        <v>76.0575510019425</v>
      </c>
      <c r="AC99" s="218">
        <f>AB99*(1+'Driver PIB'!AC$2)</f>
        <v>77.393925748172549</v>
      </c>
      <c r="AD99" s="218">
        <f>AC99*(1+'Driver PIB'!AD$2)</f>
        <v>79.096072196291999</v>
      </c>
      <c r="AE99" s="218">
        <f>AD99*(1+'Driver PIB'!AE$2)</f>
        <v>80.57246746231192</v>
      </c>
      <c r="AF99" s="218">
        <f>AE99*(1+'Driver PIB'!AF$2)</f>
        <v>82.420453140656662</v>
      </c>
      <c r="AG99" s="218">
        <f>AF99*(1+'Driver PIB'!AG$2)</f>
        <v>83.945478789043847</v>
      </c>
      <c r="AH99" s="218">
        <f>AG99*(1+'Driver PIB'!AH$2)</f>
        <v>85.455755112527243</v>
      </c>
      <c r="AI99" s="218">
        <f>AH99*(1+'Driver PIB'!AI$2)</f>
        <v>87.021576167609922</v>
      </c>
      <c r="AJ99" s="218">
        <f>AI99*(1+'Driver PIB'!AJ$2)</f>
        <v>88.599162517186159</v>
      </c>
      <c r="AK99" s="352"/>
    </row>
    <row r="100" spans="1:37" ht="14.25" customHeight="1" x14ac:dyDescent="0.45">
      <c r="A100" s="618"/>
      <c r="B100" s="617"/>
      <c r="C100" s="221" t="s">
        <v>392</v>
      </c>
      <c r="D100" s="218">
        <f>'Copia de Electricidad'!D360*1000*'Demandas Cálculos Driver PIB'!$E$110</f>
        <v>2.183873701</v>
      </c>
      <c r="E100" s="218">
        <f>'Copia de Electricidad'!E360*1000*'Demandas Cálculos Driver PIB'!$E$110</f>
        <v>2.0093905699999999</v>
      </c>
      <c r="F100" s="218">
        <f>'Copia de Electricidad'!F360*1000*'Demandas Cálculos Driver PIB'!$E$110</f>
        <v>2.1574177749999999</v>
      </c>
      <c r="G100" s="218">
        <f>'Copia de Electricidad'!G360*1000*'Demandas Cálculos Driver PIB'!$E$110</f>
        <v>2.4496927669999997</v>
      </c>
      <c r="H100" s="218">
        <f>G100*(1+'Driver PIB'!H$2)</f>
        <v>2.5242250104103543</v>
      </c>
      <c r="I100" s="218">
        <f>H100*(1+'Driver PIB'!I$2)</f>
        <v>2.5895425062383826</v>
      </c>
      <c r="J100" s="218">
        <f>I100*(1+'Driver PIB'!J$2)</f>
        <v>2.6637936865465739</v>
      </c>
      <c r="K100" s="218">
        <f>J100*(1+'Driver PIB'!K$2)</f>
        <v>2.7432709523939787</v>
      </c>
      <c r="L100" s="218">
        <f>K100*(1+'Driver PIB'!L$2)</f>
        <v>2.827397665479555</v>
      </c>
      <c r="M100" s="218">
        <f>L100*(1+'Driver PIB'!M$2)</f>
        <v>2.9025150634938952</v>
      </c>
      <c r="N100" s="218">
        <f>M100*(1+'Driver PIB'!N$2)</f>
        <v>2.9854104249296833</v>
      </c>
      <c r="O100" s="218">
        <f>N100*(1+'Driver PIB'!O$2)</f>
        <v>3.0512556130472208</v>
      </c>
      <c r="P100" s="218">
        <f>O100*(1+'Driver PIB'!P$2)</f>
        <v>3.1242266593099424</v>
      </c>
      <c r="Q100" s="218">
        <f>P100*(1+'Driver PIB'!Q$2)</f>
        <v>3.2234924725598502</v>
      </c>
      <c r="R100" s="218">
        <f>Q100*(1+'Driver PIB'!R$2)</f>
        <v>3.3033105298733947</v>
      </c>
      <c r="S100" s="218">
        <f>R100*(1+'Driver PIB'!S$2)</f>
        <v>3.3991280183720787</v>
      </c>
      <c r="T100" s="218">
        <f>S100*(1+'Driver PIB'!T$2)</f>
        <v>3.4798805584724595</v>
      </c>
      <c r="U100" s="218">
        <f>T100*(1+'Driver PIB'!U$2)</f>
        <v>3.562470134311122</v>
      </c>
      <c r="V100" s="218">
        <f>U100*(1+'Driver PIB'!V$2)</f>
        <v>3.6537609892744802</v>
      </c>
      <c r="W100" s="218">
        <f>V100*(1+'Driver PIB'!W$2)</f>
        <v>3.7369842833199534</v>
      </c>
      <c r="X100" s="218">
        <f>W100*(1+'Driver PIB'!X$2)</f>
        <v>3.8248479207789474</v>
      </c>
      <c r="Y100" s="218">
        <f>X100*(1+'Driver PIB'!Y$2)</f>
        <v>3.9215968879390442</v>
      </c>
      <c r="Z100" s="218">
        <f>Y100*(1+'Driver PIB'!Z$2)</f>
        <v>4.0109976114720718</v>
      </c>
      <c r="AA100" s="218">
        <f>Z100*(1+'Driver PIB'!AA$2)</f>
        <v>4.1028768828692472</v>
      </c>
      <c r="AB100" s="218">
        <f>AA100*(1+'Driver PIB'!AB$2)</f>
        <v>4.1946198855090264</v>
      </c>
      <c r="AC100" s="218">
        <f>AB100*(1+'Driver PIB'!AC$2)</f>
        <v>4.268321760091939</v>
      </c>
      <c r="AD100" s="218">
        <f>AC100*(1+'Driver PIB'!AD$2)</f>
        <v>4.3621961650033994</v>
      </c>
      <c r="AE100" s="218">
        <f>AD100*(1+'Driver PIB'!AE$2)</f>
        <v>4.4436202558416698</v>
      </c>
      <c r="AF100" s="218">
        <f>AE100*(1+'Driver PIB'!AF$2)</f>
        <v>4.5455377824041907</v>
      </c>
      <c r="AG100" s="218">
        <f>AF100*(1+'Driver PIB'!AG$2)</f>
        <v>4.6296438682085155</v>
      </c>
      <c r="AH100" s="218">
        <f>AG100*(1+'Driver PIB'!AH$2)</f>
        <v>4.7129365198340603</v>
      </c>
      <c r="AI100" s="218">
        <f>AH100*(1+'Driver PIB'!AI$2)</f>
        <v>4.7992924969628898</v>
      </c>
      <c r="AJ100" s="218">
        <f>AI100*(1+'Driver PIB'!AJ$2)</f>
        <v>4.8862973371906682</v>
      </c>
      <c r="AK100" s="352"/>
    </row>
    <row r="101" spans="1:37" ht="14.25" customHeight="1" x14ac:dyDescent="0.45">
      <c r="A101" s="618"/>
      <c r="B101" s="617"/>
      <c r="C101" s="221" t="s">
        <v>394</v>
      </c>
      <c r="D101" s="218">
        <f>'Copia de Electricidad'!D361*1000*'Demandas Cálculos Driver PIB'!$E$110</f>
        <v>0</v>
      </c>
      <c r="E101" s="218">
        <f>'Copia de Electricidad'!E361*1000*'Demandas Cálculos Driver PIB'!$E$110</f>
        <v>0</v>
      </c>
      <c r="F101" s="218">
        <f>'Copia de Electricidad'!F361*1000*'Demandas Cálculos Driver PIB'!$E$110</f>
        <v>0</v>
      </c>
      <c r="G101" s="218">
        <f>'Copia de Electricidad'!G361*1000*'Demandas Cálculos Driver PIB'!$E$110</f>
        <v>0</v>
      </c>
      <c r="H101" s="218">
        <f>G101*(1+'Driver PIB'!H$2)</f>
        <v>0</v>
      </c>
      <c r="I101" s="218">
        <f>H101*(1+'Driver PIB'!I$2)</f>
        <v>0</v>
      </c>
      <c r="J101" s="218">
        <f>I101*(1+'Driver PIB'!J$2)</f>
        <v>0</v>
      </c>
      <c r="K101" s="218">
        <f>J101*(1+'Driver PIB'!K$2)</f>
        <v>0</v>
      </c>
      <c r="L101" s="218">
        <f>K101*(1+'Driver PIB'!L$2)</f>
        <v>0</v>
      </c>
      <c r="M101" s="218">
        <f>L101*(1+'Driver PIB'!M$2)</f>
        <v>0</v>
      </c>
      <c r="N101" s="218">
        <f>M101*(1+'Driver PIB'!N$2)</f>
        <v>0</v>
      </c>
      <c r="O101" s="218">
        <f>N101*(1+'Driver PIB'!O$2)</f>
        <v>0</v>
      </c>
      <c r="P101" s="218">
        <f>O101*(1+'Driver PIB'!P$2)</f>
        <v>0</v>
      </c>
      <c r="Q101" s="218">
        <f>P101*(1+'Driver PIB'!Q$2)</f>
        <v>0</v>
      </c>
      <c r="R101" s="218">
        <f>Q101*(1+'Driver PIB'!R$2)</f>
        <v>0</v>
      </c>
      <c r="S101" s="218">
        <f>R101*(1+'Driver PIB'!S$2)</f>
        <v>0</v>
      </c>
      <c r="T101" s="218">
        <f>S101*(1+'Driver PIB'!T$2)</f>
        <v>0</v>
      </c>
      <c r="U101" s="218">
        <f>T101*(1+'Driver PIB'!U$2)</f>
        <v>0</v>
      </c>
      <c r="V101" s="218">
        <f>U101*(1+'Driver PIB'!V$2)</f>
        <v>0</v>
      </c>
      <c r="W101" s="218">
        <f>V101*(1+'Driver PIB'!W$2)</f>
        <v>0</v>
      </c>
      <c r="X101" s="218">
        <f>W101*(1+'Driver PIB'!X$2)</f>
        <v>0</v>
      </c>
      <c r="Y101" s="218">
        <f>X101*(1+'Driver PIB'!Y$2)</f>
        <v>0</v>
      </c>
      <c r="Z101" s="218">
        <f>Y101*(1+'Driver PIB'!Z$2)</f>
        <v>0</v>
      </c>
      <c r="AA101" s="218">
        <f>Z101*(1+'Driver PIB'!AA$2)</f>
        <v>0</v>
      </c>
      <c r="AB101" s="218">
        <f>AA101*(1+'Driver PIB'!AB$2)</f>
        <v>0</v>
      </c>
      <c r="AC101" s="218">
        <f>AB101*(1+'Driver PIB'!AC$2)</f>
        <v>0</v>
      </c>
      <c r="AD101" s="218">
        <f>AC101*(1+'Driver PIB'!AD$2)</f>
        <v>0</v>
      </c>
      <c r="AE101" s="218">
        <f>AD101*(1+'Driver PIB'!AE$2)</f>
        <v>0</v>
      </c>
      <c r="AF101" s="218">
        <f>AE101*(1+'Driver PIB'!AF$2)</f>
        <v>0</v>
      </c>
      <c r="AG101" s="218">
        <f>AF101*(1+'Driver PIB'!AG$2)</f>
        <v>0</v>
      </c>
      <c r="AH101" s="218">
        <f>AG101*(1+'Driver PIB'!AH$2)</f>
        <v>0</v>
      </c>
      <c r="AI101" s="218">
        <f>AH101*(1+'Driver PIB'!AI$2)</f>
        <v>0</v>
      </c>
      <c r="AJ101" s="218">
        <f>AI101*(1+'Driver PIB'!AJ$2)</f>
        <v>0</v>
      </c>
      <c r="AK101" s="352"/>
    </row>
    <row r="102" spans="1:37" ht="14.25" customHeight="1" x14ac:dyDescent="0.45">
      <c r="A102" s="618"/>
      <c r="B102" s="617"/>
      <c r="C102" s="221" t="s">
        <v>395</v>
      </c>
      <c r="D102" s="218">
        <f>'Copia de Electricidad'!D362*1000*'Demandas Cálculos Driver PIB'!$E$110</f>
        <v>0</v>
      </c>
      <c r="E102" s="218">
        <f>'Copia de Electricidad'!E362*1000*'Demandas Cálculos Driver PIB'!$E$110</f>
        <v>0</v>
      </c>
      <c r="F102" s="218">
        <f>'Copia de Electricidad'!F362*1000*'Demandas Cálculos Driver PIB'!$E$110</f>
        <v>0</v>
      </c>
      <c r="G102" s="218">
        <f>'Copia de Electricidad'!G362*1000*'Demandas Cálculos Driver PIB'!$E$110</f>
        <v>0</v>
      </c>
      <c r="H102" s="218">
        <f>G102*(1+'Driver PIB'!H$2)</f>
        <v>0</v>
      </c>
      <c r="I102" s="218">
        <f>H102*(1+'Driver PIB'!I$2)</f>
        <v>0</v>
      </c>
      <c r="J102" s="218">
        <f>I102*(1+'Driver PIB'!J$2)</f>
        <v>0</v>
      </c>
      <c r="K102" s="218">
        <f>J102*(1+'Driver PIB'!K$2)</f>
        <v>0</v>
      </c>
      <c r="L102" s="218">
        <f>K102*(1+'Driver PIB'!L$2)</f>
        <v>0</v>
      </c>
      <c r="M102" s="218">
        <f>L102*(1+'Driver PIB'!M$2)</f>
        <v>0</v>
      </c>
      <c r="N102" s="218">
        <f>M102*(1+'Driver PIB'!N$2)</f>
        <v>0</v>
      </c>
      <c r="O102" s="218">
        <f>N102*(1+'Driver PIB'!O$2)</f>
        <v>0</v>
      </c>
      <c r="P102" s="218">
        <f>O102*(1+'Driver PIB'!P$2)</f>
        <v>0</v>
      </c>
      <c r="Q102" s="218">
        <f>P102*(1+'Driver PIB'!Q$2)</f>
        <v>0</v>
      </c>
      <c r="R102" s="218">
        <f>Q102*(1+'Driver PIB'!R$2)</f>
        <v>0</v>
      </c>
      <c r="S102" s="218">
        <f>R102*(1+'Driver PIB'!S$2)</f>
        <v>0</v>
      </c>
      <c r="T102" s="218">
        <f>S102*(1+'Driver PIB'!T$2)</f>
        <v>0</v>
      </c>
      <c r="U102" s="218">
        <f>T102*(1+'Driver PIB'!U$2)</f>
        <v>0</v>
      </c>
      <c r="V102" s="218">
        <f>U102*(1+'Driver PIB'!V$2)</f>
        <v>0</v>
      </c>
      <c r="W102" s="218">
        <f>V102*(1+'Driver PIB'!W$2)</f>
        <v>0</v>
      </c>
      <c r="X102" s="218">
        <f>W102*(1+'Driver PIB'!X$2)</f>
        <v>0</v>
      </c>
      <c r="Y102" s="218">
        <f>X102*(1+'Driver PIB'!Y$2)</f>
        <v>0</v>
      </c>
      <c r="Z102" s="218">
        <f>Y102*(1+'Driver PIB'!Z$2)</f>
        <v>0</v>
      </c>
      <c r="AA102" s="218">
        <f>Z102*(1+'Driver PIB'!AA$2)</f>
        <v>0</v>
      </c>
      <c r="AB102" s="218">
        <f>AA102*(1+'Driver PIB'!AB$2)</f>
        <v>0</v>
      </c>
      <c r="AC102" s="218">
        <f>AB102*(1+'Driver PIB'!AC$2)</f>
        <v>0</v>
      </c>
      <c r="AD102" s="218">
        <f>AC102*(1+'Driver PIB'!AD$2)</f>
        <v>0</v>
      </c>
      <c r="AE102" s="218">
        <f>AD102*(1+'Driver PIB'!AE$2)</f>
        <v>0</v>
      </c>
      <c r="AF102" s="218">
        <f>AE102*(1+'Driver PIB'!AF$2)</f>
        <v>0</v>
      </c>
      <c r="AG102" s="218">
        <f>AF102*(1+'Driver PIB'!AG$2)</f>
        <v>0</v>
      </c>
      <c r="AH102" s="218">
        <f>AG102*(1+'Driver PIB'!AH$2)</f>
        <v>0</v>
      </c>
      <c r="AI102" s="218">
        <f>AH102*(1+'Driver PIB'!AI$2)</f>
        <v>0</v>
      </c>
      <c r="AJ102" s="218">
        <f>AI102*(1+'Driver PIB'!AJ$2)</f>
        <v>0</v>
      </c>
      <c r="AK102" s="352"/>
    </row>
    <row r="103" spans="1:37" ht="14.25" customHeight="1" x14ac:dyDescent="0.45">
      <c r="A103" s="618"/>
      <c r="B103" s="617"/>
      <c r="C103" s="221" t="s">
        <v>396</v>
      </c>
      <c r="D103" s="218">
        <f>'Copia de Electricidad'!D363*1000*'Demandas Cálculos Driver PIB'!$E$110</f>
        <v>0</v>
      </c>
      <c r="E103" s="218">
        <f>'Copia de Electricidad'!E363*1000*'Demandas Cálculos Driver PIB'!$E$110</f>
        <v>0</v>
      </c>
      <c r="F103" s="218">
        <f>'Copia de Electricidad'!F363*1000*'Demandas Cálculos Driver PIB'!$E$110</f>
        <v>0</v>
      </c>
      <c r="G103" s="218">
        <f>'Copia de Electricidad'!G363*1000*'Demandas Cálculos Driver PIB'!$E$110</f>
        <v>0</v>
      </c>
      <c r="H103" s="218">
        <f>G103*(1+'Driver PIB'!H$2)</f>
        <v>0</v>
      </c>
      <c r="I103" s="218">
        <f>H103*(1+'Driver PIB'!I$2)</f>
        <v>0</v>
      </c>
      <c r="J103" s="218">
        <f>I103*(1+'Driver PIB'!J$2)</f>
        <v>0</v>
      </c>
      <c r="K103" s="218">
        <f>J103*(1+'Driver PIB'!K$2)</f>
        <v>0</v>
      </c>
      <c r="L103" s="218">
        <f>K103*(1+'Driver PIB'!L$2)</f>
        <v>0</v>
      </c>
      <c r="M103" s="218">
        <f>L103*(1+'Driver PIB'!M$2)</f>
        <v>0</v>
      </c>
      <c r="N103" s="218">
        <f>M103*(1+'Driver PIB'!N$2)</f>
        <v>0</v>
      </c>
      <c r="O103" s="218">
        <f>N103*(1+'Driver PIB'!O$2)</f>
        <v>0</v>
      </c>
      <c r="P103" s="218">
        <f>O103*(1+'Driver PIB'!P$2)</f>
        <v>0</v>
      </c>
      <c r="Q103" s="218">
        <f>P103*(1+'Driver PIB'!Q$2)</f>
        <v>0</v>
      </c>
      <c r="R103" s="218">
        <f>Q103*(1+'Driver PIB'!R$2)</f>
        <v>0</v>
      </c>
      <c r="S103" s="218">
        <f>R103*(1+'Driver PIB'!S$2)</f>
        <v>0</v>
      </c>
      <c r="T103" s="218">
        <f>S103*(1+'Driver PIB'!T$2)</f>
        <v>0</v>
      </c>
      <c r="U103" s="218">
        <f>T103*(1+'Driver PIB'!U$2)</f>
        <v>0</v>
      </c>
      <c r="V103" s="218">
        <f>U103*(1+'Driver PIB'!V$2)</f>
        <v>0</v>
      </c>
      <c r="W103" s="218">
        <f>V103*(1+'Driver PIB'!W$2)</f>
        <v>0</v>
      </c>
      <c r="X103" s="218">
        <f>W103*(1+'Driver PIB'!X$2)</f>
        <v>0</v>
      </c>
      <c r="Y103" s="218">
        <f>X103*(1+'Driver PIB'!Y$2)</f>
        <v>0</v>
      </c>
      <c r="Z103" s="218">
        <f>Y103*(1+'Driver PIB'!Z$2)</f>
        <v>0</v>
      </c>
      <c r="AA103" s="218">
        <f>Z103*(1+'Driver PIB'!AA$2)</f>
        <v>0</v>
      </c>
      <c r="AB103" s="218">
        <f>AA103*(1+'Driver PIB'!AB$2)</f>
        <v>0</v>
      </c>
      <c r="AC103" s="218">
        <f>AB103*(1+'Driver PIB'!AC$2)</f>
        <v>0</v>
      </c>
      <c r="AD103" s="218">
        <f>AC103*(1+'Driver PIB'!AD$2)</f>
        <v>0</v>
      </c>
      <c r="AE103" s="218">
        <f>AD103*(1+'Driver PIB'!AE$2)</f>
        <v>0</v>
      </c>
      <c r="AF103" s="218">
        <f>AE103*(1+'Driver PIB'!AF$2)</f>
        <v>0</v>
      </c>
      <c r="AG103" s="218">
        <f>AF103*(1+'Driver PIB'!AG$2)</f>
        <v>0</v>
      </c>
      <c r="AH103" s="218">
        <f>AG103*(1+'Driver PIB'!AH$2)</f>
        <v>0</v>
      </c>
      <c r="AI103" s="218">
        <f>AH103*(1+'Driver PIB'!AI$2)</f>
        <v>0</v>
      </c>
      <c r="AJ103" s="218">
        <f>AI103*(1+'Driver PIB'!AJ$2)</f>
        <v>0</v>
      </c>
      <c r="AK103" s="352"/>
    </row>
    <row r="104" spans="1:37" ht="14.25" customHeight="1" x14ac:dyDescent="0.45">
      <c r="A104" s="618"/>
      <c r="B104" s="617"/>
      <c r="C104" s="221" t="s">
        <v>397</v>
      </c>
      <c r="D104" s="218">
        <f>'Copia de Electricidad'!D364*1000*'Demandas Cálculos Driver PIB'!$E$110</f>
        <v>4.2203500999999997E-2</v>
      </c>
      <c r="E104" s="218">
        <f>'Copia de Electricidad'!E364*1000*'Demandas Cálculos Driver PIB'!$E$110</f>
        <v>4.2833403999999999E-2</v>
      </c>
      <c r="F104" s="218">
        <f>'Copia de Electricidad'!F364*1000*'Demandas Cálculos Driver PIB'!$E$110</f>
        <v>4.2203500999999997E-2</v>
      </c>
      <c r="G104" s="218">
        <f>'Copia de Electricidad'!G364*1000*'Demandas Cálculos Driver PIB'!$E$110</f>
        <v>4.2833403999999999E-2</v>
      </c>
      <c r="H104" s="218">
        <f>G104*(1+'Driver PIB'!H$2)</f>
        <v>4.4136616278710239E-2</v>
      </c>
      <c r="I104" s="218">
        <f>H104*(1+'Driver PIB'!I$2)</f>
        <v>4.5278706717462085E-2</v>
      </c>
      <c r="J104" s="218">
        <f>I104*(1+'Driver PIB'!J$2)</f>
        <v>4.6577004547484459E-2</v>
      </c>
      <c r="K104" s="218">
        <f>J104*(1+'Driver PIB'!K$2)</f>
        <v>4.7966681605243144E-2</v>
      </c>
      <c r="L104" s="218">
        <f>K104*(1+'Driver PIB'!L$2)</f>
        <v>4.9437655246235473E-2</v>
      </c>
      <c r="M104" s="218">
        <f>L104*(1+'Driver PIB'!M$2)</f>
        <v>5.0751099078833864E-2</v>
      </c>
      <c r="N104" s="218">
        <f>M104*(1+'Driver PIB'!N$2)</f>
        <v>5.2200542271848414E-2</v>
      </c>
      <c r="O104" s="218">
        <f>N104*(1+'Driver PIB'!O$2)</f>
        <v>5.3351859523582165E-2</v>
      </c>
      <c r="P104" s="218">
        <f>O104*(1+'Driver PIB'!P$2)</f>
        <v>5.4627773934964291E-2</v>
      </c>
      <c r="Q104" s="218">
        <f>P104*(1+'Driver PIB'!Q$2)</f>
        <v>5.6363457992818174E-2</v>
      </c>
      <c r="R104" s="218">
        <f>Q104*(1+'Driver PIB'!R$2)</f>
        <v>5.7759093862533022E-2</v>
      </c>
      <c r="S104" s="218">
        <f>R104*(1+'Driver PIB'!S$2)</f>
        <v>5.9434483221728319E-2</v>
      </c>
      <c r="T104" s="218">
        <f>S104*(1+'Driver PIB'!T$2)</f>
        <v>6.0846458723612065E-2</v>
      </c>
      <c r="U104" s="218">
        <f>T104*(1+'Driver PIB'!U$2)</f>
        <v>6.2290555189806217E-2</v>
      </c>
      <c r="V104" s="218">
        <f>U104*(1+'Driver PIB'!V$2)</f>
        <v>6.388679538973123E-2</v>
      </c>
      <c r="W104" s="218">
        <f>V104*(1+'Driver PIB'!W$2)</f>
        <v>6.5341972554835925E-2</v>
      </c>
      <c r="X104" s="218">
        <f>W104*(1+'Driver PIB'!X$2)</f>
        <v>6.6878287120845592E-2</v>
      </c>
      <c r="Y104" s="218">
        <f>X104*(1+'Driver PIB'!Y$2)</f>
        <v>6.8569963584431751E-2</v>
      </c>
      <c r="Z104" s="218">
        <f>Y104*(1+'Driver PIB'!Z$2)</f>
        <v>7.0133154430470801E-2</v>
      </c>
      <c r="AA104" s="218">
        <f>Z104*(1+'Driver PIB'!AA$2)</f>
        <v>7.1739683218078901E-2</v>
      </c>
      <c r="AB104" s="218">
        <f>AA104*(1+'Driver PIB'!AB$2)</f>
        <v>7.3343829317205914E-2</v>
      </c>
      <c r="AC104" s="218">
        <f>AB104*(1+'Driver PIB'!AC$2)</f>
        <v>7.4632522418681374E-2</v>
      </c>
      <c r="AD104" s="218">
        <f>AC104*(1+'Driver PIB'!AD$2)</f>
        <v>7.6273936544158177E-2</v>
      </c>
      <c r="AE104" s="218">
        <f>AD104*(1+'Driver PIB'!AE$2)</f>
        <v>7.7697654254881329E-2</v>
      </c>
      <c r="AF104" s="218">
        <f>AE104*(1+'Driver PIB'!AF$2)</f>
        <v>7.9479704089350706E-2</v>
      </c>
      <c r="AG104" s="218">
        <f>AF104*(1+'Driver PIB'!AG$2)</f>
        <v>8.0950317057901511E-2</v>
      </c>
      <c r="AH104" s="218">
        <f>AG104*(1+'Driver PIB'!AH$2)</f>
        <v>8.2406706955185399E-2</v>
      </c>
      <c r="AI104" s="218">
        <f>AH104*(1+'Driver PIB'!AI$2)</f>
        <v>8.3916659756615178E-2</v>
      </c>
      <c r="AJ104" s="218">
        <f>AI104*(1+'Driver PIB'!AJ$2)</f>
        <v>8.5437958068646264E-2</v>
      </c>
      <c r="AK104" s="352"/>
    </row>
    <row r="105" spans="1:37" ht="14.25" customHeight="1" x14ac:dyDescent="0.45">
      <c r="A105" s="618"/>
      <c r="B105" s="617"/>
      <c r="C105" s="221" t="s">
        <v>398</v>
      </c>
      <c r="D105" s="218">
        <f>'Copia de Electricidad'!D365*1000*'Demandas Cálculos Driver PIB'!$E$110</f>
        <v>0</v>
      </c>
      <c r="E105" s="218">
        <f>'Copia de Electricidad'!E365*1000*'Demandas Cálculos Driver PIB'!$E$110</f>
        <v>0</v>
      </c>
      <c r="F105" s="218">
        <f>'Copia de Electricidad'!F365*1000*'Demandas Cálculos Driver PIB'!$E$110</f>
        <v>0</v>
      </c>
      <c r="G105" s="218">
        <f>'Copia de Electricidad'!G365*1000*'Demandas Cálculos Driver PIB'!$E$110</f>
        <v>0</v>
      </c>
      <c r="H105" s="218">
        <f>G105*(1+'Driver PIB'!H$2)</f>
        <v>0</v>
      </c>
      <c r="I105" s="218">
        <f>H105*(1+'Driver PIB'!I$2)</f>
        <v>0</v>
      </c>
      <c r="J105" s="218">
        <f>I105*(1+'Driver PIB'!J$2)</f>
        <v>0</v>
      </c>
      <c r="K105" s="218">
        <f>J105*(1+'Driver PIB'!K$2)</f>
        <v>0</v>
      </c>
      <c r="L105" s="218">
        <f>K105*(1+'Driver PIB'!L$2)</f>
        <v>0</v>
      </c>
      <c r="M105" s="218">
        <f>L105*(1+'Driver PIB'!M$2)</f>
        <v>0</v>
      </c>
      <c r="N105" s="218">
        <f>M105*(1+'Driver PIB'!N$2)</f>
        <v>0</v>
      </c>
      <c r="O105" s="218">
        <f>N105*(1+'Driver PIB'!O$2)</f>
        <v>0</v>
      </c>
      <c r="P105" s="218">
        <f>O105*(1+'Driver PIB'!P$2)</f>
        <v>0</v>
      </c>
      <c r="Q105" s="218">
        <f>P105*(1+'Driver PIB'!Q$2)</f>
        <v>0</v>
      </c>
      <c r="R105" s="218">
        <f>Q105*(1+'Driver PIB'!R$2)</f>
        <v>0</v>
      </c>
      <c r="S105" s="218">
        <f>R105*(1+'Driver PIB'!S$2)</f>
        <v>0</v>
      </c>
      <c r="T105" s="218">
        <f>S105*(1+'Driver PIB'!T$2)</f>
        <v>0</v>
      </c>
      <c r="U105" s="218">
        <f>T105*(1+'Driver PIB'!U$2)</f>
        <v>0</v>
      </c>
      <c r="V105" s="218">
        <f>U105*(1+'Driver PIB'!V$2)</f>
        <v>0</v>
      </c>
      <c r="W105" s="218">
        <f>V105*(1+'Driver PIB'!W$2)</f>
        <v>0</v>
      </c>
      <c r="X105" s="218">
        <f>W105*(1+'Driver PIB'!X$2)</f>
        <v>0</v>
      </c>
      <c r="Y105" s="218">
        <f>X105*(1+'Driver PIB'!Y$2)</f>
        <v>0</v>
      </c>
      <c r="Z105" s="218">
        <f>Y105*(1+'Driver PIB'!Z$2)</f>
        <v>0</v>
      </c>
      <c r="AA105" s="218">
        <f>Z105*(1+'Driver PIB'!AA$2)</f>
        <v>0</v>
      </c>
      <c r="AB105" s="218">
        <f>AA105*(1+'Driver PIB'!AB$2)</f>
        <v>0</v>
      </c>
      <c r="AC105" s="218">
        <f>AB105*(1+'Driver PIB'!AC$2)</f>
        <v>0</v>
      </c>
      <c r="AD105" s="218">
        <f>AC105*(1+'Driver PIB'!AD$2)</f>
        <v>0</v>
      </c>
      <c r="AE105" s="218">
        <f>AD105*(1+'Driver PIB'!AE$2)</f>
        <v>0</v>
      </c>
      <c r="AF105" s="218">
        <f>AE105*(1+'Driver PIB'!AF$2)</f>
        <v>0</v>
      </c>
      <c r="AG105" s="218">
        <f>AF105*(1+'Driver PIB'!AG$2)</f>
        <v>0</v>
      </c>
      <c r="AH105" s="218">
        <f>AG105*(1+'Driver PIB'!AH$2)</f>
        <v>0</v>
      </c>
      <c r="AI105" s="218">
        <f>AH105*(1+'Driver PIB'!AI$2)</f>
        <v>0</v>
      </c>
      <c r="AJ105" s="218">
        <f>AI105*(1+'Driver PIB'!AJ$2)</f>
        <v>0</v>
      </c>
      <c r="AK105" s="352"/>
    </row>
    <row r="106" spans="1:37" ht="14.25" customHeight="1" x14ac:dyDescent="0.45">
      <c r="A106" s="618"/>
      <c r="B106" s="617"/>
      <c r="C106" s="221" t="s">
        <v>399</v>
      </c>
      <c r="D106" s="218">
        <f>'Copia de Electricidad'!D366*1000*'Demandas Cálculos Driver PIB'!$E$110</f>
        <v>0</v>
      </c>
      <c r="E106" s="218">
        <f>'Copia de Electricidad'!E366*1000*'Demandas Cálculos Driver PIB'!$E$110</f>
        <v>0</v>
      </c>
      <c r="F106" s="218">
        <f>'Copia de Electricidad'!F366*1000*'Demandas Cálculos Driver PIB'!$E$110</f>
        <v>0</v>
      </c>
      <c r="G106" s="218">
        <f>'Copia de Electricidad'!G366*1000*'Demandas Cálculos Driver PIB'!$E$110</f>
        <v>0</v>
      </c>
      <c r="H106" s="218">
        <f>G106*(1+'Driver PIB'!H$2)</f>
        <v>0</v>
      </c>
      <c r="I106" s="218">
        <f>H106*(1+'Driver PIB'!I$2)</f>
        <v>0</v>
      </c>
      <c r="J106" s="218">
        <f>I106*(1+'Driver PIB'!J$2)</f>
        <v>0</v>
      </c>
      <c r="K106" s="218">
        <f>J106*(1+'Driver PIB'!K$2)</f>
        <v>0</v>
      </c>
      <c r="L106" s="218">
        <f>K106*(1+'Driver PIB'!L$2)</f>
        <v>0</v>
      </c>
      <c r="M106" s="218">
        <f>L106*(1+'Driver PIB'!M$2)</f>
        <v>0</v>
      </c>
      <c r="N106" s="218">
        <f>M106*(1+'Driver PIB'!N$2)</f>
        <v>0</v>
      </c>
      <c r="O106" s="218">
        <f>N106*(1+'Driver PIB'!O$2)</f>
        <v>0</v>
      </c>
      <c r="P106" s="218">
        <f>O106*(1+'Driver PIB'!P$2)</f>
        <v>0</v>
      </c>
      <c r="Q106" s="218">
        <f>P106*(1+'Driver PIB'!Q$2)</f>
        <v>0</v>
      </c>
      <c r="R106" s="218">
        <f>Q106*(1+'Driver PIB'!R$2)</f>
        <v>0</v>
      </c>
      <c r="S106" s="218">
        <f>R106*(1+'Driver PIB'!S$2)</f>
        <v>0</v>
      </c>
      <c r="T106" s="218">
        <f>S106*(1+'Driver PIB'!T$2)</f>
        <v>0</v>
      </c>
      <c r="U106" s="218">
        <f>T106*(1+'Driver PIB'!U$2)</f>
        <v>0</v>
      </c>
      <c r="V106" s="218">
        <f>U106*(1+'Driver PIB'!V$2)</f>
        <v>0</v>
      </c>
      <c r="W106" s="218">
        <f>V106*(1+'Driver PIB'!W$2)</f>
        <v>0</v>
      </c>
      <c r="X106" s="218">
        <f>W106*(1+'Driver PIB'!X$2)</f>
        <v>0</v>
      </c>
      <c r="Y106" s="218">
        <f>X106*(1+'Driver PIB'!Y$2)</f>
        <v>0</v>
      </c>
      <c r="Z106" s="218">
        <f>Y106*(1+'Driver PIB'!Z$2)</f>
        <v>0</v>
      </c>
      <c r="AA106" s="218">
        <f>Z106*(1+'Driver PIB'!AA$2)</f>
        <v>0</v>
      </c>
      <c r="AB106" s="218">
        <f>AA106*(1+'Driver PIB'!AB$2)</f>
        <v>0</v>
      </c>
      <c r="AC106" s="218">
        <f>AB106*(1+'Driver PIB'!AC$2)</f>
        <v>0</v>
      </c>
      <c r="AD106" s="218">
        <f>AC106*(1+'Driver PIB'!AD$2)</f>
        <v>0</v>
      </c>
      <c r="AE106" s="218">
        <f>AD106*(1+'Driver PIB'!AE$2)</f>
        <v>0</v>
      </c>
      <c r="AF106" s="218">
        <f>AE106*(1+'Driver PIB'!AF$2)</f>
        <v>0</v>
      </c>
      <c r="AG106" s="218">
        <f>AF106*(1+'Driver PIB'!AG$2)</f>
        <v>0</v>
      </c>
      <c r="AH106" s="218">
        <f>AG106*(1+'Driver PIB'!AH$2)</f>
        <v>0</v>
      </c>
      <c r="AI106" s="218">
        <f>AH106*(1+'Driver PIB'!AI$2)</f>
        <v>0</v>
      </c>
      <c r="AJ106" s="218">
        <f>AI106*(1+'Driver PIB'!AJ$2)</f>
        <v>0</v>
      </c>
      <c r="AK106" s="352"/>
    </row>
    <row r="107" spans="1:37" ht="14.25" customHeight="1" x14ac:dyDescent="0.45">
      <c r="A107" s="4"/>
      <c r="B107" s="489"/>
      <c r="C107" s="243" t="s">
        <v>25</v>
      </c>
      <c r="D107" s="302">
        <f>'Copia de Electricidad'!D367*1000*'Demandas Cálculos Driver PIB'!$E$110</f>
        <v>97.211040280999995</v>
      </c>
      <c r="E107" s="302">
        <f>'Copia de Electricidad'!E367*1000*'Demandas Cálculos Driver PIB'!$E$110</f>
        <v>100.754874559</v>
      </c>
      <c r="F107" s="302">
        <f>'Copia de Electricidad'!F367*1000*'Demandas Cálculos Driver PIB'!$E$110</f>
        <v>99.202163664000011</v>
      </c>
      <c r="G107" s="302">
        <f>'Copia de Electricidad'!G367*1000*'Demandas Cálculos Driver PIB'!$E$110</f>
        <v>105.258051106</v>
      </c>
      <c r="H107" s="302">
        <f t="shared" ref="H107:AJ107" si="7">SUM(H97:H101)</f>
        <v>108.41640534556008</v>
      </c>
      <c r="I107" s="302">
        <f t="shared" si="7"/>
        <v>111.22181614477297</v>
      </c>
      <c r="J107" s="302">
        <f t="shared" si="7"/>
        <v>114.41093202330174</v>
      </c>
      <c r="K107" s="302">
        <f t="shared" si="7"/>
        <v>117.8245102242674</v>
      </c>
      <c r="L107" s="302">
        <f t="shared" si="7"/>
        <v>121.43778391764256</v>
      </c>
      <c r="M107" s="302">
        <f t="shared" si="7"/>
        <v>124.66410416961668</v>
      </c>
      <c r="N107" s="302">
        <f t="shared" si="7"/>
        <v>128.22449085052835</v>
      </c>
      <c r="O107" s="302">
        <f t="shared" si="7"/>
        <v>131.05256623032389</v>
      </c>
      <c r="P107" s="302">
        <f t="shared" si="7"/>
        <v>134.18669987430627</v>
      </c>
      <c r="Q107" s="302">
        <f t="shared" si="7"/>
        <v>138.45020356429984</v>
      </c>
      <c r="R107" s="302">
        <f t="shared" si="7"/>
        <v>141.87841888579908</v>
      </c>
      <c r="S107" s="302">
        <f t="shared" si="7"/>
        <v>145.99381574203184</v>
      </c>
      <c r="T107" s="302">
        <f t="shared" si="7"/>
        <v>149.46216744764436</v>
      </c>
      <c r="U107" s="302">
        <f t="shared" si="7"/>
        <v>153.00942052314841</v>
      </c>
      <c r="V107" s="302">
        <f t="shared" si="7"/>
        <v>156.93039678129946</v>
      </c>
      <c r="W107" s="302">
        <f t="shared" si="7"/>
        <v>160.50486829006562</v>
      </c>
      <c r="X107" s="302">
        <f t="shared" si="7"/>
        <v>164.27864427857827</v>
      </c>
      <c r="Y107" s="302">
        <f t="shared" si="7"/>
        <v>168.43404849061724</v>
      </c>
      <c r="Z107" s="302">
        <f t="shared" si="7"/>
        <v>172.27384289910674</v>
      </c>
      <c r="AA107" s="302">
        <f t="shared" si="7"/>
        <v>176.22009186247925</v>
      </c>
      <c r="AB107" s="302">
        <f t="shared" si="7"/>
        <v>180.16048803191427</v>
      </c>
      <c r="AC107" s="302">
        <f t="shared" si="7"/>
        <v>183.32601102473561</v>
      </c>
      <c r="AD107" s="302">
        <f t="shared" si="7"/>
        <v>187.35795171642525</v>
      </c>
      <c r="AE107" s="302">
        <f t="shared" si="7"/>
        <v>190.85514677661541</v>
      </c>
      <c r="AF107" s="302">
        <f t="shared" si="7"/>
        <v>195.23254254206773</v>
      </c>
      <c r="AG107" s="302">
        <f t="shared" si="7"/>
        <v>198.84493028602239</v>
      </c>
      <c r="AH107" s="302">
        <f t="shared" si="7"/>
        <v>202.42238072871234</v>
      </c>
      <c r="AI107" s="302">
        <f t="shared" si="7"/>
        <v>206.13140214391854</v>
      </c>
      <c r="AJ107" s="302">
        <f t="shared" si="7"/>
        <v>209.86829247115091</v>
      </c>
      <c r="AK107" s="490"/>
    </row>
    <row r="108" spans="1:37" ht="14.25" customHeight="1" x14ac:dyDescent="0.45">
      <c r="A108" s="1"/>
      <c r="B108" s="1"/>
      <c r="C108" s="1"/>
      <c r="D108" s="18"/>
      <c r="E108" s="18"/>
      <c r="F108" s="18"/>
      <c r="G108" s="18"/>
      <c r="H108" s="1"/>
      <c r="I108" s="1"/>
      <c r="J108" s="1"/>
      <c r="K108" s="18"/>
      <c r="L108" s="1"/>
      <c r="M108" s="1"/>
      <c r="N108" s="1"/>
      <c r="O108" s="1"/>
      <c r="P108" s="18"/>
      <c r="Q108" s="1"/>
      <c r="R108" s="1"/>
      <c r="S108" s="1"/>
      <c r="T108" s="1"/>
      <c r="U108" s="18"/>
      <c r="V108" s="1"/>
      <c r="W108" s="1"/>
      <c r="X108" s="1"/>
      <c r="Y108" s="1"/>
      <c r="Z108" s="18"/>
      <c r="AA108" s="1"/>
      <c r="AB108" s="1"/>
      <c r="AC108" s="1"/>
      <c r="AD108" s="1"/>
      <c r="AE108" s="18"/>
      <c r="AF108" s="1"/>
      <c r="AG108" s="1"/>
      <c r="AH108" s="1"/>
      <c r="AI108" s="1"/>
      <c r="AJ108" s="18"/>
      <c r="AK108" s="1"/>
    </row>
    <row r="109" spans="1:37" ht="14.25" customHeight="1" x14ac:dyDescent="0.45">
      <c r="A109" s="1"/>
      <c r="B109" s="618"/>
      <c r="C109" s="14" t="s">
        <v>138</v>
      </c>
      <c r="D109" s="18"/>
      <c r="E109" s="18"/>
      <c r="F109" s="18"/>
      <c r="G109" s="18"/>
      <c r="H109" s="1"/>
      <c r="I109" s="1"/>
      <c r="J109" s="1"/>
      <c r="K109" s="18"/>
      <c r="L109" s="1"/>
      <c r="M109" s="1"/>
      <c r="N109" s="1"/>
      <c r="O109" s="1"/>
      <c r="P109" s="18"/>
      <c r="Q109" s="1"/>
      <c r="R109" s="1"/>
      <c r="S109" s="1"/>
      <c r="T109" s="1"/>
      <c r="U109" s="18"/>
      <c r="V109" s="1"/>
      <c r="W109" s="1"/>
      <c r="X109" s="1"/>
      <c r="Y109" s="1"/>
      <c r="Z109" s="18"/>
      <c r="AA109" s="1"/>
      <c r="AB109" s="1"/>
      <c r="AC109" s="1"/>
      <c r="AD109" s="1"/>
      <c r="AE109" s="18"/>
      <c r="AF109" s="1"/>
      <c r="AG109" s="1"/>
      <c r="AH109" s="1"/>
      <c r="AI109" s="1"/>
      <c r="AJ109" s="18"/>
      <c r="AK109" s="1"/>
    </row>
    <row r="110" spans="1:37" ht="14.25" customHeight="1" x14ac:dyDescent="0.45">
      <c r="A110" s="1"/>
      <c r="B110" s="618">
        <v>1</v>
      </c>
      <c r="C110" s="421" t="s">
        <v>833</v>
      </c>
      <c r="D110" s="1">
        <v>1</v>
      </c>
      <c r="E110" s="1">
        <v>6.2990299999999997E-6</v>
      </c>
      <c r="F110" s="18"/>
      <c r="G110" s="18"/>
      <c r="H110" s="1"/>
      <c r="I110" s="1"/>
      <c r="J110" s="1"/>
      <c r="K110" s="18"/>
      <c r="L110" s="1"/>
      <c r="M110" s="1"/>
      <c r="N110" s="1"/>
      <c r="O110" s="1"/>
      <c r="P110" s="18"/>
      <c r="Q110" s="1"/>
      <c r="R110" s="1"/>
      <c r="S110" s="1"/>
      <c r="T110" s="1"/>
      <c r="U110" s="18"/>
      <c r="V110" s="1"/>
      <c r="W110" s="1"/>
      <c r="X110" s="1"/>
      <c r="Y110" s="1"/>
      <c r="Z110" s="18"/>
      <c r="AA110" s="1"/>
      <c r="AB110" s="1"/>
      <c r="AC110" s="1"/>
      <c r="AD110" s="1"/>
      <c r="AE110" s="18"/>
      <c r="AF110" s="1"/>
      <c r="AG110" s="1"/>
      <c r="AH110" s="1"/>
      <c r="AI110" s="1"/>
      <c r="AJ110" s="18"/>
      <c r="AK110" s="1"/>
    </row>
    <row r="111" spans="1:37" ht="14.25" customHeight="1" x14ac:dyDescent="0.45">
      <c r="A111" s="1"/>
      <c r="B111" s="1"/>
      <c r="C111" s="618"/>
      <c r="D111" s="5"/>
      <c r="E111" s="18"/>
      <c r="F111" s="18"/>
      <c r="G111" s="18"/>
      <c r="H111" s="1"/>
      <c r="I111" s="1"/>
      <c r="J111" s="1"/>
      <c r="K111" s="18"/>
      <c r="L111" s="1"/>
      <c r="M111" s="1"/>
      <c r="N111" s="1"/>
      <c r="O111" s="1"/>
      <c r="P111" s="18"/>
      <c r="Q111" s="1"/>
      <c r="R111" s="1"/>
      <c r="S111" s="1"/>
      <c r="T111" s="1"/>
      <c r="U111" s="18"/>
      <c r="V111" s="1"/>
      <c r="W111" s="1"/>
      <c r="X111" s="1"/>
      <c r="Y111" s="1"/>
      <c r="Z111" s="18"/>
      <c r="AA111" s="1"/>
      <c r="AB111" s="1"/>
      <c r="AC111" s="1"/>
      <c r="AD111" s="1"/>
      <c r="AE111" s="18"/>
      <c r="AF111" s="1"/>
      <c r="AG111" s="1"/>
      <c r="AH111" s="1"/>
      <c r="AI111" s="1"/>
      <c r="AJ111" s="18"/>
      <c r="AK111" s="1"/>
    </row>
    <row r="112" spans="1:37" ht="14.25" customHeight="1" x14ac:dyDescent="0.45">
      <c r="A112" s="1"/>
      <c r="B112" s="100">
        <v>2</v>
      </c>
      <c r="C112" s="5" t="s">
        <v>834</v>
      </c>
      <c r="D112" s="18"/>
      <c r="E112" s="18"/>
      <c r="F112" s="18"/>
      <c r="G112" s="18"/>
      <c r="H112" s="1"/>
      <c r="I112" s="1"/>
      <c r="J112" s="1"/>
      <c r="K112" s="18"/>
      <c r="L112" s="1"/>
      <c r="M112" s="1"/>
      <c r="N112" s="1"/>
      <c r="O112" s="1"/>
      <c r="P112" s="18"/>
      <c r="Q112" s="1"/>
      <c r="R112" s="1"/>
      <c r="S112" s="1"/>
      <c r="T112" s="1"/>
      <c r="U112" s="18"/>
      <c r="V112" s="1"/>
      <c r="W112" s="1"/>
      <c r="X112" s="1"/>
      <c r="Y112" s="1"/>
      <c r="Z112" s="18"/>
      <c r="AA112" s="1"/>
      <c r="AB112" s="1"/>
      <c r="AC112" s="1"/>
      <c r="AD112" s="1"/>
      <c r="AE112" s="18"/>
      <c r="AF112" s="1"/>
      <c r="AG112" s="1"/>
      <c r="AH112" s="1"/>
      <c r="AI112" s="1"/>
      <c r="AJ112" s="18"/>
      <c r="AK112" s="1"/>
    </row>
    <row r="113" spans="1:37" ht="14.25" customHeight="1" x14ac:dyDescent="0.45">
      <c r="A113" s="1"/>
      <c r="B113" s="1"/>
      <c r="C113" s="1"/>
      <c r="D113" s="18"/>
      <c r="E113" s="18"/>
      <c r="F113" s="18"/>
      <c r="G113" s="18"/>
      <c r="H113" s="1"/>
      <c r="I113" s="1"/>
      <c r="J113" s="1"/>
      <c r="K113" s="18"/>
      <c r="L113" s="1"/>
      <c r="M113" s="1"/>
      <c r="N113" s="1"/>
      <c r="O113" s="1"/>
      <c r="P113" s="18"/>
      <c r="Q113" s="1"/>
      <c r="R113" s="1"/>
      <c r="S113" s="1"/>
      <c r="T113" s="1"/>
      <c r="U113" s="18"/>
      <c r="V113" s="1"/>
      <c r="W113" s="1"/>
      <c r="X113" s="1"/>
      <c r="Y113" s="1"/>
      <c r="Z113" s="18"/>
      <c r="AA113" s="1"/>
      <c r="AB113" s="1"/>
      <c r="AC113" s="1"/>
      <c r="AD113" s="1"/>
      <c r="AE113" s="18"/>
      <c r="AF113" s="1"/>
      <c r="AG113" s="1"/>
      <c r="AH113" s="1"/>
      <c r="AI113" s="1"/>
      <c r="AJ113" s="18"/>
      <c r="AK113" s="1"/>
    </row>
    <row r="114" spans="1:37" ht="14.25" customHeight="1" x14ac:dyDescent="0.45">
      <c r="A114" s="618"/>
      <c r="B114" s="106"/>
      <c r="C114" s="323"/>
      <c r="D114" s="108"/>
      <c r="E114" s="108"/>
      <c r="F114" s="108"/>
      <c r="G114" s="108"/>
      <c r="H114" s="183"/>
      <c r="I114" s="183"/>
      <c r="J114" s="183"/>
      <c r="K114" s="183"/>
      <c r="L114" s="183"/>
      <c r="M114" s="183"/>
      <c r="N114" s="183"/>
      <c r="O114" s="183"/>
      <c r="P114" s="18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4"/>
    </row>
    <row r="115" spans="1:37" ht="14.25" customHeight="1" x14ac:dyDescent="0.45">
      <c r="A115" s="4"/>
      <c r="B115" s="160"/>
      <c r="C115" s="111" t="s">
        <v>78</v>
      </c>
      <c r="D115" s="443"/>
      <c r="E115" s="443"/>
      <c r="F115" s="443"/>
      <c r="G115" s="443"/>
      <c r="H115" s="174"/>
      <c r="I115" s="174"/>
      <c r="J115" s="174"/>
      <c r="K115" s="174"/>
      <c r="L115" s="174"/>
      <c r="M115" s="174"/>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431"/>
    </row>
    <row r="116" spans="1:37" ht="14.25" customHeight="1" x14ac:dyDescent="0.45">
      <c r="A116" s="618">
        <v>1</v>
      </c>
      <c r="B116" s="106"/>
      <c r="C116" s="115" t="s">
        <v>41</v>
      </c>
      <c r="D116" s="132">
        <f>'Copia de Combustibles'!D130*1000*'Demandas Cálculos Driver PIB'!$E$110</f>
        <v>817.86266992881019</v>
      </c>
      <c r="E116" s="132">
        <f>'Copia de Combustibles'!E130*1000*'Demandas Cálculos Driver PIB'!$E$110</f>
        <v>864.56370108131648</v>
      </c>
      <c r="F116" s="132">
        <f>'Copia de Combustibles'!F130*1000*'Demandas Cálculos Driver PIB'!$E$110</f>
        <v>797.65886338347275</v>
      </c>
      <c r="G116" s="132">
        <f>'Copia de Combustibles'!G130*1000*'Demandas Cálculos Driver PIB'!$E$110</f>
        <v>740.90919989601377</v>
      </c>
      <c r="H116" s="218">
        <v>740.90919989601377</v>
      </c>
      <c r="I116" s="218">
        <v>740.90919989601377</v>
      </c>
      <c r="J116" s="218">
        <v>740.90919989601377</v>
      </c>
      <c r="K116" s="218">
        <v>740.90919989601377</v>
      </c>
      <c r="L116" s="218">
        <v>740.90919989601377</v>
      </c>
      <c r="M116" s="218">
        <v>740.90919989601377</v>
      </c>
      <c r="N116" s="218">
        <v>740.90919989601377</v>
      </c>
      <c r="O116" s="218">
        <v>740.90919989601377</v>
      </c>
      <c r="P116" s="218">
        <v>740.90919989601377</v>
      </c>
      <c r="Q116" s="218">
        <v>740.90919989601377</v>
      </c>
      <c r="R116" s="218">
        <v>740.90919989601377</v>
      </c>
      <c r="S116" s="218">
        <v>740.90919989601377</v>
      </c>
      <c r="T116" s="218">
        <v>740.90919989601377</v>
      </c>
      <c r="U116" s="218">
        <v>740.90919989601377</v>
      </c>
      <c r="V116" s="218">
        <v>740.90919989601377</v>
      </c>
      <c r="W116" s="218">
        <v>740.90919989601377</v>
      </c>
      <c r="X116" s="218">
        <v>740.90919989601377</v>
      </c>
      <c r="Y116" s="218">
        <v>740.90919989601377</v>
      </c>
      <c r="Z116" s="218">
        <v>740.90919989601377</v>
      </c>
      <c r="AA116" s="218">
        <v>740.90919989601377</v>
      </c>
      <c r="AB116" s="218">
        <v>740.90919989601377</v>
      </c>
      <c r="AC116" s="218">
        <v>740.90919989601377</v>
      </c>
      <c r="AD116" s="218">
        <v>740.90919989601377</v>
      </c>
      <c r="AE116" s="218">
        <v>740.90919989601377</v>
      </c>
      <c r="AF116" s="218">
        <v>740.90919989601377</v>
      </c>
      <c r="AG116" s="218">
        <v>740.90919989601377</v>
      </c>
      <c r="AH116" s="218">
        <v>740.90919989601377</v>
      </c>
      <c r="AI116" s="218">
        <v>740.90919989601377</v>
      </c>
      <c r="AJ116" s="218">
        <v>740.90919989601377</v>
      </c>
      <c r="AK116" s="184"/>
    </row>
    <row r="117" spans="1:37" ht="14.25" customHeight="1" x14ac:dyDescent="0.45">
      <c r="A117" s="618">
        <v>1</v>
      </c>
      <c r="B117" s="106"/>
      <c r="C117" s="115" t="s">
        <v>49</v>
      </c>
      <c r="D117" s="132">
        <f>'Copia de Combustibles'!D131*1000*'Demandas Cálculos Driver PIB'!$E$110</f>
        <v>0</v>
      </c>
      <c r="E117" s="132">
        <f>'Copia de Combustibles'!E131*1000*'Demandas Cálculos Driver PIB'!$E$110</f>
        <v>0.13507113453073524</v>
      </c>
      <c r="F117" s="132">
        <f>'Copia de Combustibles'!F131*1000*'Demandas Cálculos Driver PIB'!$E$110</f>
        <v>0</v>
      </c>
      <c r="G117" s="132">
        <f>'Copia de Combustibles'!G131*1000*'Demandas Cálculos Driver PIB'!$E$110</f>
        <v>4.2699847976134393</v>
      </c>
      <c r="H117" s="218">
        <v>4.2699847976134393</v>
      </c>
      <c r="I117" s="218">
        <v>4.2699847976134393</v>
      </c>
      <c r="J117" s="218">
        <v>4.2699847976134393</v>
      </c>
      <c r="K117" s="218">
        <v>4.2699847976134393</v>
      </c>
      <c r="L117" s="218">
        <v>4.2699847976134393</v>
      </c>
      <c r="M117" s="218">
        <v>4.2699847976134393</v>
      </c>
      <c r="N117" s="218">
        <v>4.2699847976134393</v>
      </c>
      <c r="O117" s="218">
        <v>4.2699847976134393</v>
      </c>
      <c r="P117" s="218">
        <v>4.2699847976134393</v>
      </c>
      <c r="Q117" s="218">
        <v>4.2699847976134393</v>
      </c>
      <c r="R117" s="218">
        <v>4.2699847976134393</v>
      </c>
      <c r="S117" s="218">
        <v>4.2699847976134393</v>
      </c>
      <c r="T117" s="218">
        <v>4.2699847976134393</v>
      </c>
      <c r="U117" s="218">
        <v>4.2699847976134393</v>
      </c>
      <c r="V117" s="218">
        <v>4.2699847976134393</v>
      </c>
      <c r="W117" s="218">
        <v>4.2699847976134393</v>
      </c>
      <c r="X117" s="218">
        <v>4.2699847976134393</v>
      </c>
      <c r="Y117" s="218">
        <v>4.2699847976134393</v>
      </c>
      <c r="Z117" s="218">
        <v>4.2699847976134393</v>
      </c>
      <c r="AA117" s="218">
        <v>4.2699847976134393</v>
      </c>
      <c r="AB117" s="218">
        <v>4.2699847976134393</v>
      </c>
      <c r="AC117" s="218">
        <v>4.2699847976134393</v>
      </c>
      <c r="AD117" s="218">
        <v>4.2699847976134393</v>
      </c>
      <c r="AE117" s="218">
        <v>4.2699847976134393</v>
      </c>
      <c r="AF117" s="218">
        <v>4.2699847976134393</v>
      </c>
      <c r="AG117" s="218">
        <v>4.2699847976134393</v>
      </c>
      <c r="AH117" s="218">
        <v>4.2699847976134393</v>
      </c>
      <c r="AI117" s="218">
        <v>4.2699847976134393</v>
      </c>
      <c r="AJ117" s="218">
        <v>4.2699847976134393</v>
      </c>
      <c r="AK117" s="184"/>
    </row>
    <row r="118" spans="1:37" ht="14.25" customHeight="1" x14ac:dyDescent="0.45">
      <c r="A118" s="618">
        <v>1</v>
      </c>
      <c r="B118" s="106"/>
      <c r="C118" s="115" t="s">
        <v>50</v>
      </c>
      <c r="D118" s="132">
        <f>'Copia de Combustibles'!D132*1000*'Demandas Cálculos Driver PIB'!$E$110</f>
        <v>0</v>
      </c>
      <c r="E118" s="132">
        <f>'Copia de Combustibles'!E132*1000*'Demandas Cálculos Driver PIB'!$E$110</f>
        <v>0.18801816703322061</v>
      </c>
      <c r="F118" s="132">
        <f>'Copia de Combustibles'!F132*1000*'Demandas Cálculos Driver PIB'!$E$110</f>
        <v>0</v>
      </c>
      <c r="G118" s="132">
        <f>'Copia de Combustibles'!G132*1000*'Demandas Cálculos Driver PIB'!$E$110</f>
        <v>0</v>
      </c>
      <c r="H118" s="218">
        <v>0</v>
      </c>
      <c r="I118" s="218">
        <v>0</v>
      </c>
      <c r="J118" s="218">
        <v>0</v>
      </c>
      <c r="K118" s="218">
        <v>0</v>
      </c>
      <c r="L118" s="218">
        <v>0</v>
      </c>
      <c r="M118" s="218">
        <v>0</v>
      </c>
      <c r="N118" s="218">
        <v>0</v>
      </c>
      <c r="O118" s="218">
        <v>0</v>
      </c>
      <c r="P118" s="218">
        <v>0</v>
      </c>
      <c r="Q118" s="218">
        <v>0</v>
      </c>
      <c r="R118" s="218">
        <v>0</v>
      </c>
      <c r="S118" s="218">
        <v>0</v>
      </c>
      <c r="T118" s="218">
        <v>0</v>
      </c>
      <c r="U118" s="218">
        <v>0</v>
      </c>
      <c r="V118" s="218">
        <v>0</v>
      </c>
      <c r="W118" s="218">
        <v>0</v>
      </c>
      <c r="X118" s="218">
        <v>0</v>
      </c>
      <c r="Y118" s="218">
        <v>0</v>
      </c>
      <c r="Z118" s="218">
        <v>0</v>
      </c>
      <c r="AA118" s="218">
        <v>0</v>
      </c>
      <c r="AB118" s="218">
        <v>0</v>
      </c>
      <c r="AC118" s="218">
        <v>0</v>
      </c>
      <c r="AD118" s="218">
        <v>0</v>
      </c>
      <c r="AE118" s="218">
        <v>0</v>
      </c>
      <c r="AF118" s="218">
        <v>0</v>
      </c>
      <c r="AG118" s="218">
        <v>0</v>
      </c>
      <c r="AH118" s="218">
        <v>0</v>
      </c>
      <c r="AI118" s="218">
        <v>0</v>
      </c>
      <c r="AJ118" s="218">
        <v>0</v>
      </c>
      <c r="AK118" s="184"/>
    </row>
    <row r="119" spans="1:37" ht="14.25" customHeight="1" x14ac:dyDescent="0.45">
      <c r="A119" s="618">
        <v>1</v>
      </c>
      <c r="B119" s="106"/>
      <c r="C119" s="115" t="s">
        <v>51</v>
      </c>
      <c r="D119" s="132">
        <f>'Copia de Combustibles'!D133*1000*'Demandas Cálculos Driver PIB'!$E$110</f>
        <v>0</v>
      </c>
      <c r="E119" s="132">
        <f>'Copia de Combustibles'!E133*1000*'Demandas Cálculos Driver PIB'!$E$110</f>
        <v>0</v>
      </c>
      <c r="F119" s="132">
        <f>'Copia de Combustibles'!F133*1000*'Demandas Cálculos Driver PIB'!$E$110</f>
        <v>0</v>
      </c>
      <c r="G119" s="132">
        <f>'Copia de Combustibles'!G133*1000*'Demandas Cálculos Driver PIB'!$E$110</f>
        <v>0</v>
      </c>
      <c r="H119" s="218">
        <v>0</v>
      </c>
      <c r="I119" s="218">
        <v>0</v>
      </c>
      <c r="J119" s="218">
        <v>0</v>
      </c>
      <c r="K119" s="218">
        <v>0</v>
      </c>
      <c r="L119" s="218">
        <v>0</v>
      </c>
      <c r="M119" s="218">
        <v>0</v>
      </c>
      <c r="N119" s="218">
        <v>0</v>
      </c>
      <c r="O119" s="218">
        <v>0</v>
      </c>
      <c r="P119" s="218">
        <v>0</v>
      </c>
      <c r="Q119" s="218">
        <v>0</v>
      </c>
      <c r="R119" s="218">
        <v>0</v>
      </c>
      <c r="S119" s="218">
        <v>0</v>
      </c>
      <c r="T119" s="218">
        <v>0</v>
      </c>
      <c r="U119" s="218">
        <v>0</v>
      </c>
      <c r="V119" s="218">
        <v>0</v>
      </c>
      <c r="W119" s="218">
        <v>0</v>
      </c>
      <c r="X119" s="218">
        <v>0</v>
      </c>
      <c r="Y119" s="218">
        <v>0</v>
      </c>
      <c r="Z119" s="218">
        <v>0</v>
      </c>
      <c r="AA119" s="218">
        <v>0</v>
      </c>
      <c r="AB119" s="218">
        <v>0</v>
      </c>
      <c r="AC119" s="218">
        <v>0</v>
      </c>
      <c r="AD119" s="218">
        <v>0</v>
      </c>
      <c r="AE119" s="218">
        <v>0</v>
      </c>
      <c r="AF119" s="218">
        <v>0</v>
      </c>
      <c r="AG119" s="218">
        <v>0</v>
      </c>
      <c r="AH119" s="218">
        <v>0</v>
      </c>
      <c r="AI119" s="218">
        <v>0</v>
      </c>
      <c r="AJ119" s="218">
        <v>0</v>
      </c>
      <c r="AK119" s="184"/>
    </row>
    <row r="120" spans="1:37" ht="14.25" customHeight="1" x14ac:dyDescent="0.45">
      <c r="A120" s="618">
        <v>1</v>
      </c>
      <c r="B120" s="106"/>
      <c r="C120" s="115" t="s">
        <v>52</v>
      </c>
      <c r="D120" s="132">
        <f>'Copia de Combustibles'!D134*1000*'Demandas Cálculos Driver PIB'!$E$110</f>
        <v>99.924425601785785</v>
      </c>
      <c r="E120" s="132">
        <f>'Copia de Combustibles'!E134*1000*'Demandas Cálculos Driver PIB'!$E$110</f>
        <v>92.97248308251325</v>
      </c>
      <c r="F120" s="132">
        <f>'Copia de Combustibles'!F134*1000*'Demandas Cálculos Driver PIB'!$E$110</f>
        <v>92.389079855368294</v>
      </c>
      <c r="G120" s="132">
        <f>'Copia de Combustibles'!G134*1000*'Demandas Cálculos Driver PIB'!$E$110</f>
        <v>96.493581503354946</v>
      </c>
      <c r="H120" s="218">
        <v>96.493581503354946</v>
      </c>
      <c r="I120" s="218">
        <v>96.493581503354946</v>
      </c>
      <c r="J120" s="218">
        <v>96.493581503354946</v>
      </c>
      <c r="K120" s="218">
        <v>96.493581503354946</v>
      </c>
      <c r="L120" s="218">
        <v>96.493581503354946</v>
      </c>
      <c r="M120" s="218">
        <v>96.493581503354946</v>
      </c>
      <c r="N120" s="218">
        <v>96.493581503354946</v>
      </c>
      <c r="O120" s="218">
        <v>96.493581503354946</v>
      </c>
      <c r="P120" s="218">
        <v>96.493581503354946</v>
      </c>
      <c r="Q120" s="218">
        <v>96.493581503354946</v>
      </c>
      <c r="R120" s="218">
        <v>96.493581503354946</v>
      </c>
      <c r="S120" s="218">
        <v>96.493581503354946</v>
      </c>
      <c r="T120" s="218">
        <v>96.493581503354946</v>
      </c>
      <c r="U120" s="218">
        <v>96.493581503354946</v>
      </c>
      <c r="V120" s="218">
        <v>96.493581503354946</v>
      </c>
      <c r="W120" s="218">
        <v>96.493581503354946</v>
      </c>
      <c r="X120" s="218">
        <v>96.493581503354946</v>
      </c>
      <c r="Y120" s="218">
        <v>96.493581503354946</v>
      </c>
      <c r="Z120" s="218">
        <v>96.493581503354946</v>
      </c>
      <c r="AA120" s="218">
        <v>96.493581503354946</v>
      </c>
      <c r="AB120" s="218">
        <v>96.493581503354946</v>
      </c>
      <c r="AC120" s="218">
        <v>96.493581503354946</v>
      </c>
      <c r="AD120" s="218">
        <v>96.493581503354946</v>
      </c>
      <c r="AE120" s="218">
        <v>96.493581503354946</v>
      </c>
      <c r="AF120" s="218">
        <v>96.493581503354946</v>
      </c>
      <c r="AG120" s="218">
        <v>96.493581503354946</v>
      </c>
      <c r="AH120" s="218">
        <v>96.493581503354946</v>
      </c>
      <c r="AI120" s="218">
        <v>96.493581503354946</v>
      </c>
      <c r="AJ120" s="218">
        <v>96.493581503354946</v>
      </c>
      <c r="AK120" s="184"/>
    </row>
    <row r="121" spans="1:37" ht="14.25" customHeight="1" x14ac:dyDescent="0.45">
      <c r="A121" s="618">
        <v>1</v>
      </c>
      <c r="B121" s="106"/>
      <c r="C121" s="115" t="s">
        <v>53</v>
      </c>
      <c r="D121" s="132">
        <f>'Copia de Combustibles'!D135*1000*'Demandas Cálculos Driver PIB'!$E$110</f>
        <v>0</v>
      </c>
      <c r="E121" s="132">
        <f>'Copia de Combustibles'!E135*1000*'Demandas Cálculos Driver PIB'!$E$110</f>
        <v>0</v>
      </c>
      <c r="F121" s="132">
        <f>'Copia de Combustibles'!F135*1000*'Demandas Cálculos Driver PIB'!$E$110</f>
        <v>0</v>
      </c>
      <c r="G121" s="132">
        <f>'Copia de Combustibles'!G135*1000*'Demandas Cálculos Driver PIB'!$E$110</f>
        <v>0</v>
      </c>
      <c r="H121" s="218">
        <v>0</v>
      </c>
      <c r="I121" s="218">
        <v>0</v>
      </c>
      <c r="J121" s="218">
        <v>0</v>
      </c>
      <c r="K121" s="218">
        <v>0</v>
      </c>
      <c r="L121" s="218">
        <v>0</v>
      </c>
      <c r="M121" s="218">
        <v>0</v>
      </c>
      <c r="N121" s="218">
        <v>0</v>
      </c>
      <c r="O121" s="218">
        <v>0</v>
      </c>
      <c r="P121" s="218">
        <v>0</v>
      </c>
      <c r="Q121" s="218">
        <v>0</v>
      </c>
      <c r="R121" s="218">
        <v>0</v>
      </c>
      <c r="S121" s="218">
        <v>0</v>
      </c>
      <c r="T121" s="218">
        <v>0</v>
      </c>
      <c r="U121" s="218">
        <v>0</v>
      </c>
      <c r="V121" s="218">
        <v>0</v>
      </c>
      <c r="W121" s="218">
        <v>0</v>
      </c>
      <c r="X121" s="218">
        <v>0</v>
      </c>
      <c r="Y121" s="218">
        <v>0</v>
      </c>
      <c r="Z121" s="218">
        <v>0</v>
      </c>
      <c r="AA121" s="218">
        <v>0</v>
      </c>
      <c r="AB121" s="218">
        <v>0</v>
      </c>
      <c r="AC121" s="218">
        <v>0</v>
      </c>
      <c r="AD121" s="218">
        <v>0</v>
      </c>
      <c r="AE121" s="218">
        <v>0</v>
      </c>
      <c r="AF121" s="218">
        <v>0</v>
      </c>
      <c r="AG121" s="218">
        <v>0</v>
      </c>
      <c r="AH121" s="218">
        <v>0</v>
      </c>
      <c r="AI121" s="218">
        <v>0</v>
      </c>
      <c r="AJ121" s="218">
        <v>0</v>
      </c>
      <c r="AK121" s="184"/>
    </row>
    <row r="122" spans="1:37" ht="14.25" customHeight="1" x14ac:dyDescent="0.45">
      <c r="A122" s="618">
        <v>1</v>
      </c>
      <c r="B122" s="106"/>
      <c r="C122" s="115" t="s">
        <v>66</v>
      </c>
      <c r="D122" s="132">
        <f>'Copia de Combustibles'!D136*1000*'Demandas Cálculos Driver PIB'!$E$110</f>
        <v>33.532832000099944</v>
      </c>
      <c r="E122" s="132">
        <f>'Copia de Combustibles'!E136*1000*'Demandas Cálculos Driver PIB'!$E$110</f>
        <v>34.475542206338616</v>
      </c>
      <c r="F122" s="132">
        <f>'Copia de Combustibles'!F136*1000*'Demandas Cálculos Driver PIB'!$E$110</f>
        <v>32.402139556569558</v>
      </c>
      <c r="G122" s="132">
        <f>'Copia de Combustibles'!G136*1000*'Demandas Cálculos Driver PIB'!$E$110</f>
        <v>35.263626678417999</v>
      </c>
      <c r="H122" s="218">
        <v>35.263626678417999</v>
      </c>
      <c r="I122" s="218">
        <v>35.263626678417999</v>
      </c>
      <c r="J122" s="218">
        <v>35.263626678417999</v>
      </c>
      <c r="K122" s="218">
        <v>35.263626678417999</v>
      </c>
      <c r="L122" s="218">
        <v>35.263626678417999</v>
      </c>
      <c r="M122" s="218">
        <v>35.263626678417999</v>
      </c>
      <c r="N122" s="218">
        <v>35.263626678417999</v>
      </c>
      <c r="O122" s="218">
        <v>35.263626678417999</v>
      </c>
      <c r="P122" s="218">
        <v>35.263626678417999</v>
      </c>
      <c r="Q122" s="218">
        <v>35.263626678417999</v>
      </c>
      <c r="R122" s="218">
        <v>35.263626678417999</v>
      </c>
      <c r="S122" s="218">
        <v>35.263626678417999</v>
      </c>
      <c r="T122" s="218">
        <v>35.263626678417999</v>
      </c>
      <c r="U122" s="218">
        <v>35.263626678417999</v>
      </c>
      <c r="V122" s="218">
        <v>35.263626678417999</v>
      </c>
      <c r="W122" s="218">
        <v>35.263626678417999</v>
      </c>
      <c r="X122" s="218">
        <v>35.263626678417999</v>
      </c>
      <c r="Y122" s="218">
        <v>35.263626678417999</v>
      </c>
      <c r="Z122" s="218">
        <v>35.263626678417999</v>
      </c>
      <c r="AA122" s="218">
        <v>35.263626678417999</v>
      </c>
      <c r="AB122" s="218">
        <v>35.263626678417999</v>
      </c>
      <c r="AC122" s="218">
        <v>35.263626678417999</v>
      </c>
      <c r="AD122" s="218">
        <v>35.263626678417999</v>
      </c>
      <c r="AE122" s="218">
        <v>35.263626678417999</v>
      </c>
      <c r="AF122" s="218">
        <v>35.263626678417999</v>
      </c>
      <c r="AG122" s="218">
        <v>35.263626678417999</v>
      </c>
      <c r="AH122" s="218">
        <v>35.263626678417999</v>
      </c>
      <c r="AI122" s="218">
        <v>35.263626678417999</v>
      </c>
      <c r="AJ122" s="218">
        <v>35.263626678417999</v>
      </c>
      <c r="AK122" s="184"/>
    </row>
    <row r="123" spans="1:37" ht="14.25" customHeight="1" x14ac:dyDescent="0.45">
      <c r="A123" s="618"/>
      <c r="B123" s="106"/>
      <c r="C123" s="115"/>
      <c r="D123" s="132">
        <f>'Copia de Combustibles'!D137*1000*'Demandas Cálculos Driver PIB'!$E$110</f>
        <v>0</v>
      </c>
      <c r="E123" s="132">
        <f>'Copia de Combustibles'!E137*1000*'Demandas Cálculos Driver PIB'!$E$110</f>
        <v>0</v>
      </c>
      <c r="F123" s="132">
        <f>'Copia de Combustibles'!F137*1000*'Demandas Cálculos Driver PIB'!$E$110</f>
        <v>0</v>
      </c>
      <c r="G123" s="132">
        <f>'Copia de Combustibles'!G137*1000*'Demandas Cálculos Driver PIB'!$E$110</f>
        <v>0</v>
      </c>
      <c r="H123" s="218">
        <v>0</v>
      </c>
      <c r="I123" s="218">
        <v>0</v>
      </c>
      <c r="J123" s="218">
        <v>0</v>
      </c>
      <c r="K123" s="218">
        <v>0</v>
      </c>
      <c r="L123" s="218">
        <v>0</v>
      </c>
      <c r="M123" s="218">
        <v>0</v>
      </c>
      <c r="N123" s="218">
        <v>0</v>
      </c>
      <c r="O123" s="218">
        <v>0</v>
      </c>
      <c r="P123" s="218">
        <v>0</v>
      </c>
      <c r="Q123" s="218">
        <v>0</v>
      </c>
      <c r="R123" s="218">
        <v>0</v>
      </c>
      <c r="S123" s="218">
        <v>0</v>
      </c>
      <c r="T123" s="218">
        <v>0</v>
      </c>
      <c r="U123" s="218">
        <v>0</v>
      </c>
      <c r="V123" s="218">
        <v>0</v>
      </c>
      <c r="W123" s="218">
        <v>0</v>
      </c>
      <c r="X123" s="218">
        <v>0</v>
      </c>
      <c r="Y123" s="218">
        <v>0</v>
      </c>
      <c r="Z123" s="218">
        <v>0</v>
      </c>
      <c r="AA123" s="218">
        <v>0</v>
      </c>
      <c r="AB123" s="218">
        <v>0</v>
      </c>
      <c r="AC123" s="218">
        <v>0</v>
      </c>
      <c r="AD123" s="218">
        <v>0</v>
      </c>
      <c r="AE123" s="218">
        <v>0</v>
      </c>
      <c r="AF123" s="218">
        <v>0</v>
      </c>
      <c r="AG123" s="218">
        <v>0</v>
      </c>
      <c r="AH123" s="218">
        <v>0</v>
      </c>
      <c r="AI123" s="218">
        <v>0</v>
      </c>
      <c r="AJ123" s="218">
        <v>0</v>
      </c>
      <c r="AK123" s="184"/>
    </row>
    <row r="124" spans="1:37" ht="14.25" customHeight="1" x14ac:dyDescent="0.45">
      <c r="A124" s="618"/>
      <c r="B124" s="106"/>
      <c r="C124" s="115" t="s">
        <v>25</v>
      </c>
      <c r="D124" s="146">
        <f t="shared" ref="D124:AJ124" si="8">SUM(D116:D123)</f>
        <v>951.31992753069585</v>
      </c>
      <c r="E124" s="146">
        <f t="shared" si="8"/>
        <v>992.33481567173226</v>
      </c>
      <c r="F124" s="146">
        <f t="shared" si="8"/>
        <v>922.45008279541059</v>
      </c>
      <c r="G124" s="146">
        <f t="shared" si="8"/>
        <v>876.93639287540009</v>
      </c>
      <c r="H124" s="146">
        <f t="shared" si="8"/>
        <v>876.93639287540009</v>
      </c>
      <c r="I124" s="146">
        <f t="shared" si="8"/>
        <v>876.93639287540009</v>
      </c>
      <c r="J124" s="146">
        <f t="shared" si="8"/>
        <v>876.93639287540009</v>
      </c>
      <c r="K124" s="146">
        <f t="shared" si="8"/>
        <v>876.93639287540009</v>
      </c>
      <c r="L124" s="146">
        <f t="shared" si="8"/>
        <v>876.93639287540009</v>
      </c>
      <c r="M124" s="146">
        <f t="shared" si="8"/>
        <v>876.93639287540009</v>
      </c>
      <c r="N124" s="146">
        <f t="shared" si="8"/>
        <v>876.93639287540009</v>
      </c>
      <c r="O124" s="146">
        <f t="shared" si="8"/>
        <v>876.93639287540009</v>
      </c>
      <c r="P124" s="146">
        <f t="shared" si="8"/>
        <v>876.93639287540009</v>
      </c>
      <c r="Q124" s="146">
        <f t="shared" si="8"/>
        <v>876.93639287540009</v>
      </c>
      <c r="R124" s="146">
        <f t="shared" si="8"/>
        <v>876.93639287540009</v>
      </c>
      <c r="S124" s="146">
        <f t="shared" si="8"/>
        <v>876.93639287540009</v>
      </c>
      <c r="T124" s="146">
        <f t="shared" si="8"/>
        <v>876.93639287540009</v>
      </c>
      <c r="U124" s="146">
        <f t="shared" si="8"/>
        <v>876.93639287540009</v>
      </c>
      <c r="V124" s="146">
        <f t="shared" si="8"/>
        <v>876.93639287540009</v>
      </c>
      <c r="W124" s="146">
        <f t="shared" si="8"/>
        <v>876.93639287540009</v>
      </c>
      <c r="X124" s="146">
        <f t="shared" si="8"/>
        <v>876.93639287540009</v>
      </c>
      <c r="Y124" s="146">
        <f t="shared" si="8"/>
        <v>876.93639287540009</v>
      </c>
      <c r="Z124" s="146">
        <f t="shared" si="8"/>
        <v>876.93639287540009</v>
      </c>
      <c r="AA124" s="146">
        <f t="shared" si="8"/>
        <v>876.93639287540009</v>
      </c>
      <c r="AB124" s="146">
        <f t="shared" si="8"/>
        <v>876.93639287540009</v>
      </c>
      <c r="AC124" s="146">
        <f t="shared" si="8"/>
        <v>876.93639287540009</v>
      </c>
      <c r="AD124" s="146">
        <f t="shared" si="8"/>
        <v>876.93639287540009</v>
      </c>
      <c r="AE124" s="146">
        <f t="shared" si="8"/>
        <v>876.93639287540009</v>
      </c>
      <c r="AF124" s="146">
        <f t="shared" si="8"/>
        <v>876.93639287540009</v>
      </c>
      <c r="AG124" s="146">
        <f t="shared" si="8"/>
        <v>876.93639287540009</v>
      </c>
      <c r="AH124" s="146">
        <f t="shared" si="8"/>
        <v>876.93639287540009</v>
      </c>
      <c r="AI124" s="146">
        <f t="shared" si="8"/>
        <v>876.93639287540009</v>
      </c>
      <c r="AJ124" s="146">
        <f t="shared" si="8"/>
        <v>876.93639287540009</v>
      </c>
      <c r="AK124" s="184"/>
    </row>
    <row r="125" spans="1:37" ht="14.25" customHeight="1" x14ac:dyDescent="0.45">
      <c r="A125" s="618"/>
      <c r="B125" s="106"/>
      <c r="C125" s="323"/>
      <c r="D125" s="108"/>
      <c r="E125" s="108"/>
      <c r="F125" s="108"/>
      <c r="G125" s="108"/>
      <c r="H125" s="183"/>
      <c r="I125" s="183"/>
      <c r="J125" s="183"/>
      <c r="K125" s="183"/>
      <c r="L125" s="183"/>
      <c r="M125" s="183"/>
      <c r="N125" s="183"/>
      <c r="O125" s="183"/>
      <c r="P125" s="183"/>
      <c r="Q125" s="183"/>
      <c r="R125" s="183"/>
      <c r="S125" s="183"/>
      <c r="T125" s="183"/>
      <c r="U125" s="183"/>
      <c r="V125" s="183"/>
      <c r="W125" s="183"/>
      <c r="X125" s="183"/>
      <c r="Y125" s="183"/>
      <c r="Z125" s="183"/>
      <c r="AA125" s="183"/>
      <c r="AB125" s="183"/>
      <c r="AC125" s="183"/>
      <c r="AD125" s="183"/>
      <c r="AE125" s="183"/>
      <c r="AF125" s="183"/>
      <c r="AG125" s="183"/>
      <c r="AH125" s="183"/>
      <c r="AI125" s="183"/>
      <c r="AJ125" s="183"/>
      <c r="AK125" s="184"/>
    </row>
    <row r="126" spans="1:37" ht="14.25" customHeight="1" x14ac:dyDescent="0.45">
      <c r="A126" s="1"/>
      <c r="B126" s="1"/>
      <c r="C126" s="1"/>
      <c r="D126" s="18"/>
      <c r="E126" s="18"/>
      <c r="F126" s="18"/>
      <c r="G126" s="18"/>
      <c r="H126" s="1"/>
      <c r="I126" s="1"/>
      <c r="J126" s="1"/>
      <c r="K126" s="18"/>
      <c r="L126" s="1"/>
      <c r="M126" s="1"/>
      <c r="N126" s="1"/>
      <c r="O126" s="1"/>
      <c r="P126" s="18"/>
      <c r="Q126" s="1"/>
      <c r="R126" s="1"/>
      <c r="S126" s="1"/>
      <c r="T126" s="1"/>
      <c r="U126" s="18"/>
      <c r="V126" s="1"/>
      <c r="W126" s="1"/>
      <c r="X126" s="1"/>
      <c r="Y126" s="1"/>
      <c r="Z126" s="18"/>
      <c r="AA126" s="1"/>
      <c r="AB126" s="1"/>
      <c r="AC126" s="1"/>
      <c r="AD126" s="1"/>
      <c r="AE126" s="18"/>
      <c r="AF126" s="1"/>
      <c r="AG126" s="1"/>
      <c r="AH126" s="1"/>
      <c r="AI126" s="1"/>
      <c r="AJ126" s="18"/>
      <c r="AK126" s="1"/>
    </row>
    <row r="127" spans="1:37" ht="14.25" customHeight="1" x14ac:dyDescent="0.45">
      <c r="A127" s="1"/>
      <c r="B127" s="1"/>
      <c r="C127" s="1"/>
      <c r="D127" s="18"/>
      <c r="E127" s="18"/>
      <c r="F127" s="18"/>
      <c r="G127" s="18"/>
      <c r="H127" s="1"/>
      <c r="I127" s="1"/>
      <c r="J127" s="1"/>
      <c r="K127" s="18"/>
      <c r="L127" s="1"/>
      <c r="M127" s="1"/>
      <c r="N127" s="1"/>
      <c r="O127" s="1"/>
      <c r="P127" s="18"/>
      <c r="Q127" s="1"/>
      <c r="R127" s="1"/>
      <c r="S127" s="1"/>
      <c r="T127" s="1"/>
      <c r="U127" s="18"/>
      <c r="V127" s="1"/>
      <c r="W127" s="1"/>
      <c r="X127" s="1"/>
      <c r="Y127" s="1"/>
      <c r="Z127" s="18"/>
      <c r="AA127" s="1"/>
      <c r="AB127" s="1"/>
      <c r="AC127" s="1"/>
      <c r="AD127" s="1"/>
      <c r="AE127" s="18"/>
      <c r="AF127" s="1"/>
      <c r="AG127" s="1"/>
      <c r="AH127" s="1"/>
      <c r="AI127" s="1"/>
      <c r="AJ127" s="18"/>
      <c r="AK127" s="1"/>
    </row>
    <row r="128" spans="1:37" ht="14.25" customHeight="1" x14ac:dyDescent="0.45">
      <c r="A128" s="1"/>
      <c r="B128" s="1"/>
      <c r="C128" s="1"/>
      <c r="D128" s="18"/>
      <c r="E128" s="18"/>
      <c r="F128" s="18"/>
      <c r="G128" s="18"/>
      <c r="H128" s="1"/>
      <c r="I128" s="1"/>
      <c r="J128" s="1"/>
      <c r="K128" s="18"/>
      <c r="L128" s="1"/>
      <c r="M128" s="1"/>
      <c r="N128" s="1"/>
      <c r="O128" s="1"/>
      <c r="P128" s="18"/>
      <c r="Q128" s="1"/>
      <c r="R128" s="1"/>
      <c r="S128" s="1"/>
      <c r="T128" s="1"/>
      <c r="U128" s="18"/>
      <c r="V128" s="1"/>
      <c r="W128" s="1"/>
      <c r="X128" s="1"/>
      <c r="Y128" s="1"/>
      <c r="Z128" s="18"/>
      <c r="AA128" s="1"/>
      <c r="AB128" s="1"/>
      <c r="AC128" s="1"/>
      <c r="AD128" s="1"/>
      <c r="AE128" s="18"/>
      <c r="AF128" s="1"/>
      <c r="AG128" s="1"/>
      <c r="AH128" s="1"/>
      <c r="AI128" s="1"/>
      <c r="AJ128" s="18"/>
      <c r="AK128" s="1"/>
    </row>
    <row r="129" spans="1:37" ht="14.25" customHeight="1" x14ac:dyDescent="0.45">
      <c r="A129" s="1"/>
      <c r="B129" s="1"/>
      <c r="C129" s="1"/>
      <c r="D129" s="18"/>
      <c r="E129" s="18"/>
      <c r="F129" s="18"/>
      <c r="G129" s="18"/>
      <c r="H129" s="1"/>
      <c r="I129" s="1"/>
      <c r="J129" s="1"/>
      <c r="K129" s="18"/>
      <c r="L129" s="1"/>
      <c r="M129" s="1"/>
      <c r="N129" s="1"/>
      <c r="O129" s="1"/>
      <c r="P129" s="18"/>
      <c r="Q129" s="1"/>
      <c r="R129" s="1"/>
      <c r="S129" s="1"/>
      <c r="T129" s="1"/>
      <c r="U129" s="18"/>
      <c r="V129" s="1"/>
      <c r="W129" s="1"/>
      <c r="X129" s="1"/>
      <c r="Y129" s="1"/>
      <c r="Z129" s="18"/>
      <c r="AA129" s="1"/>
      <c r="AB129" s="1"/>
      <c r="AC129" s="1"/>
      <c r="AD129" s="1"/>
      <c r="AE129" s="18"/>
      <c r="AF129" s="1"/>
      <c r="AG129" s="1"/>
      <c r="AH129" s="1"/>
      <c r="AI129" s="1"/>
      <c r="AJ129" s="18"/>
      <c r="AK129" s="1"/>
    </row>
    <row r="130" spans="1:37" ht="14.25" customHeight="1" x14ac:dyDescent="0.45">
      <c r="A130" s="1"/>
      <c r="B130" s="1"/>
      <c r="C130" s="1"/>
      <c r="D130" s="18"/>
      <c r="E130" s="18"/>
      <c r="F130" s="18"/>
      <c r="G130" s="18"/>
      <c r="H130" s="1"/>
      <c r="I130" s="1"/>
      <c r="J130" s="1"/>
      <c r="K130" s="18"/>
      <c r="L130" s="1"/>
      <c r="M130" s="1"/>
      <c r="N130" s="1"/>
      <c r="O130" s="1"/>
      <c r="P130" s="18"/>
      <c r="Q130" s="1"/>
      <c r="R130" s="1"/>
      <c r="S130" s="1"/>
      <c r="T130" s="1"/>
      <c r="U130" s="18"/>
      <c r="V130" s="1"/>
      <c r="W130" s="1"/>
      <c r="X130" s="1"/>
      <c r="Y130" s="1"/>
      <c r="Z130" s="18"/>
      <c r="AA130" s="1"/>
      <c r="AB130" s="1"/>
      <c r="AC130" s="1"/>
      <c r="AD130" s="1"/>
      <c r="AE130" s="18"/>
      <c r="AF130" s="1"/>
      <c r="AG130" s="1"/>
      <c r="AH130" s="1"/>
      <c r="AI130" s="1"/>
      <c r="AJ130" s="18"/>
      <c r="AK130" s="1"/>
    </row>
    <row r="131" spans="1:37" ht="14.25" customHeight="1" x14ac:dyDescent="0.45">
      <c r="A131" s="1"/>
      <c r="B131" s="1"/>
      <c r="C131" s="1"/>
      <c r="D131" s="18"/>
      <c r="E131" s="18"/>
      <c r="F131" s="18"/>
      <c r="G131" s="18"/>
      <c r="H131" s="1"/>
      <c r="I131" s="1"/>
      <c r="J131" s="1"/>
      <c r="K131" s="18"/>
      <c r="L131" s="1"/>
      <c r="M131" s="1"/>
      <c r="N131" s="1"/>
      <c r="O131" s="1"/>
      <c r="P131" s="18"/>
      <c r="Q131" s="1"/>
      <c r="R131" s="1"/>
      <c r="S131" s="1"/>
      <c r="T131" s="1"/>
      <c r="U131" s="18"/>
      <c r="V131" s="1"/>
      <c r="W131" s="1"/>
      <c r="X131" s="1"/>
      <c r="Y131" s="1"/>
      <c r="Z131" s="18"/>
      <c r="AA131" s="1"/>
      <c r="AB131" s="1"/>
      <c r="AC131" s="1"/>
      <c r="AD131" s="1"/>
      <c r="AE131" s="18"/>
      <c r="AF131" s="1"/>
      <c r="AG131" s="1"/>
      <c r="AH131" s="1"/>
      <c r="AI131" s="1"/>
      <c r="AJ131" s="18"/>
      <c r="AK131" s="1"/>
    </row>
    <row r="132" spans="1:37" ht="14.25" customHeight="1" x14ac:dyDescent="0.45">
      <c r="A132" s="1"/>
      <c r="B132" s="1"/>
      <c r="C132" s="1"/>
      <c r="D132" s="18"/>
      <c r="E132" s="18"/>
      <c r="F132" s="18"/>
      <c r="G132" s="18"/>
      <c r="H132" s="1"/>
      <c r="I132" s="1"/>
      <c r="J132" s="1"/>
      <c r="K132" s="18"/>
      <c r="L132" s="1"/>
      <c r="M132" s="1"/>
      <c r="N132" s="1"/>
      <c r="O132" s="1"/>
      <c r="P132" s="18"/>
      <c r="Q132" s="1"/>
      <c r="R132" s="1"/>
      <c r="S132" s="1"/>
      <c r="T132" s="1"/>
      <c r="U132" s="18"/>
      <c r="V132" s="1"/>
      <c r="W132" s="1"/>
      <c r="X132" s="1"/>
      <c r="Y132" s="1"/>
      <c r="Z132" s="18"/>
      <c r="AA132" s="1"/>
      <c r="AB132" s="1"/>
      <c r="AC132" s="1"/>
      <c r="AD132" s="1"/>
      <c r="AE132" s="18"/>
      <c r="AF132" s="1"/>
      <c r="AG132" s="1"/>
      <c r="AH132" s="1"/>
      <c r="AI132" s="1"/>
      <c r="AJ132" s="18"/>
      <c r="AK132" s="1"/>
    </row>
    <row r="133" spans="1:37" ht="14.25" customHeight="1" x14ac:dyDescent="0.45">
      <c r="A133" s="1"/>
      <c r="B133" s="1"/>
      <c r="C133" s="1"/>
      <c r="D133" s="18"/>
      <c r="E133" s="18"/>
      <c r="F133" s="18"/>
      <c r="G133" s="18"/>
      <c r="H133" s="1"/>
      <c r="I133" s="1"/>
      <c r="J133" s="1"/>
      <c r="K133" s="18"/>
      <c r="L133" s="1"/>
      <c r="M133" s="1"/>
      <c r="N133" s="1"/>
      <c r="O133" s="1"/>
      <c r="P133" s="18"/>
      <c r="Q133" s="1"/>
      <c r="R133" s="1"/>
      <c r="S133" s="1"/>
      <c r="T133" s="1"/>
      <c r="U133" s="18"/>
      <c r="V133" s="1"/>
      <c r="W133" s="1"/>
      <c r="X133" s="1"/>
      <c r="Y133" s="1"/>
      <c r="Z133" s="18"/>
      <c r="AA133" s="1"/>
      <c r="AB133" s="1"/>
      <c r="AC133" s="1"/>
      <c r="AD133" s="1"/>
      <c r="AE133" s="18"/>
      <c r="AF133" s="1"/>
      <c r="AG133" s="1"/>
      <c r="AH133" s="1"/>
      <c r="AI133" s="1"/>
      <c r="AJ133" s="18"/>
      <c r="AK133" s="1"/>
    </row>
    <row r="134" spans="1:37" ht="14.25" customHeight="1" x14ac:dyDescent="0.45">
      <c r="A134" s="1"/>
      <c r="B134" s="1"/>
      <c r="C134" s="1"/>
      <c r="D134" s="18"/>
      <c r="E134" s="18"/>
      <c r="F134" s="18"/>
      <c r="G134" s="18"/>
      <c r="H134" s="1"/>
      <c r="I134" s="1"/>
      <c r="J134" s="1"/>
      <c r="K134" s="18"/>
      <c r="L134" s="1"/>
      <c r="M134" s="1"/>
      <c r="N134" s="1"/>
      <c r="O134" s="1"/>
      <c r="P134" s="18"/>
      <c r="Q134" s="1"/>
      <c r="R134" s="1"/>
      <c r="S134" s="1"/>
      <c r="T134" s="1"/>
      <c r="U134" s="18"/>
      <c r="V134" s="1"/>
      <c r="W134" s="1"/>
      <c r="X134" s="1"/>
      <c r="Y134" s="1"/>
      <c r="Z134" s="18"/>
      <c r="AA134" s="1"/>
      <c r="AB134" s="1"/>
      <c r="AC134" s="1"/>
      <c r="AD134" s="1"/>
      <c r="AE134" s="18"/>
      <c r="AF134" s="1"/>
      <c r="AG134" s="1"/>
      <c r="AH134" s="1"/>
      <c r="AI134" s="1"/>
      <c r="AJ134" s="18"/>
      <c r="AK134" s="1"/>
    </row>
    <row r="135" spans="1:37" ht="14.25" customHeight="1" x14ac:dyDescent="0.45">
      <c r="A135" s="1"/>
      <c r="B135" s="1"/>
      <c r="C135" s="1"/>
      <c r="D135" s="18"/>
      <c r="E135" s="18"/>
      <c r="F135" s="18"/>
      <c r="G135" s="18"/>
      <c r="H135" s="1"/>
      <c r="I135" s="1"/>
      <c r="J135" s="1"/>
      <c r="K135" s="18"/>
      <c r="L135" s="1"/>
      <c r="M135" s="1"/>
      <c r="N135" s="1"/>
      <c r="O135" s="1"/>
      <c r="P135" s="18"/>
      <c r="Q135" s="1"/>
      <c r="R135" s="1"/>
      <c r="S135" s="1"/>
      <c r="T135" s="1"/>
      <c r="U135" s="18"/>
      <c r="V135" s="1"/>
      <c r="W135" s="1"/>
      <c r="X135" s="1"/>
      <c r="Y135" s="1"/>
      <c r="Z135" s="18"/>
      <c r="AA135" s="1"/>
      <c r="AB135" s="1"/>
      <c r="AC135" s="1"/>
      <c r="AD135" s="1"/>
      <c r="AE135" s="18"/>
      <c r="AF135" s="1"/>
      <c r="AG135" s="1"/>
      <c r="AH135" s="1"/>
      <c r="AI135" s="1"/>
      <c r="AJ135" s="18"/>
      <c r="AK135" s="1"/>
    </row>
    <row r="136" spans="1:37" ht="14.25" customHeight="1" x14ac:dyDescent="0.45">
      <c r="A136" s="1"/>
      <c r="B136" s="1"/>
      <c r="C136" s="1"/>
      <c r="D136" s="18"/>
      <c r="E136" s="18"/>
      <c r="F136" s="18"/>
      <c r="G136" s="18"/>
      <c r="H136" s="1"/>
      <c r="I136" s="1"/>
      <c r="J136" s="1"/>
      <c r="K136" s="18"/>
      <c r="L136" s="1"/>
      <c r="M136" s="1"/>
      <c r="N136" s="1"/>
      <c r="O136" s="1"/>
      <c r="P136" s="18"/>
      <c r="Q136" s="1"/>
      <c r="R136" s="1"/>
      <c r="S136" s="1"/>
      <c r="T136" s="1"/>
      <c r="U136" s="18"/>
      <c r="V136" s="1"/>
      <c r="W136" s="1"/>
      <c r="X136" s="1"/>
      <c r="Y136" s="1"/>
      <c r="Z136" s="18"/>
      <c r="AA136" s="1"/>
      <c r="AB136" s="1"/>
      <c r="AC136" s="1"/>
      <c r="AD136" s="1"/>
      <c r="AE136" s="18"/>
      <c r="AF136" s="1"/>
      <c r="AG136" s="1"/>
      <c r="AH136" s="1"/>
      <c r="AI136" s="1"/>
      <c r="AJ136" s="18"/>
      <c r="AK136" s="1"/>
    </row>
    <row r="137" spans="1:37" ht="14.25" customHeight="1" x14ac:dyDescent="0.45">
      <c r="A137" s="1"/>
      <c r="B137" s="1"/>
      <c r="C137" s="1"/>
      <c r="D137" s="18"/>
      <c r="E137" s="18"/>
      <c r="F137" s="18"/>
      <c r="G137" s="18"/>
      <c r="H137" s="1"/>
      <c r="I137" s="1"/>
      <c r="J137" s="1"/>
      <c r="K137" s="18"/>
      <c r="L137" s="1"/>
      <c r="M137" s="1"/>
      <c r="N137" s="1"/>
      <c r="O137" s="1"/>
      <c r="P137" s="18"/>
      <c r="Q137" s="1"/>
      <c r="R137" s="1"/>
      <c r="S137" s="1"/>
      <c r="T137" s="1"/>
      <c r="U137" s="18"/>
      <c r="V137" s="1"/>
      <c r="W137" s="1"/>
      <c r="X137" s="1"/>
      <c r="Y137" s="1"/>
      <c r="Z137" s="18"/>
      <c r="AA137" s="1"/>
      <c r="AB137" s="1"/>
      <c r="AC137" s="1"/>
      <c r="AD137" s="1"/>
      <c r="AE137" s="18"/>
      <c r="AF137" s="1"/>
      <c r="AG137" s="1"/>
      <c r="AH137" s="1"/>
      <c r="AI137" s="1"/>
      <c r="AJ137" s="18"/>
      <c r="AK137" s="1"/>
    </row>
    <row r="138" spans="1:37" ht="14.25" customHeight="1" x14ac:dyDescent="0.45">
      <c r="A138" s="1"/>
      <c r="B138" s="1"/>
      <c r="C138" s="1"/>
      <c r="D138" s="18"/>
      <c r="E138" s="18"/>
      <c r="F138" s="18"/>
      <c r="G138" s="18"/>
      <c r="H138" s="1"/>
      <c r="I138" s="1"/>
      <c r="J138" s="1"/>
      <c r="K138" s="18"/>
      <c r="L138" s="1"/>
      <c r="M138" s="1"/>
      <c r="N138" s="1"/>
      <c r="O138" s="1"/>
      <c r="P138" s="18"/>
      <c r="Q138" s="1"/>
      <c r="R138" s="1"/>
      <c r="S138" s="1"/>
      <c r="T138" s="1"/>
      <c r="U138" s="18"/>
      <c r="V138" s="1"/>
      <c r="W138" s="1"/>
      <c r="X138" s="1"/>
      <c r="Y138" s="1"/>
      <c r="Z138" s="18"/>
      <c r="AA138" s="1"/>
      <c r="AB138" s="1"/>
      <c r="AC138" s="1"/>
      <c r="AD138" s="1"/>
      <c r="AE138" s="18"/>
      <c r="AF138" s="1"/>
      <c r="AG138" s="1"/>
      <c r="AH138" s="1"/>
      <c r="AI138" s="1"/>
      <c r="AJ138" s="18"/>
      <c r="AK138" s="1"/>
    </row>
    <row r="139" spans="1:37" ht="14.25" customHeight="1" x14ac:dyDescent="0.45">
      <c r="A139" s="1"/>
      <c r="B139" s="1"/>
      <c r="C139" s="1"/>
      <c r="D139" s="18"/>
      <c r="E139" s="18"/>
      <c r="F139" s="18"/>
      <c r="G139" s="18"/>
      <c r="H139" s="1"/>
      <c r="I139" s="1"/>
      <c r="J139" s="1"/>
      <c r="K139" s="18"/>
      <c r="L139" s="1"/>
      <c r="M139" s="1"/>
      <c r="N139" s="1"/>
      <c r="O139" s="1"/>
      <c r="P139" s="18"/>
      <c r="Q139" s="1"/>
      <c r="R139" s="1"/>
      <c r="S139" s="1"/>
      <c r="T139" s="1"/>
      <c r="U139" s="18"/>
      <c r="V139" s="1"/>
      <c r="W139" s="1"/>
      <c r="X139" s="1"/>
      <c r="Y139" s="1"/>
      <c r="Z139" s="18"/>
      <c r="AA139" s="1"/>
      <c r="AB139" s="1"/>
      <c r="AC139" s="1"/>
      <c r="AD139" s="1"/>
      <c r="AE139" s="18"/>
      <c r="AF139" s="1"/>
      <c r="AG139" s="1"/>
      <c r="AH139" s="1"/>
      <c r="AI139" s="1"/>
      <c r="AJ139" s="18"/>
      <c r="AK139" s="1"/>
    </row>
    <row r="140" spans="1:37" ht="14.25" customHeight="1" x14ac:dyDescent="0.45">
      <c r="A140" s="1"/>
      <c r="B140" s="1"/>
      <c r="C140" s="1"/>
      <c r="D140" s="18"/>
      <c r="E140" s="18"/>
      <c r="F140" s="18"/>
      <c r="G140" s="18"/>
      <c r="H140" s="1"/>
      <c r="I140" s="1"/>
      <c r="J140" s="1"/>
      <c r="K140" s="18"/>
      <c r="L140" s="1"/>
      <c r="M140" s="1"/>
      <c r="N140" s="1"/>
      <c r="O140" s="1"/>
      <c r="P140" s="18"/>
      <c r="Q140" s="1"/>
      <c r="R140" s="1"/>
      <c r="S140" s="1"/>
      <c r="T140" s="1"/>
      <c r="U140" s="18"/>
      <c r="V140" s="1"/>
      <c r="W140" s="1"/>
      <c r="X140" s="1"/>
      <c r="Y140" s="1"/>
      <c r="Z140" s="18"/>
      <c r="AA140" s="1"/>
      <c r="AB140" s="1"/>
      <c r="AC140" s="1"/>
      <c r="AD140" s="1"/>
      <c r="AE140" s="18"/>
      <c r="AF140" s="1"/>
      <c r="AG140" s="1"/>
      <c r="AH140" s="1"/>
      <c r="AI140" s="1"/>
      <c r="AJ140" s="18"/>
      <c r="AK140" s="1"/>
    </row>
    <row r="141" spans="1:37" ht="14.25" customHeight="1" x14ac:dyDescent="0.45">
      <c r="A141" s="1"/>
      <c r="B141" s="1"/>
      <c r="C141" s="1"/>
      <c r="D141" s="18"/>
      <c r="E141" s="18"/>
      <c r="F141" s="18"/>
      <c r="G141" s="18"/>
      <c r="H141" s="1"/>
      <c r="I141" s="1"/>
      <c r="J141" s="1"/>
      <c r="K141" s="18"/>
      <c r="L141" s="1"/>
      <c r="M141" s="1"/>
      <c r="N141" s="1"/>
      <c r="O141" s="1"/>
      <c r="P141" s="18"/>
      <c r="Q141" s="1"/>
      <c r="R141" s="1"/>
      <c r="S141" s="1"/>
      <c r="T141" s="1"/>
      <c r="U141" s="18"/>
      <c r="V141" s="1"/>
      <c r="W141" s="1"/>
      <c r="X141" s="1"/>
      <c r="Y141" s="1"/>
      <c r="Z141" s="18"/>
      <c r="AA141" s="1"/>
      <c r="AB141" s="1"/>
      <c r="AC141" s="1"/>
      <c r="AD141" s="1"/>
      <c r="AE141" s="18"/>
      <c r="AF141" s="1"/>
      <c r="AG141" s="1"/>
      <c r="AH141" s="1"/>
      <c r="AI141" s="1"/>
      <c r="AJ141" s="18"/>
      <c r="AK141" s="1"/>
    </row>
    <row r="142" spans="1:37" ht="14.25" customHeight="1" x14ac:dyDescent="0.45">
      <c r="A142" s="1"/>
      <c r="B142" s="1"/>
      <c r="C142" s="1"/>
      <c r="D142" s="18"/>
      <c r="E142" s="18"/>
      <c r="F142" s="18"/>
      <c r="G142" s="18"/>
      <c r="H142" s="1"/>
      <c r="I142" s="1"/>
      <c r="J142" s="1"/>
      <c r="K142" s="18"/>
      <c r="L142" s="1"/>
      <c r="M142" s="1"/>
      <c r="N142" s="1"/>
      <c r="O142" s="1"/>
      <c r="P142" s="18"/>
      <c r="Q142" s="1"/>
      <c r="R142" s="1"/>
      <c r="S142" s="1"/>
      <c r="T142" s="1"/>
      <c r="U142" s="18"/>
      <c r="V142" s="1"/>
      <c r="W142" s="1"/>
      <c r="X142" s="1"/>
      <c r="Y142" s="1"/>
      <c r="Z142" s="18"/>
      <c r="AA142" s="1"/>
      <c r="AB142" s="1"/>
      <c r="AC142" s="1"/>
      <c r="AD142" s="1"/>
      <c r="AE142" s="18"/>
      <c r="AF142" s="1"/>
      <c r="AG142" s="1"/>
      <c r="AH142" s="1"/>
      <c r="AI142" s="1"/>
      <c r="AJ142" s="18"/>
      <c r="AK142" s="1"/>
    </row>
    <row r="143" spans="1:37" ht="14.25" customHeight="1" x14ac:dyDescent="0.45">
      <c r="A143" s="1"/>
      <c r="B143" s="1"/>
      <c r="C143" s="1"/>
      <c r="D143" s="18"/>
      <c r="E143" s="18"/>
      <c r="F143" s="18"/>
      <c r="G143" s="18"/>
      <c r="H143" s="1"/>
      <c r="I143" s="1"/>
      <c r="J143" s="1"/>
      <c r="K143" s="18"/>
      <c r="L143" s="1"/>
      <c r="M143" s="1"/>
      <c r="N143" s="1"/>
      <c r="O143" s="1"/>
      <c r="P143" s="18"/>
      <c r="Q143" s="1"/>
      <c r="R143" s="1"/>
      <c r="S143" s="1"/>
      <c r="T143" s="1"/>
      <c r="U143" s="18"/>
      <c r="V143" s="1"/>
      <c r="W143" s="1"/>
      <c r="X143" s="1"/>
      <c r="Y143" s="1"/>
      <c r="Z143" s="18"/>
      <c r="AA143" s="1"/>
      <c r="AB143" s="1"/>
      <c r="AC143" s="1"/>
      <c r="AD143" s="1"/>
      <c r="AE143" s="18"/>
      <c r="AF143" s="1"/>
      <c r="AG143" s="1"/>
      <c r="AH143" s="1"/>
      <c r="AI143" s="1"/>
      <c r="AJ143" s="18"/>
      <c r="AK143" s="1"/>
    </row>
    <row r="144" spans="1:37" ht="14.25" customHeight="1" x14ac:dyDescent="0.45">
      <c r="A144" s="1"/>
      <c r="B144" s="1"/>
      <c r="C144" s="1"/>
      <c r="D144" s="18"/>
      <c r="E144" s="18"/>
      <c r="F144" s="18"/>
      <c r="G144" s="18"/>
      <c r="H144" s="1"/>
      <c r="I144" s="1"/>
      <c r="J144" s="1"/>
      <c r="K144" s="18"/>
      <c r="L144" s="1"/>
      <c r="M144" s="1"/>
      <c r="N144" s="1"/>
      <c r="O144" s="1"/>
      <c r="P144" s="18"/>
      <c r="Q144" s="1"/>
      <c r="R144" s="1"/>
      <c r="S144" s="1"/>
      <c r="T144" s="1"/>
      <c r="U144" s="18"/>
      <c r="V144" s="1"/>
      <c r="W144" s="1"/>
      <c r="X144" s="1"/>
      <c r="Y144" s="1"/>
      <c r="Z144" s="18"/>
      <c r="AA144" s="1"/>
      <c r="AB144" s="1"/>
      <c r="AC144" s="1"/>
      <c r="AD144" s="1"/>
      <c r="AE144" s="18"/>
      <c r="AF144" s="1"/>
      <c r="AG144" s="1"/>
      <c r="AH144" s="1"/>
      <c r="AI144" s="1"/>
      <c r="AJ144" s="18"/>
      <c r="AK144" s="1"/>
    </row>
    <row r="145" spans="1:37" ht="14.25" customHeight="1" x14ac:dyDescent="0.45">
      <c r="A145" s="1"/>
      <c r="B145" s="1"/>
      <c r="C145" s="1"/>
      <c r="D145" s="18"/>
      <c r="E145" s="18"/>
      <c r="F145" s="18"/>
      <c r="G145" s="18"/>
      <c r="H145" s="1"/>
      <c r="I145" s="1"/>
      <c r="J145" s="1"/>
      <c r="K145" s="18"/>
      <c r="L145" s="1"/>
      <c r="M145" s="1"/>
      <c r="N145" s="1"/>
      <c r="O145" s="1"/>
      <c r="P145" s="18"/>
      <c r="Q145" s="1"/>
      <c r="R145" s="1"/>
      <c r="S145" s="1"/>
      <c r="T145" s="1"/>
      <c r="U145" s="18"/>
      <c r="V145" s="1"/>
      <c r="W145" s="1"/>
      <c r="X145" s="1"/>
      <c r="Y145" s="1"/>
      <c r="Z145" s="18"/>
      <c r="AA145" s="1"/>
      <c r="AB145" s="1"/>
      <c r="AC145" s="1"/>
      <c r="AD145" s="1"/>
      <c r="AE145" s="18"/>
      <c r="AF145" s="1"/>
      <c r="AG145" s="1"/>
      <c r="AH145" s="1"/>
      <c r="AI145" s="1"/>
      <c r="AJ145" s="18"/>
      <c r="AK145" s="1"/>
    </row>
    <row r="146" spans="1:37" ht="14.25" customHeight="1" x14ac:dyDescent="0.45">
      <c r="A146" s="1"/>
      <c r="B146" s="1"/>
      <c r="C146" s="1"/>
      <c r="D146" s="18"/>
      <c r="E146" s="18"/>
      <c r="F146" s="18"/>
      <c r="G146" s="18"/>
      <c r="H146" s="1"/>
      <c r="I146" s="1"/>
      <c r="J146" s="1"/>
      <c r="K146" s="18"/>
      <c r="L146" s="1"/>
      <c r="M146" s="1"/>
      <c r="N146" s="1"/>
      <c r="O146" s="1"/>
      <c r="P146" s="18"/>
      <c r="Q146" s="1"/>
      <c r="R146" s="1"/>
      <c r="S146" s="1"/>
      <c r="T146" s="1"/>
      <c r="U146" s="18"/>
      <c r="V146" s="1"/>
      <c r="W146" s="1"/>
      <c r="X146" s="1"/>
      <c r="Y146" s="1"/>
      <c r="Z146" s="18"/>
      <c r="AA146" s="1"/>
      <c r="AB146" s="1"/>
      <c r="AC146" s="1"/>
      <c r="AD146" s="1"/>
      <c r="AE146" s="18"/>
      <c r="AF146" s="1"/>
      <c r="AG146" s="1"/>
      <c r="AH146" s="1"/>
      <c r="AI146" s="1"/>
      <c r="AJ146" s="18"/>
      <c r="AK146" s="1"/>
    </row>
    <row r="147" spans="1:37" ht="14.25" customHeight="1" x14ac:dyDescent="0.45">
      <c r="A147" s="1"/>
      <c r="B147" s="1"/>
      <c r="C147" s="1"/>
      <c r="D147" s="18"/>
      <c r="E147" s="18"/>
      <c r="F147" s="18"/>
      <c r="G147" s="18"/>
      <c r="H147" s="1"/>
      <c r="I147" s="1"/>
      <c r="J147" s="1"/>
      <c r="K147" s="18"/>
      <c r="L147" s="1"/>
      <c r="M147" s="1"/>
      <c r="N147" s="1"/>
      <c r="O147" s="1"/>
      <c r="P147" s="18"/>
      <c r="Q147" s="1"/>
      <c r="R147" s="1"/>
      <c r="S147" s="1"/>
      <c r="T147" s="1"/>
      <c r="U147" s="18"/>
      <c r="V147" s="1"/>
      <c r="W147" s="1"/>
      <c r="X147" s="1"/>
      <c r="Y147" s="1"/>
      <c r="Z147" s="18"/>
      <c r="AA147" s="1"/>
      <c r="AB147" s="1"/>
      <c r="AC147" s="1"/>
      <c r="AD147" s="1"/>
      <c r="AE147" s="18"/>
      <c r="AF147" s="1"/>
      <c r="AG147" s="1"/>
      <c r="AH147" s="1"/>
      <c r="AI147" s="1"/>
      <c r="AJ147" s="18"/>
      <c r="AK147" s="1"/>
    </row>
    <row r="148" spans="1:37" ht="14.25" customHeight="1" x14ac:dyDescent="0.45">
      <c r="A148" s="1"/>
      <c r="B148" s="1"/>
      <c r="C148" s="1"/>
      <c r="D148" s="18"/>
      <c r="E148" s="18"/>
      <c r="F148" s="18"/>
      <c r="G148" s="18"/>
      <c r="H148" s="1"/>
      <c r="I148" s="1"/>
      <c r="J148" s="1"/>
      <c r="K148" s="18"/>
      <c r="L148" s="1"/>
      <c r="M148" s="1"/>
      <c r="N148" s="1"/>
      <c r="O148" s="1"/>
      <c r="P148" s="18"/>
      <c r="Q148" s="1"/>
      <c r="R148" s="1"/>
      <c r="S148" s="1"/>
      <c r="T148" s="1"/>
      <c r="U148" s="18"/>
      <c r="V148" s="1"/>
      <c r="W148" s="1"/>
      <c r="X148" s="1"/>
      <c r="Y148" s="1"/>
      <c r="Z148" s="18"/>
      <c r="AA148" s="1"/>
      <c r="AB148" s="1"/>
      <c r="AC148" s="1"/>
      <c r="AD148" s="1"/>
      <c r="AE148" s="18"/>
      <c r="AF148" s="1"/>
      <c r="AG148" s="1"/>
      <c r="AH148" s="1"/>
      <c r="AI148" s="1"/>
      <c r="AJ148" s="18"/>
      <c r="AK148" s="1"/>
    </row>
    <row r="149" spans="1:37" ht="14.25" customHeight="1" x14ac:dyDescent="0.45">
      <c r="A149" s="1"/>
      <c r="B149" s="1"/>
      <c r="C149" s="1"/>
      <c r="D149" s="18"/>
      <c r="E149" s="18"/>
      <c r="F149" s="18"/>
      <c r="G149" s="18"/>
      <c r="H149" s="1"/>
      <c r="I149" s="1"/>
      <c r="J149" s="1"/>
      <c r="K149" s="18"/>
      <c r="L149" s="1"/>
      <c r="M149" s="1"/>
      <c r="N149" s="1"/>
      <c r="O149" s="1"/>
      <c r="P149" s="18"/>
      <c r="Q149" s="1"/>
      <c r="R149" s="1"/>
      <c r="S149" s="1"/>
      <c r="T149" s="1"/>
      <c r="U149" s="18"/>
      <c r="V149" s="1"/>
      <c r="W149" s="1"/>
      <c r="X149" s="1"/>
      <c r="Y149" s="1"/>
      <c r="Z149" s="18"/>
      <c r="AA149" s="1"/>
      <c r="AB149" s="1"/>
      <c r="AC149" s="1"/>
      <c r="AD149" s="1"/>
      <c r="AE149" s="18"/>
      <c r="AF149" s="1"/>
      <c r="AG149" s="1"/>
      <c r="AH149" s="1"/>
      <c r="AI149" s="1"/>
      <c r="AJ149" s="18"/>
      <c r="AK149" s="1"/>
    </row>
    <row r="150" spans="1:37" ht="14.25" customHeight="1" x14ac:dyDescent="0.45">
      <c r="A150" s="1"/>
      <c r="B150" s="1"/>
      <c r="C150" s="1"/>
      <c r="D150" s="18"/>
      <c r="E150" s="18"/>
      <c r="F150" s="18"/>
      <c r="G150" s="18"/>
      <c r="H150" s="1"/>
      <c r="I150" s="1"/>
      <c r="J150" s="1"/>
      <c r="K150" s="18"/>
      <c r="L150" s="1"/>
      <c r="M150" s="1"/>
      <c r="N150" s="1"/>
      <c r="O150" s="1"/>
      <c r="P150" s="18"/>
      <c r="Q150" s="1"/>
      <c r="R150" s="1"/>
      <c r="S150" s="1"/>
      <c r="T150" s="1"/>
      <c r="U150" s="18"/>
      <c r="V150" s="1"/>
      <c r="W150" s="1"/>
      <c r="X150" s="1"/>
      <c r="Y150" s="1"/>
      <c r="Z150" s="18"/>
      <c r="AA150" s="1"/>
      <c r="AB150" s="1"/>
      <c r="AC150" s="1"/>
      <c r="AD150" s="1"/>
      <c r="AE150" s="18"/>
      <c r="AF150" s="1"/>
      <c r="AG150" s="1"/>
      <c r="AH150" s="1"/>
      <c r="AI150" s="1"/>
      <c r="AJ150" s="18"/>
      <c r="AK150" s="1"/>
    </row>
    <row r="151" spans="1:37" ht="14.25" customHeight="1" x14ac:dyDescent="0.45">
      <c r="A151" s="1"/>
      <c r="B151" s="1"/>
      <c r="C151" s="1"/>
      <c r="D151" s="18"/>
      <c r="E151" s="18"/>
      <c r="F151" s="18"/>
      <c r="G151" s="18"/>
      <c r="H151" s="1"/>
      <c r="I151" s="1"/>
      <c r="J151" s="1"/>
      <c r="K151" s="18"/>
      <c r="L151" s="1"/>
      <c r="M151" s="1"/>
      <c r="N151" s="1"/>
      <c r="O151" s="1"/>
      <c r="P151" s="18"/>
      <c r="Q151" s="1"/>
      <c r="R151" s="1"/>
      <c r="S151" s="1"/>
      <c r="T151" s="1"/>
      <c r="U151" s="18"/>
      <c r="V151" s="1"/>
      <c r="W151" s="1"/>
      <c r="X151" s="1"/>
      <c r="Y151" s="1"/>
      <c r="Z151" s="18"/>
      <c r="AA151" s="1"/>
      <c r="AB151" s="1"/>
      <c r="AC151" s="1"/>
      <c r="AD151" s="1"/>
      <c r="AE151" s="18"/>
      <c r="AF151" s="1"/>
      <c r="AG151" s="1"/>
      <c r="AH151" s="1"/>
      <c r="AI151" s="1"/>
      <c r="AJ151" s="18"/>
      <c r="AK151" s="1"/>
    </row>
    <row r="152" spans="1:37" ht="14.25" customHeight="1" x14ac:dyDescent="0.45">
      <c r="A152" s="1"/>
      <c r="B152" s="1"/>
      <c r="C152" s="1"/>
      <c r="D152" s="18"/>
      <c r="E152" s="18"/>
      <c r="F152" s="18"/>
      <c r="G152" s="18"/>
      <c r="H152" s="1"/>
      <c r="I152" s="1"/>
      <c r="J152" s="1"/>
      <c r="K152" s="18"/>
      <c r="L152" s="1"/>
      <c r="M152" s="1"/>
      <c r="N152" s="1"/>
      <c r="O152" s="1"/>
      <c r="P152" s="18"/>
      <c r="Q152" s="1"/>
      <c r="R152" s="1"/>
      <c r="S152" s="1"/>
      <c r="T152" s="1"/>
      <c r="U152" s="18"/>
      <c r="V152" s="1"/>
      <c r="W152" s="1"/>
      <c r="X152" s="1"/>
      <c r="Y152" s="1"/>
      <c r="Z152" s="18"/>
      <c r="AA152" s="1"/>
      <c r="AB152" s="1"/>
      <c r="AC152" s="1"/>
      <c r="AD152" s="1"/>
      <c r="AE152" s="18"/>
      <c r="AF152" s="1"/>
      <c r="AG152" s="1"/>
      <c r="AH152" s="1"/>
      <c r="AI152" s="1"/>
      <c r="AJ152" s="18"/>
      <c r="AK152" s="1"/>
    </row>
    <row r="153" spans="1:37" ht="14.25" customHeight="1" x14ac:dyDescent="0.45">
      <c r="A153" s="1"/>
      <c r="B153" s="1"/>
      <c r="C153" s="1"/>
      <c r="D153" s="18"/>
      <c r="E153" s="18"/>
      <c r="F153" s="18"/>
      <c r="G153" s="18"/>
      <c r="H153" s="1"/>
      <c r="I153" s="1"/>
      <c r="J153" s="1"/>
      <c r="K153" s="18"/>
      <c r="L153" s="1"/>
      <c r="M153" s="1"/>
      <c r="N153" s="1"/>
      <c r="O153" s="1"/>
      <c r="P153" s="18"/>
      <c r="Q153" s="1"/>
      <c r="R153" s="1"/>
      <c r="S153" s="1"/>
      <c r="T153" s="1"/>
      <c r="U153" s="18"/>
      <c r="V153" s="1"/>
      <c r="W153" s="1"/>
      <c r="X153" s="1"/>
      <c r="Y153" s="1"/>
      <c r="Z153" s="18"/>
      <c r="AA153" s="1"/>
      <c r="AB153" s="1"/>
      <c r="AC153" s="1"/>
      <c r="AD153" s="1"/>
      <c r="AE153" s="18"/>
      <c r="AF153" s="1"/>
      <c r="AG153" s="1"/>
      <c r="AH153" s="1"/>
      <c r="AI153" s="1"/>
      <c r="AJ153" s="18"/>
      <c r="AK153" s="1"/>
    </row>
    <row r="154" spans="1:37" ht="14.25" customHeight="1" x14ac:dyDescent="0.45">
      <c r="A154" s="1"/>
      <c r="B154" s="1"/>
      <c r="C154" s="1"/>
      <c r="D154" s="18"/>
      <c r="E154" s="18"/>
      <c r="F154" s="18"/>
      <c r="G154" s="18"/>
      <c r="H154" s="1"/>
      <c r="I154" s="1"/>
      <c r="J154" s="1"/>
      <c r="K154" s="18"/>
      <c r="L154" s="1"/>
      <c r="M154" s="1"/>
      <c r="N154" s="1"/>
      <c r="O154" s="1"/>
      <c r="P154" s="18"/>
      <c r="Q154" s="1"/>
      <c r="R154" s="1"/>
      <c r="S154" s="1"/>
      <c r="T154" s="1"/>
      <c r="U154" s="18"/>
      <c r="V154" s="1"/>
      <c r="W154" s="1"/>
      <c r="X154" s="1"/>
      <c r="Y154" s="1"/>
      <c r="Z154" s="18"/>
      <c r="AA154" s="1"/>
      <c r="AB154" s="1"/>
      <c r="AC154" s="1"/>
      <c r="AD154" s="1"/>
      <c r="AE154" s="18"/>
      <c r="AF154" s="1"/>
      <c r="AG154" s="1"/>
      <c r="AH154" s="1"/>
      <c r="AI154" s="1"/>
      <c r="AJ154" s="18"/>
      <c r="AK154" s="1"/>
    </row>
    <row r="155" spans="1:37" ht="14.25" customHeight="1" x14ac:dyDescent="0.45">
      <c r="A155" s="1"/>
      <c r="B155" s="1"/>
      <c r="C155" s="1"/>
      <c r="D155" s="18"/>
      <c r="E155" s="18"/>
      <c r="F155" s="18"/>
      <c r="G155" s="18"/>
      <c r="H155" s="1"/>
      <c r="I155" s="1"/>
      <c r="J155" s="1"/>
      <c r="K155" s="18"/>
      <c r="L155" s="1"/>
      <c r="M155" s="1"/>
      <c r="N155" s="1"/>
      <c r="O155" s="1"/>
      <c r="P155" s="18"/>
      <c r="Q155" s="1"/>
      <c r="R155" s="1"/>
      <c r="S155" s="1"/>
      <c r="T155" s="1"/>
      <c r="U155" s="18"/>
      <c r="V155" s="1"/>
      <c r="W155" s="1"/>
      <c r="X155" s="1"/>
      <c r="Y155" s="1"/>
      <c r="Z155" s="18"/>
      <c r="AA155" s="1"/>
      <c r="AB155" s="1"/>
      <c r="AC155" s="1"/>
      <c r="AD155" s="1"/>
      <c r="AE155" s="18"/>
      <c r="AF155" s="1"/>
      <c r="AG155" s="1"/>
      <c r="AH155" s="1"/>
      <c r="AI155" s="1"/>
      <c r="AJ155" s="18"/>
      <c r="AK155" s="1"/>
    </row>
    <row r="156" spans="1:37" ht="14.25" customHeight="1" x14ac:dyDescent="0.45">
      <c r="A156" s="1"/>
      <c r="B156" s="1"/>
      <c r="C156" s="1"/>
      <c r="D156" s="18"/>
      <c r="E156" s="18"/>
      <c r="F156" s="18"/>
      <c r="G156" s="18"/>
      <c r="H156" s="1"/>
      <c r="I156" s="1"/>
      <c r="J156" s="1"/>
      <c r="K156" s="18"/>
      <c r="L156" s="1"/>
      <c r="M156" s="1"/>
      <c r="N156" s="1"/>
      <c r="O156" s="1"/>
      <c r="P156" s="18"/>
      <c r="Q156" s="1"/>
      <c r="R156" s="1"/>
      <c r="S156" s="1"/>
      <c r="T156" s="1"/>
      <c r="U156" s="18"/>
      <c r="V156" s="1"/>
      <c r="W156" s="1"/>
      <c r="X156" s="1"/>
      <c r="Y156" s="1"/>
      <c r="Z156" s="18"/>
      <c r="AA156" s="1"/>
      <c r="AB156" s="1"/>
      <c r="AC156" s="1"/>
      <c r="AD156" s="1"/>
      <c r="AE156" s="18"/>
      <c r="AF156" s="1"/>
      <c r="AG156" s="1"/>
      <c r="AH156" s="1"/>
      <c r="AI156" s="1"/>
      <c r="AJ156" s="18"/>
      <c r="AK156" s="1"/>
    </row>
    <row r="157" spans="1:37" ht="14.25" customHeight="1" x14ac:dyDescent="0.45">
      <c r="A157" s="1"/>
      <c r="B157" s="1"/>
      <c r="C157" s="1"/>
      <c r="D157" s="18"/>
      <c r="E157" s="18"/>
      <c r="F157" s="18"/>
      <c r="G157" s="18"/>
      <c r="H157" s="1"/>
      <c r="I157" s="1"/>
      <c r="J157" s="1"/>
      <c r="K157" s="18"/>
      <c r="L157" s="1"/>
      <c r="M157" s="1"/>
      <c r="N157" s="1"/>
      <c r="O157" s="1"/>
      <c r="P157" s="18"/>
      <c r="Q157" s="1"/>
      <c r="R157" s="1"/>
      <c r="S157" s="1"/>
      <c r="T157" s="1"/>
      <c r="U157" s="18"/>
      <c r="V157" s="1"/>
      <c r="W157" s="1"/>
      <c r="X157" s="1"/>
      <c r="Y157" s="1"/>
      <c r="Z157" s="18"/>
      <c r="AA157" s="1"/>
      <c r="AB157" s="1"/>
      <c r="AC157" s="1"/>
      <c r="AD157" s="1"/>
      <c r="AE157" s="18"/>
      <c r="AF157" s="1"/>
      <c r="AG157" s="1"/>
      <c r="AH157" s="1"/>
      <c r="AI157" s="1"/>
      <c r="AJ157" s="18"/>
      <c r="AK157" s="1"/>
    </row>
    <row r="158" spans="1:37" ht="14.25" customHeight="1" x14ac:dyDescent="0.45">
      <c r="A158" s="1"/>
      <c r="B158" s="1"/>
      <c r="C158" s="1"/>
      <c r="D158" s="18"/>
      <c r="E158" s="18"/>
      <c r="F158" s="18"/>
      <c r="G158" s="18"/>
      <c r="H158" s="1"/>
      <c r="I158" s="1"/>
      <c r="J158" s="1"/>
      <c r="K158" s="18"/>
      <c r="L158" s="1"/>
      <c r="M158" s="1"/>
      <c r="N158" s="1"/>
      <c r="O158" s="1"/>
      <c r="P158" s="18"/>
      <c r="Q158" s="1"/>
      <c r="R158" s="1"/>
      <c r="S158" s="1"/>
      <c r="T158" s="1"/>
      <c r="U158" s="18"/>
      <c r="V158" s="1"/>
      <c r="W158" s="1"/>
      <c r="X158" s="1"/>
      <c r="Y158" s="1"/>
      <c r="Z158" s="18"/>
      <c r="AA158" s="1"/>
      <c r="AB158" s="1"/>
      <c r="AC158" s="1"/>
      <c r="AD158" s="1"/>
      <c r="AE158" s="18"/>
      <c r="AF158" s="1"/>
      <c r="AG158" s="1"/>
      <c r="AH158" s="1"/>
      <c r="AI158" s="1"/>
      <c r="AJ158" s="18"/>
      <c r="AK158" s="1"/>
    </row>
    <row r="159" spans="1:37" ht="14.25" customHeight="1" x14ac:dyDescent="0.45">
      <c r="A159" s="1"/>
      <c r="B159" s="1"/>
      <c r="C159" s="1"/>
      <c r="D159" s="18"/>
      <c r="E159" s="18"/>
      <c r="F159" s="18"/>
      <c r="G159" s="18"/>
      <c r="H159" s="1"/>
      <c r="I159" s="1"/>
      <c r="J159" s="1"/>
      <c r="K159" s="18"/>
      <c r="L159" s="1"/>
      <c r="M159" s="1"/>
      <c r="N159" s="1"/>
      <c r="O159" s="1"/>
      <c r="P159" s="18"/>
      <c r="Q159" s="1"/>
      <c r="R159" s="1"/>
      <c r="S159" s="1"/>
      <c r="T159" s="1"/>
      <c r="U159" s="18"/>
      <c r="V159" s="1"/>
      <c r="W159" s="1"/>
      <c r="X159" s="1"/>
      <c r="Y159" s="1"/>
      <c r="Z159" s="18"/>
      <c r="AA159" s="1"/>
      <c r="AB159" s="1"/>
      <c r="AC159" s="1"/>
      <c r="AD159" s="1"/>
      <c r="AE159" s="18"/>
      <c r="AF159" s="1"/>
      <c r="AG159" s="1"/>
      <c r="AH159" s="1"/>
      <c r="AI159" s="1"/>
      <c r="AJ159" s="18"/>
      <c r="AK159" s="1"/>
    </row>
    <row r="160" spans="1:37" ht="14.25" customHeight="1" x14ac:dyDescent="0.45">
      <c r="A160" s="1"/>
      <c r="B160" s="1"/>
      <c r="C160" s="1"/>
      <c r="D160" s="18"/>
      <c r="E160" s="18"/>
      <c r="F160" s="18"/>
      <c r="G160" s="18"/>
      <c r="H160" s="1"/>
      <c r="I160" s="1"/>
      <c r="J160" s="1"/>
      <c r="K160" s="18"/>
      <c r="L160" s="1"/>
      <c r="M160" s="1"/>
      <c r="N160" s="1"/>
      <c r="O160" s="1"/>
      <c r="P160" s="18"/>
      <c r="Q160" s="1"/>
      <c r="R160" s="1"/>
      <c r="S160" s="1"/>
      <c r="T160" s="1"/>
      <c r="U160" s="18"/>
      <c r="V160" s="1"/>
      <c r="W160" s="1"/>
      <c r="X160" s="1"/>
      <c r="Y160" s="1"/>
      <c r="Z160" s="18"/>
      <c r="AA160" s="1"/>
      <c r="AB160" s="1"/>
      <c r="AC160" s="1"/>
      <c r="AD160" s="1"/>
      <c r="AE160" s="18"/>
      <c r="AF160" s="1"/>
      <c r="AG160" s="1"/>
      <c r="AH160" s="1"/>
      <c r="AI160" s="1"/>
      <c r="AJ160" s="18"/>
      <c r="AK160" s="1"/>
    </row>
    <row r="161" spans="1:37" ht="14.25" customHeight="1" x14ac:dyDescent="0.45">
      <c r="A161" s="1"/>
      <c r="B161" s="1"/>
      <c r="C161" s="1"/>
      <c r="D161" s="18"/>
      <c r="E161" s="18"/>
      <c r="F161" s="18"/>
      <c r="G161" s="18"/>
      <c r="H161" s="1"/>
      <c r="I161" s="1"/>
      <c r="J161" s="1"/>
      <c r="K161" s="18"/>
      <c r="L161" s="1"/>
      <c r="M161" s="1"/>
      <c r="N161" s="1"/>
      <c r="O161" s="1"/>
      <c r="P161" s="18"/>
      <c r="Q161" s="1"/>
      <c r="R161" s="1"/>
      <c r="S161" s="1"/>
      <c r="T161" s="1"/>
      <c r="U161" s="18"/>
      <c r="V161" s="1"/>
      <c r="W161" s="1"/>
      <c r="X161" s="1"/>
      <c r="Y161" s="1"/>
      <c r="Z161" s="18"/>
      <c r="AA161" s="1"/>
      <c r="AB161" s="1"/>
      <c r="AC161" s="1"/>
      <c r="AD161" s="1"/>
      <c r="AE161" s="18"/>
      <c r="AF161" s="1"/>
      <c r="AG161" s="1"/>
      <c r="AH161" s="1"/>
      <c r="AI161" s="1"/>
      <c r="AJ161" s="18"/>
      <c r="AK161" s="1"/>
    </row>
    <row r="162" spans="1:37" ht="14.25" customHeight="1" x14ac:dyDescent="0.45">
      <c r="A162" s="1"/>
      <c r="B162" s="1"/>
      <c r="C162" s="1"/>
      <c r="D162" s="18"/>
      <c r="E162" s="18"/>
      <c r="F162" s="18"/>
      <c r="G162" s="18"/>
      <c r="H162" s="1"/>
      <c r="I162" s="1"/>
      <c r="J162" s="1"/>
      <c r="K162" s="18"/>
      <c r="L162" s="1"/>
      <c r="M162" s="1"/>
      <c r="N162" s="1"/>
      <c r="O162" s="1"/>
      <c r="P162" s="18"/>
      <c r="Q162" s="1"/>
      <c r="R162" s="1"/>
      <c r="S162" s="1"/>
      <c r="T162" s="1"/>
      <c r="U162" s="18"/>
      <c r="V162" s="1"/>
      <c r="W162" s="1"/>
      <c r="X162" s="1"/>
      <c r="Y162" s="1"/>
      <c r="Z162" s="18"/>
      <c r="AA162" s="1"/>
      <c r="AB162" s="1"/>
      <c r="AC162" s="1"/>
      <c r="AD162" s="1"/>
      <c r="AE162" s="18"/>
      <c r="AF162" s="1"/>
      <c r="AG162" s="1"/>
      <c r="AH162" s="1"/>
      <c r="AI162" s="1"/>
      <c r="AJ162" s="18"/>
      <c r="AK162" s="1"/>
    </row>
    <row r="163" spans="1:37" ht="14.25" customHeight="1" x14ac:dyDescent="0.45">
      <c r="A163" s="1"/>
      <c r="B163" s="1"/>
      <c r="C163" s="1"/>
      <c r="D163" s="18"/>
      <c r="E163" s="18"/>
      <c r="F163" s="18"/>
      <c r="G163" s="18"/>
      <c r="H163" s="1"/>
      <c r="I163" s="1"/>
      <c r="J163" s="1"/>
      <c r="K163" s="18"/>
      <c r="L163" s="1"/>
      <c r="M163" s="1"/>
      <c r="N163" s="1"/>
      <c r="O163" s="1"/>
      <c r="P163" s="18"/>
      <c r="Q163" s="1"/>
      <c r="R163" s="1"/>
      <c r="S163" s="1"/>
      <c r="T163" s="1"/>
      <c r="U163" s="18"/>
      <c r="V163" s="1"/>
      <c r="W163" s="1"/>
      <c r="X163" s="1"/>
      <c r="Y163" s="1"/>
      <c r="Z163" s="18"/>
      <c r="AA163" s="1"/>
      <c r="AB163" s="1"/>
      <c r="AC163" s="1"/>
      <c r="AD163" s="1"/>
      <c r="AE163" s="18"/>
      <c r="AF163" s="1"/>
      <c r="AG163" s="1"/>
      <c r="AH163" s="1"/>
      <c r="AI163" s="1"/>
      <c r="AJ163" s="18"/>
      <c r="AK163" s="1"/>
    </row>
    <row r="164" spans="1:37" ht="14.25" customHeight="1" x14ac:dyDescent="0.45">
      <c r="A164" s="1"/>
      <c r="B164" s="1"/>
      <c r="C164" s="1"/>
      <c r="D164" s="18"/>
      <c r="E164" s="18"/>
      <c r="F164" s="18"/>
      <c r="G164" s="18"/>
      <c r="H164" s="1"/>
      <c r="I164" s="1"/>
      <c r="J164" s="1"/>
      <c r="K164" s="18"/>
      <c r="L164" s="1"/>
      <c r="M164" s="1"/>
      <c r="N164" s="1"/>
      <c r="O164" s="1"/>
      <c r="P164" s="18"/>
      <c r="Q164" s="1"/>
      <c r="R164" s="1"/>
      <c r="S164" s="1"/>
      <c r="T164" s="1"/>
      <c r="U164" s="18"/>
      <c r="V164" s="1"/>
      <c r="W164" s="1"/>
      <c r="X164" s="1"/>
      <c r="Y164" s="1"/>
      <c r="Z164" s="18"/>
      <c r="AA164" s="1"/>
      <c r="AB164" s="1"/>
      <c r="AC164" s="1"/>
      <c r="AD164" s="1"/>
      <c r="AE164" s="18"/>
      <c r="AF164" s="1"/>
      <c r="AG164" s="1"/>
      <c r="AH164" s="1"/>
      <c r="AI164" s="1"/>
      <c r="AJ164" s="18"/>
      <c r="AK164" s="1"/>
    </row>
    <row r="165" spans="1:37" ht="14.25" customHeight="1" x14ac:dyDescent="0.45">
      <c r="A165" s="1"/>
      <c r="B165" s="1"/>
      <c r="C165" s="1"/>
      <c r="D165" s="18"/>
      <c r="E165" s="18"/>
      <c r="F165" s="18"/>
      <c r="G165" s="18"/>
      <c r="H165" s="1"/>
      <c r="I165" s="1"/>
      <c r="J165" s="1"/>
      <c r="K165" s="18"/>
      <c r="L165" s="1"/>
      <c r="M165" s="1"/>
      <c r="N165" s="1"/>
      <c r="O165" s="1"/>
      <c r="P165" s="18"/>
      <c r="Q165" s="1"/>
      <c r="R165" s="1"/>
      <c r="S165" s="1"/>
      <c r="T165" s="1"/>
      <c r="U165" s="18"/>
      <c r="V165" s="1"/>
      <c r="W165" s="1"/>
      <c r="X165" s="1"/>
      <c r="Y165" s="1"/>
      <c r="Z165" s="18"/>
      <c r="AA165" s="1"/>
      <c r="AB165" s="1"/>
      <c r="AC165" s="1"/>
      <c r="AD165" s="1"/>
      <c r="AE165" s="18"/>
      <c r="AF165" s="1"/>
      <c r="AG165" s="1"/>
      <c r="AH165" s="1"/>
      <c r="AI165" s="1"/>
      <c r="AJ165" s="18"/>
      <c r="AK165" s="1"/>
    </row>
    <row r="166" spans="1:37" ht="14.25" customHeight="1" x14ac:dyDescent="0.45">
      <c r="A166" s="1"/>
      <c r="B166" s="1"/>
      <c r="C166" s="1"/>
      <c r="D166" s="18"/>
      <c r="E166" s="18"/>
      <c r="F166" s="18"/>
      <c r="G166" s="18"/>
      <c r="H166" s="1"/>
      <c r="I166" s="1"/>
      <c r="J166" s="1"/>
      <c r="K166" s="18"/>
      <c r="L166" s="1"/>
      <c r="M166" s="1"/>
      <c r="N166" s="1"/>
      <c r="O166" s="1"/>
      <c r="P166" s="18"/>
      <c r="Q166" s="1"/>
      <c r="R166" s="1"/>
      <c r="S166" s="1"/>
      <c r="T166" s="1"/>
      <c r="U166" s="18"/>
      <c r="V166" s="1"/>
      <c r="W166" s="1"/>
      <c r="X166" s="1"/>
      <c r="Y166" s="1"/>
      <c r="Z166" s="18"/>
      <c r="AA166" s="1"/>
      <c r="AB166" s="1"/>
      <c r="AC166" s="1"/>
      <c r="AD166" s="1"/>
      <c r="AE166" s="18"/>
      <c r="AF166" s="1"/>
      <c r="AG166" s="1"/>
      <c r="AH166" s="1"/>
      <c r="AI166" s="1"/>
      <c r="AJ166" s="18"/>
      <c r="AK166" s="1"/>
    </row>
    <row r="167" spans="1:37" ht="14.25" customHeight="1" x14ac:dyDescent="0.45">
      <c r="A167" s="1"/>
      <c r="B167" s="1"/>
      <c r="C167" s="1"/>
      <c r="D167" s="18"/>
      <c r="E167" s="18"/>
      <c r="F167" s="18"/>
      <c r="G167" s="18"/>
      <c r="H167" s="1"/>
      <c r="I167" s="1"/>
      <c r="J167" s="1"/>
      <c r="K167" s="18"/>
      <c r="L167" s="1"/>
      <c r="M167" s="1"/>
      <c r="N167" s="1"/>
      <c r="O167" s="1"/>
      <c r="P167" s="18"/>
      <c r="Q167" s="1"/>
      <c r="R167" s="1"/>
      <c r="S167" s="1"/>
      <c r="T167" s="1"/>
      <c r="U167" s="18"/>
      <c r="V167" s="1"/>
      <c r="W167" s="1"/>
      <c r="X167" s="1"/>
      <c r="Y167" s="1"/>
      <c r="Z167" s="18"/>
      <c r="AA167" s="1"/>
      <c r="AB167" s="1"/>
      <c r="AC167" s="1"/>
      <c r="AD167" s="1"/>
      <c r="AE167" s="18"/>
      <c r="AF167" s="1"/>
      <c r="AG167" s="1"/>
      <c r="AH167" s="1"/>
      <c r="AI167" s="1"/>
      <c r="AJ167" s="18"/>
      <c r="AK167" s="1"/>
    </row>
    <row r="168" spans="1:37" ht="14.25" customHeight="1" x14ac:dyDescent="0.45">
      <c r="A168" s="1"/>
      <c r="B168" s="1"/>
      <c r="C168" s="1"/>
      <c r="D168" s="18"/>
      <c r="E168" s="18"/>
      <c r="F168" s="18"/>
      <c r="G168" s="18"/>
      <c r="H168" s="1"/>
      <c r="I168" s="1"/>
      <c r="J168" s="1"/>
      <c r="K168" s="18"/>
      <c r="L168" s="1"/>
      <c r="M168" s="1"/>
      <c r="N168" s="1"/>
      <c r="O168" s="1"/>
      <c r="P168" s="18"/>
      <c r="Q168" s="1"/>
      <c r="R168" s="1"/>
      <c r="S168" s="1"/>
      <c r="T168" s="1"/>
      <c r="U168" s="18"/>
      <c r="V168" s="1"/>
      <c r="W168" s="1"/>
      <c r="X168" s="1"/>
      <c r="Y168" s="1"/>
      <c r="Z168" s="18"/>
      <c r="AA168" s="1"/>
      <c r="AB168" s="1"/>
      <c r="AC168" s="1"/>
      <c r="AD168" s="1"/>
      <c r="AE168" s="18"/>
      <c r="AF168" s="1"/>
      <c r="AG168" s="1"/>
      <c r="AH168" s="1"/>
      <c r="AI168" s="1"/>
      <c r="AJ168" s="18"/>
      <c r="AK168" s="1"/>
    </row>
    <row r="169" spans="1:37" ht="14.25" customHeight="1" x14ac:dyDescent="0.45">
      <c r="A169" s="1"/>
      <c r="B169" s="1"/>
      <c r="C169" s="1"/>
      <c r="D169" s="18"/>
      <c r="E169" s="18"/>
      <c r="F169" s="18"/>
      <c r="G169" s="18"/>
      <c r="H169" s="1"/>
      <c r="I169" s="1"/>
      <c r="J169" s="1"/>
      <c r="K169" s="18"/>
      <c r="L169" s="1"/>
      <c r="M169" s="1"/>
      <c r="N169" s="1"/>
      <c r="O169" s="1"/>
      <c r="P169" s="18"/>
      <c r="Q169" s="1"/>
      <c r="R169" s="1"/>
      <c r="S169" s="1"/>
      <c r="T169" s="1"/>
      <c r="U169" s="18"/>
      <c r="V169" s="1"/>
      <c r="W169" s="1"/>
      <c r="X169" s="1"/>
      <c r="Y169" s="1"/>
      <c r="Z169" s="18"/>
      <c r="AA169" s="1"/>
      <c r="AB169" s="1"/>
      <c r="AC169" s="1"/>
      <c r="AD169" s="1"/>
      <c r="AE169" s="18"/>
      <c r="AF169" s="1"/>
      <c r="AG169" s="1"/>
      <c r="AH169" s="1"/>
      <c r="AI169" s="1"/>
      <c r="AJ169" s="18"/>
      <c r="AK169" s="1"/>
    </row>
    <row r="170" spans="1:37" ht="14.25" customHeight="1" x14ac:dyDescent="0.45">
      <c r="A170" s="1"/>
      <c r="B170" s="1"/>
      <c r="C170" s="1"/>
      <c r="D170" s="18"/>
      <c r="E170" s="18"/>
      <c r="F170" s="18"/>
      <c r="G170" s="18"/>
      <c r="H170" s="1"/>
      <c r="I170" s="1"/>
      <c r="J170" s="1"/>
      <c r="K170" s="18"/>
      <c r="L170" s="1"/>
      <c r="M170" s="1"/>
      <c r="N170" s="1"/>
      <c r="O170" s="1"/>
      <c r="P170" s="18"/>
      <c r="Q170" s="1"/>
      <c r="R170" s="1"/>
      <c r="S170" s="1"/>
      <c r="T170" s="1"/>
      <c r="U170" s="18"/>
      <c r="V170" s="1"/>
      <c r="W170" s="1"/>
      <c r="X170" s="1"/>
      <c r="Y170" s="1"/>
      <c r="Z170" s="18"/>
      <c r="AA170" s="1"/>
      <c r="AB170" s="1"/>
      <c r="AC170" s="1"/>
      <c r="AD170" s="1"/>
      <c r="AE170" s="18"/>
      <c r="AF170" s="1"/>
      <c r="AG170" s="1"/>
      <c r="AH170" s="1"/>
      <c r="AI170" s="1"/>
      <c r="AJ170" s="18"/>
      <c r="AK170" s="1"/>
    </row>
    <row r="171" spans="1:37" ht="14.25" customHeight="1" x14ac:dyDescent="0.45">
      <c r="A171" s="1"/>
      <c r="B171" s="1"/>
      <c r="C171" s="1"/>
      <c r="D171" s="18"/>
      <c r="E171" s="18"/>
      <c r="F171" s="18"/>
      <c r="G171" s="18"/>
      <c r="H171" s="1"/>
      <c r="I171" s="1"/>
      <c r="J171" s="1"/>
      <c r="K171" s="18"/>
      <c r="L171" s="1"/>
      <c r="M171" s="1"/>
      <c r="N171" s="1"/>
      <c r="O171" s="1"/>
      <c r="P171" s="18"/>
      <c r="Q171" s="1"/>
      <c r="R171" s="1"/>
      <c r="S171" s="1"/>
      <c r="T171" s="1"/>
      <c r="U171" s="18"/>
      <c r="V171" s="1"/>
      <c r="W171" s="1"/>
      <c r="X171" s="1"/>
      <c r="Y171" s="1"/>
      <c r="Z171" s="18"/>
      <c r="AA171" s="1"/>
      <c r="AB171" s="1"/>
      <c r="AC171" s="1"/>
      <c r="AD171" s="1"/>
      <c r="AE171" s="18"/>
      <c r="AF171" s="1"/>
      <c r="AG171" s="1"/>
      <c r="AH171" s="1"/>
      <c r="AI171" s="1"/>
      <c r="AJ171" s="18"/>
      <c r="AK171" s="1"/>
    </row>
    <row r="172" spans="1:37" ht="14.25" customHeight="1" x14ac:dyDescent="0.45">
      <c r="A172" s="1"/>
      <c r="B172" s="1"/>
      <c r="C172" s="1"/>
      <c r="D172" s="18"/>
      <c r="E172" s="18"/>
      <c r="F172" s="18"/>
      <c r="G172" s="18"/>
      <c r="H172" s="1"/>
      <c r="I172" s="1"/>
      <c r="J172" s="1"/>
      <c r="K172" s="18"/>
      <c r="L172" s="1"/>
      <c r="M172" s="1"/>
      <c r="N172" s="1"/>
      <c r="O172" s="1"/>
      <c r="P172" s="18"/>
      <c r="Q172" s="1"/>
      <c r="R172" s="1"/>
      <c r="S172" s="1"/>
      <c r="T172" s="1"/>
      <c r="U172" s="18"/>
      <c r="V172" s="1"/>
      <c r="W172" s="1"/>
      <c r="X172" s="1"/>
      <c r="Y172" s="1"/>
      <c r="Z172" s="18"/>
      <c r="AA172" s="1"/>
      <c r="AB172" s="1"/>
      <c r="AC172" s="1"/>
      <c r="AD172" s="1"/>
      <c r="AE172" s="18"/>
      <c r="AF172" s="1"/>
      <c r="AG172" s="1"/>
      <c r="AH172" s="1"/>
      <c r="AI172" s="1"/>
      <c r="AJ172" s="18"/>
      <c r="AK172" s="1"/>
    </row>
    <row r="173" spans="1:37" ht="14.25" customHeight="1" x14ac:dyDescent="0.45">
      <c r="A173" s="1"/>
      <c r="B173" s="1"/>
      <c r="C173" s="1"/>
      <c r="D173" s="18"/>
      <c r="E173" s="18"/>
      <c r="F173" s="18"/>
      <c r="G173" s="18"/>
      <c r="H173" s="1"/>
      <c r="I173" s="1"/>
      <c r="J173" s="1"/>
      <c r="K173" s="18"/>
      <c r="L173" s="1"/>
      <c r="M173" s="1"/>
      <c r="N173" s="1"/>
      <c r="O173" s="1"/>
      <c r="P173" s="18"/>
      <c r="Q173" s="1"/>
      <c r="R173" s="1"/>
      <c r="S173" s="1"/>
      <c r="T173" s="1"/>
      <c r="U173" s="18"/>
      <c r="V173" s="1"/>
      <c r="W173" s="1"/>
      <c r="X173" s="1"/>
      <c r="Y173" s="1"/>
      <c r="Z173" s="18"/>
      <c r="AA173" s="1"/>
      <c r="AB173" s="1"/>
      <c r="AC173" s="1"/>
      <c r="AD173" s="1"/>
      <c r="AE173" s="18"/>
      <c r="AF173" s="1"/>
      <c r="AG173" s="1"/>
      <c r="AH173" s="1"/>
      <c r="AI173" s="1"/>
      <c r="AJ173" s="18"/>
      <c r="AK173" s="1"/>
    </row>
    <row r="174" spans="1:37" ht="14.25" customHeight="1" x14ac:dyDescent="0.45">
      <c r="A174" s="1"/>
      <c r="B174" s="1"/>
      <c r="C174" s="1"/>
      <c r="D174" s="18"/>
      <c r="E174" s="18"/>
      <c r="F174" s="18"/>
      <c r="G174" s="18"/>
      <c r="H174" s="1"/>
      <c r="I174" s="1"/>
      <c r="J174" s="1"/>
      <c r="K174" s="18"/>
      <c r="L174" s="1"/>
      <c r="M174" s="1"/>
      <c r="N174" s="1"/>
      <c r="O174" s="1"/>
      <c r="P174" s="18"/>
      <c r="Q174" s="1"/>
      <c r="R174" s="1"/>
      <c r="S174" s="1"/>
      <c r="T174" s="1"/>
      <c r="U174" s="18"/>
      <c r="V174" s="1"/>
      <c r="W174" s="1"/>
      <c r="X174" s="1"/>
      <c r="Y174" s="1"/>
      <c r="Z174" s="18"/>
      <c r="AA174" s="1"/>
      <c r="AB174" s="1"/>
      <c r="AC174" s="1"/>
      <c r="AD174" s="1"/>
      <c r="AE174" s="18"/>
      <c r="AF174" s="1"/>
      <c r="AG174" s="1"/>
      <c r="AH174" s="1"/>
      <c r="AI174" s="1"/>
      <c r="AJ174" s="18"/>
      <c r="AK174" s="1"/>
    </row>
    <row r="175" spans="1:37" ht="14.25" customHeight="1" x14ac:dyDescent="0.45">
      <c r="A175" s="1"/>
      <c r="B175" s="1"/>
      <c r="C175" s="1"/>
      <c r="D175" s="18"/>
      <c r="E175" s="18"/>
      <c r="F175" s="18"/>
      <c r="G175" s="18"/>
      <c r="H175" s="1"/>
      <c r="I175" s="1"/>
      <c r="J175" s="1"/>
      <c r="K175" s="18"/>
      <c r="L175" s="1"/>
      <c r="M175" s="1"/>
      <c r="N175" s="1"/>
      <c r="O175" s="1"/>
      <c r="P175" s="18"/>
      <c r="Q175" s="1"/>
      <c r="R175" s="1"/>
      <c r="S175" s="1"/>
      <c r="T175" s="1"/>
      <c r="U175" s="18"/>
      <c r="V175" s="1"/>
      <c r="W175" s="1"/>
      <c r="X175" s="1"/>
      <c r="Y175" s="1"/>
      <c r="Z175" s="18"/>
      <c r="AA175" s="1"/>
      <c r="AB175" s="1"/>
      <c r="AC175" s="1"/>
      <c r="AD175" s="1"/>
      <c r="AE175" s="18"/>
      <c r="AF175" s="1"/>
      <c r="AG175" s="1"/>
      <c r="AH175" s="1"/>
      <c r="AI175" s="1"/>
      <c r="AJ175" s="18"/>
      <c r="AK175" s="1"/>
    </row>
    <row r="176" spans="1:37" ht="14.25" customHeight="1" x14ac:dyDescent="0.45">
      <c r="A176" s="1"/>
      <c r="B176" s="1"/>
      <c r="C176" s="1"/>
      <c r="D176" s="18"/>
      <c r="E176" s="18"/>
      <c r="F176" s="18"/>
      <c r="G176" s="18"/>
      <c r="H176" s="1"/>
      <c r="I176" s="1"/>
      <c r="J176" s="1"/>
      <c r="K176" s="18"/>
      <c r="L176" s="1"/>
      <c r="M176" s="1"/>
      <c r="N176" s="1"/>
      <c r="O176" s="1"/>
      <c r="P176" s="18"/>
      <c r="Q176" s="1"/>
      <c r="R176" s="1"/>
      <c r="S176" s="1"/>
      <c r="T176" s="1"/>
      <c r="U176" s="18"/>
      <c r="V176" s="1"/>
      <c r="W176" s="1"/>
      <c r="X176" s="1"/>
      <c r="Y176" s="1"/>
      <c r="Z176" s="18"/>
      <c r="AA176" s="1"/>
      <c r="AB176" s="1"/>
      <c r="AC176" s="1"/>
      <c r="AD176" s="1"/>
      <c r="AE176" s="18"/>
      <c r="AF176" s="1"/>
      <c r="AG176" s="1"/>
      <c r="AH176" s="1"/>
      <c r="AI176" s="1"/>
      <c r="AJ176" s="18"/>
      <c r="AK176" s="1"/>
    </row>
    <row r="177" spans="1:37" ht="14.25" customHeight="1" x14ac:dyDescent="0.45">
      <c r="A177" s="1"/>
      <c r="B177" s="1"/>
      <c r="C177" s="1"/>
      <c r="D177" s="18"/>
      <c r="E177" s="18"/>
      <c r="F177" s="18"/>
      <c r="G177" s="18"/>
      <c r="H177" s="1"/>
      <c r="I177" s="1"/>
      <c r="J177" s="1"/>
      <c r="K177" s="18"/>
      <c r="L177" s="1"/>
      <c r="M177" s="1"/>
      <c r="N177" s="1"/>
      <c r="O177" s="1"/>
      <c r="P177" s="18"/>
      <c r="Q177" s="1"/>
      <c r="R177" s="1"/>
      <c r="S177" s="1"/>
      <c r="T177" s="1"/>
      <c r="U177" s="18"/>
      <c r="V177" s="1"/>
      <c r="W177" s="1"/>
      <c r="X177" s="1"/>
      <c r="Y177" s="1"/>
      <c r="Z177" s="18"/>
      <c r="AA177" s="1"/>
      <c r="AB177" s="1"/>
      <c r="AC177" s="1"/>
      <c r="AD177" s="1"/>
      <c r="AE177" s="18"/>
      <c r="AF177" s="1"/>
      <c r="AG177" s="1"/>
      <c r="AH177" s="1"/>
      <c r="AI177" s="1"/>
      <c r="AJ177" s="18"/>
      <c r="AK177" s="1"/>
    </row>
    <row r="178" spans="1:37" ht="14.25" customHeight="1" x14ac:dyDescent="0.45">
      <c r="A178" s="1"/>
      <c r="B178" s="1"/>
      <c r="C178" s="1"/>
      <c r="D178" s="18"/>
      <c r="E178" s="18"/>
      <c r="F178" s="18"/>
      <c r="G178" s="18"/>
      <c r="H178" s="1"/>
      <c r="I178" s="1"/>
      <c r="J178" s="1"/>
      <c r="K178" s="18"/>
      <c r="L178" s="1"/>
      <c r="M178" s="1"/>
      <c r="N178" s="1"/>
      <c r="O178" s="1"/>
      <c r="P178" s="18"/>
      <c r="Q178" s="1"/>
      <c r="R178" s="1"/>
      <c r="S178" s="1"/>
      <c r="T178" s="1"/>
      <c r="U178" s="18"/>
      <c r="V178" s="1"/>
      <c r="W178" s="1"/>
      <c r="X178" s="1"/>
      <c r="Y178" s="1"/>
      <c r="Z178" s="18"/>
      <c r="AA178" s="1"/>
      <c r="AB178" s="1"/>
      <c r="AC178" s="1"/>
      <c r="AD178" s="1"/>
      <c r="AE178" s="18"/>
      <c r="AF178" s="1"/>
      <c r="AG178" s="1"/>
      <c r="AH178" s="1"/>
      <c r="AI178" s="1"/>
      <c r="AJ178" s="18"/>
      <c r="AK178" s="1"/>
    </row>
    <row r="179" spans="1:37" ht="14.25" customHeight="1" x14ac:dyDescent="0.45">
      <c r="A179" s="1"/>
      <c r="B179" s="1"/>
      <c r="C179" s="1"/>
      <c r="D179" s="18"/>
      <c r="E179" s="18"/>
      <c r="F179" s="18"/>
      <c r="G179" s="18"/>
      <c r="H179" s="1"/>
      <c r="I179" s="1"/>
      <c r="J179" s="1"/>
      <c r="K179" s="18"/>
      <c r="L179" s="1"/>
      <c r="M179" s="1"/>
      <c r="N179" s="1"/>
      <c r="O179" s="1"/>
      <c r="P179" s="18"/>
      <c r="Q179" s="1"/>
      <c r="R179" s="1"/>
      <c r="S179" s="1"/>
      <c r="T179" s="1"/>
      <c r="U179" s="18"/>
      <c r="V179" s="1"/>
      <c r="W179" s="1"/>
      <c r="X179" s="1"/>
      <c r="Y179" s="1"/>
      <c r="Z179" s="18"/>
      <c r="AA179" s="1"/>
      <c r="AB179" s="1"/>
      <c r="AC179" s="1"/>
      <c r="AD179" s="1"/>
      <c r="AE179" s="18"/>
      <c r="AF179" s="1"/>
      <c r="AG179" s="1"/>
      <c r="AH179" s="1"/>
      <c r="AI179" s="1"/>
      <c r="AJ179" s="18"/>
      <c r="AK179" s="1"/>
    </row>
    <row r="180" spans="1:37" ht="14.25" customHeight="1" x14ac:dyDescent="0.45">
      <c r="A180" s="1"/>
      <c r="B180" s="1"/>
      <c r="C180" s="1"/>
      <c r="D180" s="18"/>
      <c r="E180" s="18"/>
      <c r="F180" s="18"/>
      <c r="G180" s="18"/>
      <c r="H180" s="1"/>
      <c r="I180" s="1"/>
      <c r="J180" s="1"/>
      <c r="K180" s="18"/>
      <c r="L180" s="1"/>
      <c r="M180" s="1"/>
      <c r="N180" s="1"/>
      <c r="O180" s="1"/>
      <c r="P180" s="18"/>
      <c r="Q180" s="1"/>
      <c r="R180" s="1"/>
      <c r="S180" s="1"/>
      <c r="T180" s="1"/>
      <c r="U180" s="18"/>
      <c r="V180" s="1"/>
      <c r="W180" s="1"/>
      <c r="X180" s="1"/>
      <c r="Y180" s="1"/>
      <c r="Z180" s="18"/>
      <c r="AA180" s="1"/>
      <c r="AB180" s="1"/>
      <c r="AC180" s="1"/>
      <c r="AD180" s="1"/>
      <c r="AE180" s="18"/>
      <c r="AF180" s="1"/>
      <c r="AG180" s="1"/>
      <c r="AH180" s="1"/>
      <c r="AI180" s="1"/>
      <c r="AJ180" s="18"/>
      <c r="AK180" s="1"/>
    </row>
    <row r="181" spans="1:37" ht="14.25" customHeight="1" x14ac:dyDescent="0.45">
      <c r="A181" s="1"/>
      <c r="B181" s="1"/>
      <c r="C181" s="1"/>
      <c r="D181" s="18"/>
      <c r="E181" s="18"/>
      <c r="F181" s="18"/>
      <c r="G181" s="18"/>
      <c r="H181" s="1"/>
      <c r="I181" s="1"/>
      <c r="J181" s="1"/>
      <c r="K181" s="18"/>
      <c r="L181" s="1"/>
      <c r="M181" s="1"/>
      <c r="N181" s="1"/>
      <c r="O181" s="1"/>
      <c r="P181" s="18"/>
      <c r="Q181" s="1"/>
      <c r="R181" s="1"/>
      <c r="S181" s="1"/>
      <c r="T181" s="1"/>
      <c r="U181" s="18"/>
      <c r="V181" s="1"/>
      <c r="W181" s="1"/>
      <c r="X181" s="1"/>
      <c r="Y181" s="1"/>
      <c r="Z181" s="18"/>
      <c r="AA181" s="1"/>
      <c r="AB181" s="1"/>
      <c r="AC181" s="1"/>
      <c r="AD181" s="1"/>
      <c r="AE181" s="18"/>
      <c r="AF181" s="1"/>
      <c r="AG181" s="1"/>
      <c r="AH181" s="1"/>
      <c r="AI181" s="1"/>
      <c r="AJ181" s="18"/>
      <c r="AK181" s="1"/>
    </row>
    <row r="182" spans="1:37" ht="14.25" customHeight="1" x14ac:dyDescent="0.45">
      <c r="A182" s="1"/>
      <c r="B182" s="1"/>
      <c r="C182" s="1"/>
      <c r="D182" s="18"/>
      <c r="E182" s="18"/>
      <c r="F182" s="18"/>
      <c r="G182" s="18"/>
      <c r="H182" s="1"/>
      <c r="I182" s="1"/>
      <c r="J182" s="1"/>
      <c r="K182" s="18"/>
      <c r="L182" s="1"/>
      <c r="M182" s="1"/>
      <c r="N182" s="1"/>
      <c r="O182" s="1"/>
      <c r="P182" s="18"/>
      <c r="Q182" s="1"/>
      <c r="R182" s="1"/>
      <c r="S182" s="1"/>
      <c r="T182" s="1"/>
      <c r="U182" s="18"/>
      <c r="V182" s="1"/>
      <c r="W182" s="1"/>
      <c r="X182" s="1"/>
      <c r="Y182" s="1"/>
      <c r="Z182" s="18"/>
      <c r="AA182" s="1"/>
      <c r="AB182" s="1"/>
      <c r="AC182" s="1"/>
      <c r="AD182" s="1"/>
      <c r="AE182" s="18"/>
      <c r="AF182" s="1"/>
      <c r="AG182" s="1"/>
      <c r="AH182" s="1"/>
      <c r="AI182" s="1"/>
      <c r="AJ182" s="18"/>
      <c r="AK182" s="1"/>
    </row>
    <row r="183" spans="1:37" ht="14.25" customHeight="1" x14ac:dyDescent="0.45">
      <c r="A183" s="1"/>
      <c r="B183" s="1"/>
      <c r="C183" s="1"/>
      <c r="D183" s="18"/>
      <c r="E183" s="18"/>
      <c r="F183" s="18"/>
      <c r="G183" s="18"/>
      <c r="H183" s="1"/>
      <c r="I183" s="1"/>
      <c r="J183" s="1"/>
      <c r="K183" s="18"/>
      <c r="L183" s="1"/>
      <c r="M183" s="1"/>
      <c r="N183" s="1"/>
      <c r="O183" s="1"/>
      <c r="P183" s="18"/>
      <c r="Q183" s="1"/>
      <c r="R183" s="1"/>
      <c r="S183" s="1"/>
      <c r="T183" s="1"/>
      <c r="U183" s="18"/>
      <c r="V183" s="1"/>
      <c r="W183" s="1"/>
      <c r="X183" s="1"/>
      <c r="Y183" s="1"/>
      <c r="Z183" s="18"/>
      <c r="AA183" s="1"/>
      <c r="AB183" s="1"/>
      <c r="AC183" s="1"/>
      <c r="AD183" s="1"/>
      <c r="AE183" s="18"/>
      <c r="AF183" s="1"/>
      <c r="AG183" s="1"/>
      <c r="AH183" s="1"/>
      <c r="AI183" s="1"/>
      <c r="AJ183" s="18"/>
      <c r="AK183" s="1"/>
    </row>
    <row r="184" spans="1:37" ht="14.25" customHeight="1" x14ac:dyDescent="0.45">
      <c r="A184" s="1"/>
      <c r="B184" s="1"/>
      <c r="C184" s="1"/>
      <c r="D184" s="18"/>
      <c r="E184" s="18"/>
      <c r="F184" s="18"/>
      <c r="G184" s="18"/>
      <c r="H184" s="1"/>
      <c r="I184" s="1"/>
      <c r="J184" s="1"/>
      <c r="K184" s="18"/>
      <c r="L184" s="1"/>
      <c r="M184" s="1"/>
      <c r="N184" s="1"/>
      <c r="O184" s="1"/>
      <c r="P184" s="18"/>
      <c r="Q184" s="1"/>
      <c r="R184" s="1"/>
      <c r="S184" s="1"/>
      <c r="T184" s="1"/>
      <c r="U184" s="18"/>
      <c r="V184" s="1"/>
      <c r="W184" s="1"/>
      <c r="X184" s="1"/>
      <c r="Y184" s="1"/>
      <c r="Z184" s="18"/>
      <c r="AA184" s="1"/>
      <c r="AB184" s="1"/>
      <c r="AC184" s="1"/>
      <c r="AD184" s="1"/>
      <c r="AE184" s="18"/>
      <c r="AF184" s="1"/>
      <c r="AG184" s="1"/>
      <c r="AH184" s="1"/>
      <c r="AI184" s="1"/>
      <c r="AJ184" s="18"/>
      <c r="AK184" s="1"/>
    </row>
    <row r="185" spans="1:37" ht="14.25" customHeight="1" x14ac:dyDescent="0.45">
      <c r="A185" s="1"/>
      <c r="B185" s="1"/>
      <c r="C185" s="1"/>
      <c r="D185" s="18"/>
      <c r="E185" s="18"/>
      <c r="F185" s="18"/>
      <c r="G185" s="18"/>
      <c r="H185" s="1"/>
      <c r="I185" s="1"/>
      <c r="J185" s="1"/>
      <c r="K185" s="18"/>
      <c r="L185" s="1"/>
      <c r="M185" s="1"/>
      <c r="N185" s="1"/>
      <c r="O185" s="1"/>
      <c r="P185" s="18"/>
      <c r="Q185" s="1"/>
      <c r="R185" s="1"/>
      <c r="S185" s="1"/>
      <c r="T185" s="1"/>
      <c r="U185" s="18"/>
      <c r="V185" s="1"/>
      <c r="W185" s="1"/>
      <c r="X185" s="1"/>
      <c r="Y185" s="1"/>
      <c r="Z185" s="18"/>
      <c r="AA185" s="1"/>
      <c r="AB185" s="1"/>
      <c r="AC185" s="1"/>
      <c r="AD185" s="1"/>
      <c r="AE185" s="18"/>
      <c r="AF185" s="1"/>
      <c r="AG185" s="1"/>
      <c r="AH185" s="1"/>
      <c r="AI185" s="1"/>
      <c r="AJ185" s="18"/>
      <c r="AK185" s="1"/>
    </row>
    <row r="186" spans="1:37" ht="14.25" customHeight="1" x14ac:dyDescent="0.45">
      <c r="A186" s="1"/>
      <c r="B186" s="1"/>
      <c r="C186" s="1"/>
      <c r="D186" s="18"/>
      <c r="E186" s="18"/>
      <c r="F186" s="18"/>
      <c r="G186" s="18"/>
      <c r="H186" s="1"/>
      <c r="I186" s="1"/>
      <c r="J186" s="1"/>
      <c r="K186" s="18"/>
      <c r="L186" s="1"/>
      <c r="M186" s="1"/>
      <c r="N186" s="1"/>
      <c r="O186" s="1"/>
      <c r="P186" s="18"/>
      <c r="Q186" s="1"/>
      <c r="R186" s="1"/>
      <c r="S186" s="1"/>
      <c r="T186" s="1"/>
      <c r="U186" s="18"/>
      <c r="V186" s="1"/>
      <c r="W186" s="1"/>
      <c r="X186" s="1"/>
      <c r="Y186" s="1"/>
      <c r="Z186" s="18"/>
      <c r="AA186" s="1"/>
      <c r="AB186" s="1"/>
      <c r="AC186" s="1"/>
      <c r="AD186" s="1"/>
      <c r="AE186" s="18"/>
      <c r="AF186" s="1"/>
      <c r="AG186" s="1"/>
      <c r="AH186" s="1"/>
      <c r="AI186" s="1"/>
      <c r="AJ186" s="18"/>
      <c r="AK186" s="1"/>
    </row>
    <row r="187" spans="1:37" ht="14.25" customHeight="1" x14ac:dyDescent="0.45">
      <c r="A187" s="1"/>
      <c r="B187" s="1"/>
      <c r="C187" s="1"/>
      <c r="D187" s="18"/>
      <c r="E187" s="18"/>
      <c r="F187" s="18"/>
      <c r="G187" s="18"/>
      <c r="H187" s="1"/>
      <c r="I187" s="1"/>
      <c r="J187" s="1"/>
      <c r="K187" s="18"/>
      <c r="L187" s="1"/>
      <c r="M187" s="1"/>
      <c r="N187" s="1"/>
      <c r="O187" s="1"/>
      <c r="P187" s="18"/>
      <c r="Q187" s="1"/>
      <c r="R187" s="1"/>
      <c r="S187" s="1"/>
      <c r="T187" s="1"/>
      <c r="U187" s="18"/>
      <c r="V187" s="1"/>
      <c r="W187" s="1"/>
      <c r="X187" s="1"/>
      <c r="Y187" s="1"/>
      <c r="Z187" s="18"/>
      <c r="AA187" s="1"/>
      <c r="AB187" s="1"/>
      <c r="AC187" s="1"/>
      <c r="AD187" s="1"/>
      <c r="AE187" s="18"/>
      <c r="AF187" s="1"/>
      <c r="AG187" s="1"/>
      <c r="AH187" s="1"/>
      <c r="AI187" s="1"/>
      <c r="AJ187" s="18"/>
      <c r="AK187" s="1"/>
    </row>
    <row r="188" spans="1:37" ht="14.25" customHeight="1" x14ac:dyDescent="0.45">
      <c r="A188" s="1"/>
      <c r="B188" s="1"/>
      <c r="C188" s="1"/>
      <c r="D188" s="18"/>
      <c r="E188" s="18"/>
      <c r="F188" s="18"/>
      <c r="G188" s="18"/>
      <c r="H188" s="1"/>
      <c r="I188" s="1"/>
      <c r="J188" s="1"/>
      <c r="K188" s="18"/>
      <c r="L188" s="1"/>
      <c r="M188" s="1"/>
      <c r="N188" s="1"/>
      <c r="O188" s="1"/>
      <c r="P188" s="18"/>
      <c r="Q188" s="1"/>
      <c r="R188" s="1"/>
      <c r="S188" s="1"/>
      <c r="T188" s="1"/>
      <c r="U188" s="18"/>
      <c r="V188" s="1"/>
      <c r="W188" s="1"/>
      <c r="X188" s="1"/>
      <c r="Y188" s="1"/>
      <c r="Z188" s="18"/>
      <c r="AA188" s="1"/>
      <c r="AB188" s="1"/>
      <c r="AC188" s="1"/>
      <c r="AD188" s="1"/>
      <c r="AE188" s="18"/>
      <c r="AF188" s="1"/>
      <c r="AG188" s="1"/>
      <c r="AH188" s="1"/>
      <c r="AI188" s="1"/>
      <c r="AJ188" s="18"/>
      <c r="AK188" s="1"/>
    </row>
    <row r="189" spans="1:37" ht="14.25" customHeight="1" x14ac:dyDescent="0.45">
      <c r="A189" s="1"/>
      <c r="B189" s="1"/>
      <c r="C189" s="1"/>
      <c r="D189" s="18"/>
      <c r="E189" s="18"/>
      <c r="F189" s="18"/>
      <c r="G189" s="18"/>
      <c r="H189" s="1"/>
      <c r="I189" s="1"/>
      <c r="J189" s="1"/>
      <c r="K189" s="18"/>
      <c r="L189" s="1"/>
      <c r="M189" s="1"/>
      <c r="N189" s="1"/>
      <c r="O189" s="1"/>
      <c r="P189" s="18"/>
      <c r="Q189" s="1"/>
      <c r="R189" s="1"/>
      <c r="S189" s="1"/>
      <c r="T189" s="1"/>
      <c r="U189" s="18"/>
      <c r="V189" s="1"/>
      <c r="W189" s="1"/>
      <c r="X189" s="1"/>
      <c r="Y189" s="1"/>
      <c r="Z189" s="18"/>
      <c r="AA189" s="1"/>
      <c r="AB189" s="1"/>
      <c r="AC189" s="1"/>
      <c r="AD189" s="1"/>
      <c r="AE189" s="18"/>
      <c r="AF189" s="1"/>
      <c r="AG189" s="1"/>
      <c r="AH189" s="1"/>
      <c r="AI189" s="1"/>
      <c r="AJ189" s="18"/>
      <c r="AK189" s="1"/>
    </row>
    <row r="190" spans="1:37" ht="14.25" customHeight="1" x14ac:dyDescent="0.45">
      <c r="A190" s="1"/>
      <c r="B190" s="1"/>
      <c r="C190" s="1"/>
      <c r="D190" s="18"/>
      <c r="E190" s="18"/>
      <c r="F190" s="18"/>
      <c r="G190" s="18"/>
      <c r="H190" s="1"/>
      <c r="I190" s="1"/>
      <c r="J190" s="1"/>
      <c r="K190" s="18"/>
      <c r="L190" s="1"/>
      <c r="M190" s="1"/>
      <c r="N190" s="1"/>
      <c r="O190" s="1"/>
      <c r="P190" s="18"/>
      <c r="Q190" s="1"/>
      <c r="R190" s="1"/>
      <c r="S190" s="1"/>
      <c r="T190" s="1"/>
      <c r="U190" s="18"/>
      <c r="V190" s="1"/>
      <c r="W190" s="1"/>
      <c r="X190" s="1"/>
      <c r="Y190" s="1"/>
      <c r="Z190" s="18"/>
      <c r="AA190" s="1"/>
      <c r="AB190" s="1"/>
      <c r="AC190" s="1"/>
      <c r="AD190" s="1"/>
      <c r="AE190" s="18"/>
      <c r="AF190" s="1"/>
      <c r="AG190" s="1"/>
      <c r="AH190" s="1"/>
      <c r="AI190" s="1"/>
      <c r="AJ190" s="18"/>
      <c r="AK190" s="1"/>
    </row>
    <row r="191" spans="1:37" ht="14.25" customHeight="1" x14ac:dyDescent="0.45">
      <c r="A191" s="1"/>
      <c r="B191" s="1"/>
      <c r="C191" s="1"/>
      <c r="D191" s="18"/>
      <c r="E191" s="18"/>
      <c r="F191" s="18"/>
      <c r="G191" s="18"/>
      <c r="H191" s="1"/>
      <c r="I191" s="1"/>
      <c r="J191" s="1"/>
      <c r="K191" s="18"/>
      <c r="L191" s="1"/>
      <c r="M191" s="1"/>
      <c r="N191" s="1"/>
      <c r="O191" s="1"/>
      <c r="P191" s="18"/>
      <c r="Q191" s="1"/>
      <c r="R191" s="1"/>
      <c r="S191" s="1"/>
      <c r="T191" s="1"/>
      <c r="U191" s="18"/>
      <c r="V191" s="1"/>
      <c r="W191" s="1"/>
      <c r="X191" s="1"/>
      <c r="Y191" s="1"/>
      <c r="Z191" s="18"/>
      <c r="AA191" s="1"/>
      <c r="AB191" s="1"/>
      <c r="AC191" s="1"/>
      <c r="AD191" s="1"/>
      <c r="AE191" s="18"/>
      <c r="AF191" s="1"/>
      <c r="AG191" s="1"/>
      <c r="AH191" s="1"/>
      <c r="AI191" s="1"/>
      <c r="AJ191" s="18"/>
      <c r="AK191" s="1"/>
    </row>
    <row r="192" spans="1:37" ht="14.25" customHeight="1" x14ac:dyDescent="0.45">
      <c r="A192" s="1"/>
      <c r="B192" s="1"/>
      <c r="C192" s="1"/>
      <c r="D192" s="18"/>
      <c r="E192" s="18"/>
      <c r="F192" s="18"/>
      <c r="G192" s="18"/>
      <c r="H192" s="1"/>
      <c r="I192" s="1"/>
      <c r="J192" s="1"/>
      <c r="K192" s="18"/>
      <c r="L192" s="1"/>
      <c r="M192" s="1"/>
      <c r="N192" s="1"/>
      <c r="O192" s="1"/>
      <c r="P192" s="18"/>
      <c r="Q192" s="1"/>
      <c r="R192" s="1"/>
      <c r="S192" s="1"/>
      <c r="T192" s="1"/>
      <c r="U192" s="18"/>
      <c r="V192" s="1"/>
      <c r="W192" s="1"/>
      <c r="X192" s="1"/>
      <c r="Y192" s="1"/>
      <c r="Z192" s="18"/>
      <c r="AA192" s="1"/>
      <c r="AB192" s="1"/>
      <c r="AC192" s="1"/>
      <c r="AD192" s="1"/>
      <c r="AE192" s="18"/>
      <c r="AF192" s="1"/>
      <c r="AG192" s="1"/>
      <c r="AH192" s="1"/>
      <c r="AI192" s="1"/>
      <c r="AJ192" s="18"/>
      <c r="AK192" s="1"/>
    </row>
    <row r="193" spans="1:37" ht="14.25" customHeight="1" x14ac:dyDescent="0.45">
      <c r="A193" s="1"/>
      <c r="B193" s="1"/>
      <c r="C193" s="1"/>
      <c r="D193" s="18"/>
      <c r="E193" s="18"/>
      <c r="F193" s="18"/>
      <c r="G193" s="18"/>
      <c r="H193" s="1"/>
      <c r="I193" s="1"/>
      <c r="J193" s="1"/>
      <c r="K193" s="18"/>
      <c r="L193" s="1"/>
      <c r="M193" s="1"/>
      <c r="N193" s="1"/>
      <c r="O193" s="1"/>
      <c r="P193" s="18"/>
      <c r="Q193" s="1"/>
      <c r="R193" s="1"/>
      <c r="S193" s="1"/>
      <c r="T193" s="1"/>
      <c r="U193" s="18"/>
      <c r="V193" s="1"/>
      <c r="W193" s="1"/>
      <c r="X193" s="1"/>
      <c r="Y193" s="1"/>
      <c r="Z193" s="18"/>
      <c r="AA193" s="1"/>
      <c r="AB193" s="1"/>
      <c r="AC193" s="1"/>
      <c r="AD193" s="1"/>
      <c r="AE193" s="18"/>
      <c r="AF193" s="1"/>
      <c r="AG193" s="1"/>
      <c r="AH193" s="1"/>
      <c r="AI193" s="1"/>
      <c r="AJ193" s="18"/>
      <c r="AK193" s="1"/>
    </row>
    <row r="194" spans="1:37" ht="14.25" customHeight="1" x14ac:dyDescent="0.45">
      <c r="A194" s="1"/>
      <c r="B194" s="1"/>
      <c r="C194" s="1"/>
      <c r="D194" s="18"/>
      <c r="E194" s="18"/>
      <c r="F194" s="18"/>
      <c r="G194" s="18"/>
      <c r="H194" s="1"/>
      <c r="I194" s="1"/>
      <c r="J194" s="1"/>
      <c r="K194" s="18"/>
      <c r="L194" s="1"/>
      <c r="M194" s="1"/>
      <c r="N194" s="1"/>
      <c r="O194" s="1"/>
      <c r="P194" s="18"/>
      <c r="Q194" s="1"/>
      <c r="R194" s="1"/>
      <c r="S194" s="1"/>
      <c r="T194" s="1"/>
      <c r="U194" s="18"/>
      <c r="V194" s="1"/>
      <c r="W194" s="1"/>
      <c r="X194" s="1"/>
      <c r="Y194" s="1"/>
      <c r="Z194" s="18"/>
      <c r="AA194" s="1"/>
      <c r="AB194" s="1"/>
      <c r="AC194" s="1"/>
      <c r="AD194" s="1"/>
      <c r="AE194" s="18"/>
      <c r="AF194" s="1"/>
      <c r="AG194" s="1"/>
      <c r="AH194" s="1"/>
      <c r="AI194" s="1"/>
      <c r="AJ194" s="18"/>
      <c r="AK194" s="1"/>
    </row>
    <row r="195" spans="1:37" ht="14.25" customHeight="1" x14ac:dyDescent="0.45">
      <c r="A195" s="1"/>
      <c r="B195" s="1"/>
      <c r="C195" s="1"/>
      <c r="D195" s="18"/>
      <c r="E195" s="18"/>
      <c r="F195" s="18"/>
      <c r="G195" s="18"/>
      <c r="H195" s="1"/>
      <c r="I195" s="1"/>
      <c r="J195" s="1"/>
      <c r="K195" s="18"/>
      <c r="L195" s="1"/>
      <c r="M195" s="1"/>
      <c r="N195" s="1"/>
      <c r="O195" s="1"/>
      <c r="P195" s="18"/>
      <c r="Q195" s="1"/>
      <c r="R195" s="1"/>
      <c r="S195" s="1"/>
      <c r="T195" s="1"/>
      <c r="U195" s="18"/>
      <c r="V195" s="1"/>
      <c r="W195" s="1"/>
      <c r="X195" s="1"/>
      <c r="Y195" s="1"/>
      <c r="Z195" s="18"/>
      <c r="AA195" s="1"/>
      <c r="AB195" s="1"/>
      <c r="AC195" s="1"/>
      <c r="AD195" s="1"/>
      <c r="AE195" s="18"/>
      <c r="AF195" s="1"/>
      <c r="AG195" s="1"/>
      <c r="AH195" s="1"/>
      <c r="AI195" s="1"/>
      <c r="AJ195" s="18"/>
      <c r="AK195" s="1"/>
    </row>
    <row r="196" spans="1:37" ht="14.25" customHeight="1" x14ac:dyDescent="0.45">
      <c r="A196" s="1"/>
      <c r="B196" s="1"/>
      <c r="C196" s="1"/>
      <c r="D196" s="18"/>
      <c r="E196" s="18"/>
      <c r="F196" s="18"/>
      <c r="G196" s="18"/>
      <c r="H196" s="1"/>
      <c r="I196" s="1"/>
      <c r="J196" s="1"/>
      <c r="K196" s="18"/>
      <c r="L196" s="1"/>
      <c r="M196" s="1"/>
      <c r="N196" s="1"/>
      <c r="O196" s="1"/>
      <c r="P196" s="18"/>
      <c r="Q196" s="1"/>
      <c r="R196" s="1"/>
      <c r="S196" s="1"/>
      <c r="T196" s="1"/>
      <c r="U196" s="18"/>
      <c r="V196" s="1"/>
      <c r="W196" s="1"/>
      <c r="X196" s="1"/>
      <c r="Y196" s="1"/>
      <c r="Z196" s="18"/>
      <c r="AA196" s="1"/>
      <c r="AB196" s="1"/>
      <c r="AC196" s="1"/>
      <c r="AD196" s="1"/>
      <c r="AE196" s="18"/>
      <c r="AF196" s="1"/>
      <c r="AG196" s="1"/>
      <c r="AH196" s="1"/>
      <c r="AI196" s="1"/>
      <c r="AJ196" s="18"/>
      <c r="AK196" s="1"/>
    </row>
    <row r="197" spans="1:37" ht="14.25" customHeight="1" x14ac:dyDescent="0.45">
      <c r="A197" s="1"/>
      <c r="B197" s="1"/>
      <c r="C197" s="1"/>
      <c r="D197" s="18"/>
      <c r="E197" s="18"/>
      <c r="F197" s="18"/>
      <c r="G197" s="18"/>
      <c r="H197" s="1"/>
      <c r="I197" s="1"/>
      <c r="J197" s="1"/>
      <c r="K197" s="18"/>
      <c r="L197" s="1"/>
      <c r="M197" s="1"/>
      <c r="N197" s="1"/>
      <c r="O197" s="1"/>
      <c r="P197" s="18"/>
      <c r="Q197" s="1"/>
      <c r="R197" s="1"/>
      <c r="S197" s="1"/>
      <c r="T197" s="1"/>
      <c r="U197" s="18"/>
      <c r="V197" s="1"/>
      <c r="W197" s="1"/>
      <c r="X197" s="1"/>
      <c r="Y197" s="1"/>
      <c r="Z197" s="18"/>
      <c r="AA197" s="1"/>
      <c r="AB197" s="1"/>
      <c r="AC197" s="1"/>
      <c r="AD197" s="1"/>
      <c r="AE197" s="18"/>
      <c r="AF197" s="1"/>
      <c r="AG197" s="1"/>
      <c r="AH197" s="1"/>
      <c r="AI197" s="1"/>
      <c r="AJ197" s="18"/>
      <c r="AK197" s="1"/>
    </row>
    <row r="198" spans="1:37" ht="14.25" customHeight="1" x14ac:dyDescent="0.45">
      <c r="A198" s="1"/>
      <c r="B198" s="1"/>
      <c r="C198" s="1"/>
      <c r="D198" s="18"/>
      <c r="E198" s="18"/>
      <c r="F198" s="18"/>
      <c r="G198" s="18"/>
      <c r="H198" s="1"/>
      <c r="I198" s="1"/>
      <c r="J198" s="1"/>
      <c r="K198" s="18"/>
      <c r="L198" s="1"/>
      <c r="M198" s="1"/>
      <c r="N198" s="1"/>
      <c r="O198" s="1"/>
      <c r="P198" s="18"/>
      <c r="Q198" s="1"/>
      <c r="R198" s="1"/>
      <c r="S198" s="1"/>
      <c r="T198" s="1"/>
      <c r="U198" s="18"/>
      <c r="V198" s="1"/>
      <c r="W198" s="1"/>
      <c r="X198" s="1"/>
      <c r="Y198" s="1"/>
      <c r="Z198" s="18"/>
      <c r="AA198" s="1"/>
      <c r="AB198" s="1"/>
      <c r="AC198" s="1"/>
      <c r="AD198" s="1"/>
      <c r="AE198" s="18"/>
      <c r="AF198" s="1"/>
      <c r="AG198" s="1"/>
      <c r="AH198" s="1"/>
      <c r="AI198" s="1"/>
      <c r="AJ198" s="18"/>
      <c r="AK198" s="1"/>
    </row>
    <row r="199" spans="1:37" ht="14.25" customHeight="1" x14ac:dyDescent="0.45">
      <c r="A199" s="1"/>
      <c r="B199" s="1"/>
      <c r="C199" s="1"/>
      <c r="D199" s="18"/>
      <c r="E199" s="18"/>
      <c r="F199" s="18"/>
      <c r="G199" s="18"/>
      <c r="H199" s="1"/>
      <c r="I199" s="1"/>
      <c r="J199" s="1"/>
      <c r="K199" s="18"/>
      <c r="L199" s="1"/>
      <c r="M199" s="1"/>
      <c r="N199" s="1"/>
      <c r="O199" s="1"/>
      <c r="P199" s="18"/>
      <c r="Q199" s="1"/>
      <c r="R199" s="1"/>
      <c r="S199" s="1"/>
      <c r="T199" s="1"/>
      <c r="U199" s="18"/>
      <c r="V199" s="1"/>
      <c r="W199" s="1"/>
      <c r="X199" s="1"/>
      <c r="Y199" s="1"/>
      <c r="Z199" s="18"/>
      <c r="AA199" s="1"/>
      <c r="AB199" s="1"/>
      <c r="AC199" s="1"/>
      <c r="AD199" s="1"/>
      <c r="AE199" s="18"/>
      <c r="AF199" s="1"/>
      <c r="AG199" s="1"/>
      <c r="AH199" s="1"/>
      <c r="AI199" s="1"/>
      <c r="AJ199" s="18"/>
      <c r="AK199" s="1"/>
    </row>
    <row r="200" spans="1:37" ht="14.25" customHeight="1" x14ac:dyDescent="0.45">
      <c r="A200" s="1"/>
      <c r="B200" s="1"/>
      <c r="C200" s="1"/>
      <c r="D200" s="18"/>
      <c r="E200" s="18"/>
      <c r="F200" s="18"/>
      <c r="G200" s="18"/>
      <c r="H200" s="1"/>
      <c r="I200" s="1"/>
      <c r="J200" s="1"/>
      <c r="K200" s="18"/>
      <c r="L200" s="1"/>
      <c r="M200" s="1"/>
      <c r="N200" s="1"/>
      <c r="O200" s="1"/>
      <c r="P200" s="18"/>
      <c r="Q200" s="1"/>
      <c r="R200" s="1"/>
      <c r="S200" s="1"/>
      <c r="T200" s="1"/>
      <c r="U200" s="18"/>
      <c r="V200" s="1"/>
      <c r="W200" s="1"/>
      <c r="X200" s="1"/>
      <c r="Y200" s="1"/>
      <c r="Z200" s="18"/>
      <c r="AA200" s="1"/>
      <c r="AB200" s="1"/>
      <c r="AC200" s="1"/>
      <c r="AD200" s="1"/>
      <c r="AE200" s="18"/>
      <c r="AF200" s="1"/>
      <c r="AG200" s="1"/>
      <c r="AH200" s="1"/>
      <c r="AI200" s="1"/>
      <c r="AJ200" s="18"/>
      <c r="AK200" s="1"/>
    </row>
    <row r="201" spans="1:37" ht="14.25" customHeight="1" x14ac:dyDescent="0.45">
      <c r="A201" s="1"/>
      <c r="B201" s="1"/>
      <c r="C201" s="1"/>
      <c r="D201" s="18"/>
      <c r="E201" s="18"/>
      <c r="F201" s="18"/>
      <c r="G201" s="18"/>
      <c r="H201" s="1"/>
      <c r="I201" s="1"/>
      <c r="J201" s="1"/>
      <c r="K201" s="18"/>
      <c r="L201" s="1"/>
      <c r="M201" s="1"/>
      <c r="N201" s="1"/>
      <c r="O201" s="1"/>
      <c r="P201" s="18"/>
      <c r="Q201" s="1"/>
      <c r="R201" s="1"/>
      <c r="S201" s="1"/>
      <c r="T201" s="1"/>
      <c r="U201" s="18"/>
      <c r="V201" s="1"/>
      <c r="W201" s="1"/>
      <c r="X201" s="1"/>
      <c r="Y201" s="1"/>
      <c r="Z201" s="18"/>
      <c r="AA201" s="1"/>
      <c r="AB201" s="1"/>
      <c r="AC201" s="1"/>
      <c r="AD201" s="1"/>
      <c r="AE201" s="18"/>
      <c r="AF201" s="1"/>
      <c r="AG201" s="1"/>
      <c r="AH201" s="1"/>
      <c r="AI201" s="1"/>
      <c r="AJ201" s="18"/>
      <c r="AK201" s="1"/>
    </row>
    <row r="202" spans="1:37" ht="14.25" customHeight="1" x14ac:dyDescent="0.45">
      <c r="A202" s="1"/>
      <c r="B202" s="1"/>
      <c r="C202" s="1"/>
      <c r="D202" s="18"/>
      <c r="E202" s="18"/>
      <c r="F202" s="18"/>
      <c r="G202" s="18"/>
      <c r="H202" s="1"/>
      <c r="I202" s="1"/>
      <c r="J202" s="1"/>
      <c r="K202" s="18"/>
      <c r="L202" s="1"/>
      <c r="M202" s="1"/>
      <c r="N202" s="1"/>
      <c r="O202" s="1"/>
      <c r="P202" s="18"/>
      <c r="Q202" s="1"/>
      <c r="R202" s="1"/>
      <c r="S202" s="1"/>
      <c r="T202" s="1"/>
      <c r="U202" s="18"/>
      <c r="V202" s="1"/>
      <c r="W202" s="1"/>
      <c r="X202" s="1"/>
      <c r="Y202" s="1"/>
      <c r="Z202" s="18"/>
      <c r="AA202" s="1"/>
      <c r="AB202" s="1"/>
      <c r="AC202" s="1"/>
      <c r="AD202" s="1"/>
      <c r="AE202" s="18"/>
      <c r="AF202" s="1"/>
      <c r="AG202" s="1"/>
      <c r="AH202" s="1"/>
      <c r="AI202" s="1"/>
      <c r="AJ202" s="18"/>
      <c r="AK202" s="1"/>
    </row>
    <row r="203" spans="1:37" ht="14.25" customHeight="1" x14ac:dyDescent="0.45">
      <c r="A203" s="1"/>
      <c r="B203" s="1"/>
      <c r="C203" s="1"/>
      <c r="D203" s="18"/>
      <c r="E203" s="18"/>
      <c r="F203" s="18"/>
      <c r="G203" s="18"/>
      <c r="H203" s="1"/>
      <c r="I203" s="1"/>
      <c r="J203" s="1"/>
      <c r="K203" s="18"/>
      <c r="L203" s="1"/>
      <c r="M203" s="1"/>
      <c r="N203" s="1"/>
      <c r="O203" s="1"/>
      <c r="P203" s="18"/>
      <c r="Q203" s="1"/>
      <c r="R203" s="1"/>
      <c r="S203" s="1"/>
      <c r="T203" s="1"/>
      <c r="U203" s="18"/>
      <c r="V203" s="1"/>
      <c r="W203" s="1"/>
      <c r="X203" s="1"/>
      <c r="Y203" s="1"/>
      <c r="Z203" s="18"/>
      <c r="AA203" s="1"/>
      <c r="AB203" s="1"/>
      <c r="AC203" s="1"/>
      <c r="AD203" s="1"/>
      <c r="AE203" s="18"/>
      <c r="AF203" s="1"/>
      <c r="AG203" s="1"/>
      <c r="AH203" s="1"/>
      <c r="AI203" s="1"/>
      <c r="AJ203" s="18"/>
      <c r="AK203" s="1"/>
    </row>
    <row r="204" spans="1:37" ht="14.25" customHeight="1" x14ac:dyDescent="0.45">
      <c r="A204" s="1"/>
      <c r="B204" s="1"/>
      <c r="C204" s="1"/>
      <c r="D204" s="18"/>
      <c r="E204" s="18"/>
      <c r="F204" s="18"/>
      <c r="G204" s="18"/>
      <c r="H204" s="1"/>
      <c r="I204" s="1"/>
      <c r="J204" s="1"/>
      <c r="K204" s="18"/>
      <c r="L204" s="1"/>
      <c r="M204" s="1"/>
      <c r="N204" s="1"/>
      <c r="O204" s="1"/>
      <c r="P204" s="18"/>
      <c r="Q204" s="1"/>
      <c r="R204" s="1"/>
      <c r="S204" s="1"/>
      <c r="T204" s="1"/>
      <c r="U204" s="18"/>
      <c r="V204" s="1"/>
      <c r="W204" s="1"/>
      <c r="X204" s="1"/>
      <c r="Y204" s="1"/>
      <c r="Z204" s="18"/>
      <c r="AA204" s="1"/>
      <c r="AB204" s="1"/>
      <c r="AC204" s="1"/>
      <c r="AD204" s="1"/>
      <c r="AE204" s="18"/>
      <c r="AF204" s="1"/>
      <c r="AG204" s="1"/>
      <c r="AH204" s="1"/>
      <c r="AI204" s="1"/>
      <c r="AJ204" s="18"/>
      <c r="AK204" s="1"/>
    </row>
    <row r="205" spans="1:37" ht="14.25" customHeight="1" x14ac:dyDescent="0.45">
      <c r="A205" s="1"/>
      <c r="B205" s="1"/>
      <c r="C205" s="1"/>
      <c r="D205" s="18"/>
      <c r="E205" s="18"/>
      <c r="F205" s="18"/>
      <c r="G205" s="18"/>
      <c r="H205" s="1"/>
      <c r="I205" s="1"/>
      <c r="J205" s="1"/>
      <c r="K205" s="18"/>
      <c r="L205" s="1"/>
      <c r="M205" s="1"/>
      <c r="N205" s="1"/>
      <c r="O205" s="1"/>
      <c r="P205" s="18"/>
      <c r="Q205" s="1"/>
      <c r="R205" s="1"/>
      <c r="S205" s="1"/>
      <c r="T205" s="1"/>
      <c r="U205" s="18"/>
      <c r="V205" s="1"/>
      <c r="W205" s="1"/>
      <c r="X205" s="1"/>
      <c r="Y205" s="1"/>
      <c r="Z205" s="18"/>
      <c r="AA205" s="1"/>
      <c r="AB205" s="1"/>
      <c r="AC205" s="1"/>
      <c r="AD205" s="1"/>
      <c r="AE205" s="18"/>
      <c r="AF205" s="1"/>
      <c r="AG205" s="1"/>
      <c r="AH205" s="1"/>
      <c r="AI205" s="1"/>
      <c r="AJ205" s="18"/>
      <c r="AK205" s="1"/>
    </row>
    <row r="206" spans="1:37" ht="14.25" customHeight="1" x14ac:dyDescent="0.45">
      <c r="A206" s="1"/>
      <c r="B206" s="1"/>
      <c r="C206" s="1"/>
      <c r="D206" s="18"/>
      <c r="E206" s="18"/>
      <c r="F206" s="18"/>
      <c r="G206" s="18"/>
      <c r="H206" s="1"/>
      <c r="I206" s="1"/>
      <c r="J206" s="1"/>
      <c r="K206" s="18"/>
      <c r="L206" s="1"/>
      <c r="M206" s="1"/>
      <c r="N206" s="1"/>
      <c r="O206" s="1"/>
      <c r="P206" s="18"/>
      <c r="Q206" s="1"/>
      <c r="R206" s="1"/>
      <c r="S206" s="1"/>
      <c r="T206" s="1"/>
      <c r="U206" s="18"/>
      <c r="V206" s="1"/>
      <c r="W206" s="1"/>
      <c r="X206" s="1"/>
      <c r="Y206" s="1"/>
      <c r="Z206" s="18"/>
      <c r="AA206" s="1"/>
      <c r="AB206" s="1"/>
      <c r="AC206" s="1"/>
      <c r="AD206" s="1"/>
      <c r="AE206" s="18"/>
      <c r="AF206" s="1"/>
      <c r="AG206" s="1"/>
      <c r="AH206" s="1"/>
      <c r="AI206" s="1"/>
      <c r="AJ206" s="18"/>
      <c r="AK206" s="1"/>
    </row>
    <row r="207" spans="1:37" ht="14.25" customHeight="1" x14ac:dyDescent="0.45">
      <c r="A207" s="1"/>
      <c r="B207" s="1"/>
      <c r="C207" s="1"/>
      <c r="D207" s="18"/>
      <c r="E207" s="18"/>
      <c r="F207" s="18"/>
      <c r="G207" s="18"/>
      <c r="H207" s="1"/>
      <c r="I207" s="1"/>
      <c r="J207" s="1"/>
      <c r="K207" s="18"/>
      <c r="L207" s="1"/>
      <c r="M207" s="1"/>
      <c r="N207" s="1"/>
      <c r="O207" s="1"/>
      <c r="P207" s="18"/>
      <c r="Q207" s="1"/>
      <c r="R207" s="1"/>
      <c r="S207" s="1"/>
      <c r="T207" s="1"/>
      <c r="U207" s="18"/>
      <c r="V207" s="1"/>
      <c r="W207" s="1"/>
      <c r="X207" s="1"/>
      <c r="Y207" s="1"/>
      <c r="Z207" s="18"/>
      <c r="AA207" s="1"/>
      <c r="AB207" s="1"/>
      <c r="AC207" s="1"/>
      <c r="AD207" s="1"/>
      <c r="AE207" s="18"/>
      <c r="AF207" s="1"/>
      <c r="AG207" s="1"/>
      <c r="AH207" s="1"/>
      <c r="AI207" s="1"/>
      <c r="AJ207" s="18"/>
      <c r="AK207" s="1"/>
    </row>
    <row r="208" spans="1:37" ht="14.25" customHeight="1" x14ac:dyDescent="0.45">
      <c r="A208" s="1"/>
      <c r="B208" s="1"/>
      <c r="C208" s="1"/>
      <c r="D208" s="18"/>
      <c r="E208" s="18"/>
      <c r="F208" s="18"/>
      <c r="G208" s="18"/>
      <c r="H208" s="1"/>
      <c r="I208" s="1"/>
      <c r="J208" s="1"/>
      <c r="K208" s="18"/>
      <c r="L208" s="1"/>
      <c r="M208" s="1"/>
      <c r="N208" s="1"/>
      <c r="O208" s="1"/>
      <c r="P208" s="18"/>
      <c r="Q208" s="1"/>
      <c r="R208" s="1"/>
      <c r="S208" s="1"/>
      <c r="T208" s="1"/>
      <c r="U208" s="18"/>
      <c r="V208" s="1"/>
      <c r="W208" s="1"/>
      <c r="X208" s="1"/>
      <c r="Y208" s="1"/>
      <c r="Z208" s="18"/>
      <c r="AA208" s="1"/>
      <c r="AB208" s="1"/>
      <c r="AC208" s="1"/>
      <c r="AD208" s="1"/>
      <c r="AE208" s="18"/>
      <c r="AF208" s="1"/>
      <c r="AG208" s="1"/>
      <c r="AH208" s="1"/>
      <c r="AI208" s="1"/>
      <c r="AJ208" s="18"/>
      <c r="AK208" s="1"/>
    </row>
    <row r="209" spans="1:37" ht="14.25" customHeight="1" x14ac:dyDescent="0.45">
      <c r="A209" s="1"/>
      <c r="B209" s="1"/>
      <c r="C209" s="1"/>
      <c r="D209" s="18"/>
      <c r="E209" s="18"/>
      <c r="F209" s="18"/>
      <c r="G209" s="18"/>
      <c r="H209" s="1"/>
      <c r="I209" s="1"/>
      <c r="J209" s="1"/>
      <c r="K209" s="18"/>
      <c r="L209" s="1"/>
      <c r="M209" s="1"/>
      <c r="N209" s="1"/>
      <c r="O209" s="1"/>
      <c r="P209" s="18"/>
      <c r="Q209" s="1"/>
      <c r="R209" s="1"/>
      <c r="S209" s="1"/>
      <c r="T209" s="1"/>
      <c r="U209" s="18"/>
      <c r="V209" s="1"/>
      <c r="W209" s="1"/>
      <c r="X209" s="1"/>
      <c r="Y209" s="1"/>
      <c r="Z209" s="18"/>
      <c r="AA209" s="1"/>
      <c r="AB209" s="1"/>
      <c r="AC209" s="1"/>
      <c r="AD209" s="1"/>
      <c r="AE209" s="18"/>
      <c r="AF209" s="1"/>
      <c r="AG209" s="1"/>
      <c r="AH209" s="1"/>
      <c r="AI209" s="1"/>
      <c r="AJ209" s="18"/>
      <c r="AK209" s="1"/>
    </row>
    <row r="210" spans="1:37" ht="14.25" customHeight="1" x14ac:dyDescent="0.45">
      <c r="A210" s="1"/>
      <c r="B210" s="1"/>
      <c r="C210" s="1"/>
      <c r="D210" s="18"/>
      <c r="E210" s="18"/>
      <c r="F210" s="18"/>
      <c r="G210" s="18"/>
      <c r="H210" s="1"/>
      <c r="I210" s="1"/>
      <c r="J210" s="1"/>
      <c r="K210" s="18"/>
      <c r="L210" s="1"/>
      <c r="M210" s="1"/>
      <c r="N210" s="1"/>
      <c r="O210" s="1"/>
      <c r="P210" s="18"/>
      <c r="Q210" s="1"/>
      <c r="R210" s="1"/>
      <c r="S210" s="1"/>
      <c r="T210" s="1"/>
      <c r="U210" s="18"/>
      <c r="V210" s="1"/>
      <c r="W210" s="1"/>
      <c r="X210" s="1"/>
      <c r="Y210" s="1"/>
      <c r="Z210" s="18"/>
      <c r="AA210" s="1"/>
      <c r="AB210" s="1"/>
      <c r="AC210" s="1"/>
      <c r="AD210" s="1"/>
      <c r="AE210" s="18"/>
      <c r="AF210" s="1"/>
      <c r="AG210" s="1"/>
      <c r="AH210" s="1"/>
      <c r="AI210" s="1"/>
      <c r="AJ210" s="18"/>
      <c r="AK210" s="1"/>
    </row>
    <row r="211" spans="1:37" ht="14.25" customHeight="1" x14ac:dyDescent="0.45">
      <c r="A211" s="1"/>
      <c r="B211" s="1"/>
      <c r="C211" s="1"/>
      <c r="D211" s="18"/>
      <c r="E211" s="18"/>
      <c r="F211" s="18"/>
      <c r="G211" s="18"/>
      <c r="H211" s="1"/>
      <c r="I211" s="1"/>
      <c r="J211" s="1"/>
      <c r="K211" s="18"/>
      <c r="L211" s="1"/>
      <c r="M211" s="1"/>
      <c r="N211" s="1"/>
      <c r="O211" s="1"/>
      <c r="P211" s="18"/>
      <c r="Q211" s="1"/>
      <c r="R211" s="1"/>
      <c r="S211" s="1"/>
      <c r="T211" s="1"/>
      <c r="U211" s="18"/>
      <c r="V211" s="1"/>
      <c r="W211" s="1"/>
      <c r="X211" s="1"/>
      <c r="Y211" s="1"/>
      <c r="Z211" s="18"/>
      <c r="AA211" s="1"/>
      <c r="AB211" s="1"/>
      <c r="AC211" s="1"/>
      <c r="AD211" s="1"/>
      <c r="AE211" s="18"/>
      <c r="AF211" s="1"/>
      <c r="AG211" s="1"/>
      <c r="AH211" s="1"/>
      <c r="AI211" s="1"/>
      <c r="AJ211" s="18"/>
      <c r="AK211" s="1"/>
    </row>
    <row r="212" spans="1:37" ht="14.25" customHeight="1" x14ac:dyDescent="0.45">
      <c r="A212" s="1"/>
      <c r="B212" s="1"/>
      <c r="C212" s="1"/>
      <c r="D212" s="18"/>
      <c r="E212" s="18"/>
      <c r="F212" s="18"/>
      <c r="G212" s="18"/>
      <c r="H212" s="1"/>
      <c r="I212" s="1"/>
      <c r="J212" s="1"/>
      <c r="K212" s="18"/>
      <c r="L212" s="1"/>
      <c r="M212" s="1"/>
      <c r="N212" s="1"/>
      <c r="O212" s="1"/>
      <c r="P212" s="18"/>
      <c r="Q212" s="1"/>
      <c r="R212" s="1"/>
      <c r="S212" s="1"/>
      <c r="T212" s="1"/>
      <c r="U212" s="18"/>
      <c r="V212" s="1"/>
      <c r="W212" s="1"/>
      <c r="X212" s="1"/>
      <c r="Y212" s="1"/>
      <c r="Z212" s="18"/>
      <c r="AA212" s="1"/>
      <c r="AB212" s="1"/>
      <c r="AC212" s="1"/>
      <c r="AD212" s="1"/>
      <c r="AE212" s="18"/>
      <c r="AF212" s="1"/>
      <c r="AG212" s="1"/>
      <c r="AH212" s="1"/>
      <c r="AI212" s="1"/>
      <c r="AJ212" s="18"/>
      <c r="AK212" s="1"/>
    </row>
    <row r="213" spans="1:37" ht="14.25" customHeight="1" x14ac:dyDescent="0.45">
      <c r="A213" s="1"/>
      <c r="B213" s="1"/>
      <c r="C213" s="1"/>
      <c r="D213" s="18"/>
      <c r="E213" s="18"/>
      <c r="F213" s="18"/>
      <c r="G213" s="18"/>
      <c r="H213" s="1"/>
      <c r="I213" s="1"/>
      <c r="J213" s="1"/>
      <c r="K213" s="18"/>
      <c r="L213" s="1"/>
      <c r="M213" s="1"/>
      <c r="N213" s="1"/>
      <c r="O213" s="1"/>
      <c r="P213" s="18"/>
      <c r="Q213" s="1"/>
      <c r="R213" s="1"/>
      <c r="S213" s="1"/>
      <c r="T213" s="1"/>
      <c r="U213" s="18"/>
      <c r="V213" s="1"/>
      <c r="W213" s="1"/>
      <c r="X213" s="1"/>
      <c r="Y213" s="1"/>
      <c r="Z213" s="18"/>
      <c r="AA213" s="1"/>
      <c r="AB213" s="1"/>
      <c r="AC213" s="1"/>
      <c r="AD213" s="1"/>
      <c r="AE213" s="18"/>
      <c r="AF213" s="1"/>
      <c r="AG213" s="1"/>
      <c r="AH213" s="1"/>
      <c r="AI213" s="1"/>
      <c r="AJ213" s="18"/>
      <c r="AK213" s="1"/>
    </row>
    <row r="214" spans="1:37" ht="14.25" customHeight="1" x14ac:dyDescent="0.45">
      <c r="A214" s="1"/>
      <c r="B214" s="1"/>
      <c r="C214" s="1"/>
      <c r="D214" s="18"/>
      <c r="E214" s="18"/>
      <c r="F214" s="18"/>
      <c r="G214" s="18"/>
      <c r="H214" s="1"/>
      <c r="I214" s="1"/>
      <c r="J214" s="1"/>
      <c r="K214" s="18"/>
      <c r="L214" s="1"/>
      <c r="M214" s="1"/>
      <c r="N214" s="1"/>
      <c r="O214" s="1"/>
      <c r="P214" s="18"/>
      <c r="Q214" s="1"/>
      <c r="R214" s="1"/>
      <c r="S214" s="1"/>
      <c r="T214" s="1"/>
      <c r="U214" s="18"/>
      <c r="V214" s="1"/>
      <c r="W214" s="1"/>
      <c r="X214" s="1"/>
      <c r="Y214" s="1"/>
      <c r="Z214" s="18"/>
      <c r="AA214" s="1"/>
      <c r="AB214" s="1"/>
      <c r="AC214" s="1"/>
      <c r="AD214" s="1"/>
      <c r="AE214" s="18"/>
      <c r="AF214" s="1"/>
      <c r="AG214" s="1"/>
      <c r="AH214" s="1"/>
      <c r="AI214" s="1"/>
      <c r="AJ214" s="18"/>
      <c r="AK214" s="1"/>
    </row>
    <row r="215" spans="1:37" ht="14.25" customHeight="1" x14ac:dyDescent="0.45">
      <c r="A215" s="1"/>
      <c r="B215" s="1"/>
      <c r="C215" s="1"/>
      <c r="D215" s="18"/>
      <c r="E215" s="18"/>
      <c r="F215" s="18"/>
      <c r="G215" s="18"/>
      <c r="H215" s="1"/>
      <c r="I215" s="1"/>
      <c r="J215" s="1"/>
      <c r="K215" s="18"/>
      <c r="L215" s="1"/>
      <c r="M215" s="1"/>
      <c r="N215" s="1"/>
      <c r="O215" s="1"/>
      <c r="P215" s="18"/>
      <c r="Q215" s="1"/>
      <c r="R215" s="1"/>
      <c r="S215" s="1"/>
      <c r="T215" s="1"/>
      <c r="U215" s="18"/>
      <c r="V215" s="1"/>
      <c r="W215" s="1"/>
      <c r="X215" s="1"/>
      <c r="Y215" s="1"/>
      <c r="Z215" s="18"/>
      <c r="AA215" s="1"/>
      <c r="AB215" s="1"/>
      <c r="AC215" s="1"/>
      <c r="AD215" s="1"/>
      <c r="AE215" s="18"/>
      <c r="AF215" s="1"/>
      <c r="AG215" s="1"/>
      <c r="AH215" s="1"/>
      <c r="AI215" s="1"/>
      <c r="AJ215" s="18"/>
      <c r="AK215" s="1"/>
    </row>
    <row r="216" spans="1:37" ht="14.25" customHeight="1" x14ac:dyDescent="0.45">
      <c r="A216" s="1"/>
      <c r="B216" s="1"/>
      <c r="C216" s="1"/>
      <c r="D216" s="18"/>
      <c r="E216" s="18"/>
      <c r="F216" s="18"/>
      <c r="G216" s="18"/>
      <c r="H216" s="1"/>
      <c r="I216" s="1"/>
      <c r="J216" s="1"/>
      <c r="K216" s="18"/>
      <c r="L216" s="1"/>
      <c r="M216" s="1"/>
      <c r="N216" s="1"/>
      <c r="O216" s="1"/>
      <c r="P216" s="18"/>
      <c r="Q216" s="1"/>
      <c r="R216" s="1"/>
      <c r="S216" s="1"/>
      <c r="T216" s="1"/>
      <c r="U216" s="18"/>
      <c r="V216" s="1"/>
      <c r="W216" s="1"/>
      <c r="X216" s="1"/>
      <c r="Y216" s="1"/>
      <c r="Z216" s="18"/>
      <c r="AA216" s="1"/>
      <c r="AB216" s="1"/>
      <c r="AC216" s="1"/>
      <c r="AD216" s="1"/>
      <c r="AE216" s="18"/>
      <c r="AF216" s="1"/>
      <c r="AG216" s="1"/>
      <c r="AH216" s="1"/>
      <c r="AI216" s="1"/>
      <c r="AJ216" s="18"/>
      <c r="AK216" s="1"/>
    </row>
    <row r="217" spans="1:37" ht="14.25" customHeight="1" x14ac:dyDescent="0.45">
      <c r="A217" s="1"/>
      <c r="B217" s="1"/>
      <c r="C217" s="1"/>
      <c r="D217" s="18"/>
      <c r="E217" s="18"/>
      <c r="F217" s="18"/>
      <c r="G217" s="18"/>
      <c r="H217" s="1"/>
      <c r="I217" s="1"/>
      <c r="J217" s="1"/>
      <c r="K217" s="18"/>
      <c r="L217" s="1"/>
      <c r="M217" s="1"/>
      <c r="N217" s="1"/>
      <c r="O217" s="1"/>
      <c r="P217" s="18"/>
      <c r="Q217" s="1"/>
      <c r="R217" s="1"/>
      <c r="S217" s="1"/>
      <c r="T217" s="1"/>
      <c r="U217" s="18"/>
      <c r="V217" s="1"/>
      <c r="W217" s="1"/>
      <c r="X217" s="1"/>
      <c r="Y217" s="1"/>
      <c r="Z217" s="18"/>
      <c r="AA217" s="1"/>
      <c r="AB217" s="1"/>
      <c r="AC217" s="1"/>
      <c r="AD217" s="1"/>
      <c r="AE217" s="18"/>
      <c r="AF217" s="1"/>
      <c r="AG217" s="1"/>
      <c r="AH217" s="1"/>
      <c r="AI217" s="1"/>
      <c r="AJ217" s="18"/>
      <c r="AK217" s="1"/>
    </row>
    <row r="218" spans="1:37" ht="14.25" customHeight="1" x14ac:dyDescent="0.45">
      <c r="A218" s="1"/>
      <c r="B218" s="1"/>
      <c r="C218" s="1"/>
      <c r="D218" s="18"/>
      <c r="E218" s="18"/>
      <c r="F218" s="18"/>
      <c r="G218" s="18"/>
      <c r="H218" s="1"/>
      <c r="I218" s="1"/>
      <c r="J218" s="1"/>
      <c r="K218" s="18"/>
      <c r="L218" s="1"/>
      <c r="M218" s="1"/>
      <c r="N218" s="1"/>
      <c r="O218" s="1"/>
      <c r="P218" s="18"/>
      <c r="Q218" s="1"/>
      <c r="R218" s="1"/>
      <c r="S218" s="1"/>
      <c r="T218" s="1"/>
      <c r="U218" s="18"/>
      <c r="V218" s="1"/>
      <c r="W218" s="1"/>
      <c r="X218" s="1"/>
      <c r="Y218" s="1"/>
      <c r="Z218" s="18"/>
      <c r="AA218" s="1"/>
      <c r="AB218" s="1"/>
      <c r="AC218" s="1"/>
      <c r="AD218" s="1"/>
      <c r="AE218" s="18"/>
      <c r="AF218" s="1"/>
      <c r="AG218" s="1"/>
      <c r="AH218" s="1"/>
      <c r="AI218" s="1"/>
      <c r="AJ218" s="18"/>
      <c r="AK218" s="1"/>
    </row>
    <row r="219" spans="1:37" ht="14.25" customHeight="1" x14ac:dyDescent="0.45">
      <c r="A219" s="1"/>
      <c r="B219" s="1"/>
      <c r="C219" s="1"/>
      <c r="D219" s="18"/>
      <c r="E219" s="18"/>
      <c r="F219" s="18"/>
      <c r="G219" s="18"/>
      <c r="H219" s="1"/>
      <c r="I219" s="1"/>
      <c r="J219" s="1"/>
      <c r="K219" s="18"/>
      <c r="L219" s="1"/>
      <c r="M219" s="1"/>
      <c r="N219" s="1"/>
      <c r="O219" s="1"/>
      <c r="P219" s="18"/>
      <c r="Q219" s="1"/>
      <c r="R219" s="1"/>
      <c r="S219" s="1"/>
      <c r="T219" s="1"/>
      <c r="U219" s="18"/>
      <c r="V219" s="1"/>
      <c r="W219" s="1"/>
      <c r="X219" s="1"/>
      <c r="Y219" s="1"/>
      <c r="Z219" s="18"/>
      <c r="AA219" s="1"/>
      <c r="AB219" s="1"/>
      <c r="AC219" s="1"/>
      <c r="AD219" s="1"/>
      <c r="AE219" s="18"/>
      <c r="AF219" s="1"/>
      <c r="AG219" s="1"/>
      <c r="AH219" s="1"/>
      <c r="AI219" s="1"/>
      <c r="AJ219" s="18"/>
      <c r="AK219" s="1"/>
    </row>
    <row r="220" spans="1:37" ht="14.25" customHeight="1" x14ac:dyDescent="0.45">
      <c r="A220" s="1"/>
      <c r="B220" s="1"/>
      <c r="C220" s="1"/>
      <c r="D220" s="18"/>
      <c r="E220" s="18"/>
      <c r="F220" s="18"/>
      <c r="G220" s="18"/>
      <c r="H220" s="1"/>
      <c r="I220" s="1"/>
      <c r="J220" s="1"/>
      <c r="K220" s="18"/>
      <c r="L220" s="1"/>
      <c r="M220" s="1"/>
      <c r="N220" s="1"/>
      <c r="O220" s="1"/>
      <c r="P220" s="18"/>
      <c r="Q220" s="1"/>
      <c r="R220" s="1"/>
      <c r="S220" s="1"/>
      <c r="T220" s="1"/>
      <c r="U220" s="18"/>
      <c r="V220" s="1"/>
      <c r="W220" s="1"/>
      <c r="X220" s="1"/>
      <c r="Y220" s="1"/>
      <c r="Z220" s="18"/>
      <c r="AA220" s="1"/>
      <c r="AB220" s="1"/>
      <c r="AC220" s="1"/>
      <c r="AD220" s="1"/>
      <c r="AE220" s="18"/>
      <c r="AF220" s="1"/>
      <c r="AG220" s="1"/>
      <c r="AH220" s="1"/>
      <c r="AI220" s="1"/>
      <c r="AJ220" s="18"/>
      <c r="AK220" s="1"/>
    </row>
    <row r="221" spans="1:37" ht="14.25" customHeight="1" x14ac:dyDescent="0.45">
      <c r="A221" s="1"/>
      <c r="B221" s="1"/>
      <c r="C221" s="1"/>
      <c r="D221" s="18"/>
      <c r="E221" s="18"/>
      <c r="F221" s="18"/>
      <c r="G221" s="18"/>
      <c r="H221" s="1"/>
      <c r="I221" s="1"/>
      <c r="J221" s="1"/>
      <c r="K221" s="18"/>
      <c r="L221" s="1"/>
      <c r="M221" s="1"/>
      <c r="N221" s="1"/>
      <c r="O221" s="1"/>
      <c r="P221" s="18"/>
      <c r="Q221" s="1"/>
      <c r="R221" s="1"/>
      <c r="S221" s="1"/>
      <c r="T221" s="1"/>
      <c r="U221" s="18"/>
      <c r="V221" s="1"/>
      <c r="W221" s="1"/>
      <c r="X221" s="1"/>
      <c r="Y221" s="1"/>
      <c r="Z221" s="18"/>
      <c r="AA221" s="1"/>
      <c r="AB221" s="1"/>
      <c r="AC221" s="1"/>
      <c r="AD221" s="1"/>
      <c r="AE221" s="18"/>
      <c r="AF221" s="1"/>
      <c r="AG221" s="1"/>
      <c r="AH221" s="1"/>
      <c r="AI221" s="1"/>
      <c r="AJ221" s="18"/>
      <c r="AK221" s="1"/>
    </row>
    <row r="222" spans="1:37" ht="14.25" customHeight="1" x14ac:dyDescent="0.45">
      <c r="A222" s="1"/>
      <c r="B222" s="1"/>
      <c r="C222" s="1"/>
      <c r="D222" s="18"/>
      <c r="E222" s="18"/>
      <c r="F222" s="18"/>
      <c r="G222" s="18"/>
      <c r="H222" s="1"/>
      <c r="I222" s="1"/>
      <c r="J222" s="1"/>
      <c r="K222" s="18"/>
      <c r="L222" s="1"/>
      <c r="M222" s="1"/>
      <c r="N222" s="1"/>
      <c r="O222" s="1"/>
      <c r="P222" s="18"/>
      <c r="Q222" s="1"/>
      <c r="R222" s="1"/>
      <c r="S222" s="1"/>
      <c r="T222" s="1"/>
      <c r="U222" s="18"/>
      <c r="V222" s="1"/>
      <c r="W222" s="1"/>
      <c r="X222" s="1"/>
      <c r="Y222" s="1"/>
      <c r="Z222" s="18"/>
      <c r="AA222" s="1"/>
      <c r="AB222" s="1"/>
      <c r="AC222" s="1"/>
      <c r="AD222" s="1"/>
      <c r="AE222" s="18"/>
      <c r="AF222" s="1"/>
      <c r="AG222" s="1"/>
      <c r="AH222" s="1"/>
      <c r="AI222" s="1"/>
      <c r="AJ222" s="18"/>
      <c r="AK222" s="1"/>
    </row>
    <row r="223" spans="1:37" ht="14.25" customHeight="1" x14ac:dyDescent="0.45">
      <c r="A223" s="1"/>
      <c r="B223" s="1"/>
      <c r="C223" s="1"/>
      <c r="D223" s="18"/>
      <c r="E223" s="18"/>
      <c r="F223" s="18"/>
      <c r="G223" s="18"/>
      <c r="H223" s="1"/>
      <c r="I223" s="1"/>
      <c r="J223" s="1"/>
      <c r="K223" s="18"/>
      <c r="L223" s="1"/>
      <c r="M223" s="1"/>
      <c r="N223" s="1"/>
      <c r="O223" s="1"/>
      <c r="P223" s="18"/>
      <c r="Q223" s="1"/>
      <c r="R223" s="1"/>
      <c r="S223" s="1"/>
      <c r="T223" s="1"/>
      <c r="U223" s="18"/>
      <c r="V223" s="1"/>
      <c r="W223" s="1"/>
      <c r="X223" s="1"/>
      <c r="Y223" s="1"/>
      <c r="Z223" s="18"/>
      <c r="AA223" s="1"/>
      <c r="AB223" s="1"/>
      <c r="AC223" s="1"/>
      <c r="AD223" s="1"/>
      <c r="AE223" s="18"/>
      <c r="AF223" s="1"/>
      <c r="AG223" s="1"/>
      <c r="AH223" s="1"/>
      <c r="AI223" s="1"/>
      <c r="AJ223" s="18"/>
      <c r="AK223" s="1"/>
    </row>
    <row r="224" spans="1:37" ht="14.25" customHeight="1" x14ac:dyDescent="0.45">
      <c r="A224" s="1"/>
      <c r="B224" s="1"/>
      <c r="C224" s="1"/>
      <c r="D224" s="18"/>
      <c r="E224" s="18"/>
      <c r="F224" s="18"/>
      <c r="G224" s="18"/>
      <c r="H224" s="1"/>
      <c r="I224" s="1"/>
      <c r="J224" s="1"/>
      <c r="K224" s="18"/>
      <c r="L224" s="1"/>
      <c r="M224" s="1"/>
      <c r="N224" s="1"/>
      <c r="O224" s="1"/>
      <c r="P224" s="18"/>
      <c r="Q224" s="1"/>
      <c r="R224" s="1"/>
      <c r="S224" s="1"/>
      <c r="T224" s="1"/>
      <c r="U224" s="18"/>
      <c r="V224" s="1"/>
      <c r="W224" s="1"/>
      <c r="X224" s="1"/>
      <c r="Y224" s="1"/>
      <c r="Z224" s="18"/>
      <c r="AA224" s="1"/>
      <c r="AB224" s="1"/>
      <c r="AC224" s="1"/>
      <c r="AD224" s="1"/>
      <c r="AE224" s="18"/>
      <c r="AF224" s="1"/>
      <c r="AG224" s="1"/>
      <c r="AH224" s="1"/>
      <c r="AI224" s="1"/>
      <c r="AJ224" s="18"/>
      <c r="AK224" s="1"/>
    </row>
    <row r="225" spans="1:37" ht="14.25" customHeight="1" x14ac:dyDescent="0.45">
      <c r="A225" s="1"/>
      <c r="B225" s="1"/>
      <c r="C225" s="1"/>
      <c r="D225" s="18"/>
      <c r="E225" s="18"/>
      <c r="F225" s="18"/>
      <c r="G225" s="18"/>
      <c r="H225" s="1"/>
      <c r="I225" s="1"/>
      <c r="J225" s="1"/>
      <c r="K225" s="18"/>
      <c r="L225" s="1"/>
      <c r="M225" s="1"/>
      <c r="N225" s="1"/>
      <c r="O225" s="1"/>
      <c r="P225" s="18"/>
      <c r="Q225" s="1"/>
      <c r="R225" s="1"/>
      <c r="S225" s="1"/>
      <c r="T225" s="1"/>
      <c r="U225" s="18"/>
      <c r="V225" s="1"/>
      <c r="W225" s="1"/>
      <c r="X225" s="1"/>
      <c r="Y225" s="1"/>
      <c r="Z225" s="18"/>
      <c r="AA225" s="1"/>
      <c r="AB225" s="1"/>
      <c r="AC225" s="1"/>
      <c r="AD225" s="1"/>
      <c r="AE225" s="18"/>
      <c r="AF225" s="1"/>
      <c r="AG225" s="1"/>
      <c r="AH225" s="1"/>
      <c r="AI225" s="1"/>
      <c r="AJ225" s="18"/>
      <c r="AK225" s="1"/>
    </row>
    <row r="226" spans="1:37" ht="14.25" customHeight="1" x14ac:dyDescent="0.45">
      <c r="A226" s="1"/>
      <c r="B226" s="1"/>
      <c r="C226" s="1"/>
      <c r="D226" s="18"/>
      <c r="E226" s="18"/>
      <c r="F226" s="18"/>
      <c r="G226" s="18"/>
      <c r="H226" s="1"/>
      <c r="I226" s="1"/>
      <c r="J226" s="1"/>
      <c r="K226" s="18"/>
      <c r="L226" s="1"/>
      <c r="M226" s="1"/>
      <c r="N226" s="1"/>
      <c r="O226" s="1"/>
      <c r="P226" s="18"/>
      <c r="Q226" s="1"/>
      <c r="R226" s="1"/>
      <c r="S226" s="1"/>
      <c r="T226" s="1"/>
      <c r="U226" s="18"/>
      <c r="V226" s="1"/>
      <c r="W226" s="1"/>
      <c r="X226" s="1"/>
      <c r="Y226" s="1"/>
      <c r="Z226" s="18"/>
      <c r="AA226" s="1"/>
      <c r="AB226" s="1"/>
      <c r="AC226" s="1"/>
      <c r="AD226" s="1"/>
      <c r="AE226" s="18"/>
      <c r="AF226" s="1"/>
      <c r="AG226" s="1"/>
      <c r="AH226" s="1"/>
      <c r="AI226" s="1"/>
      <c r="AJ226" s="18"/>
      <c r="AK226" s="1"/>
    </row>
    <row r="227" spans="1:37" ht="14.25" customHeight="1" x14ac:dyDescent="0.45">
      <c r="A227" s="1"/>
      <c r="B227" s="1"/>
      <c r="C227" s="1"/>
      <c r="D227" s="18"/>
      <c r="E227" s="18"/>
      <c r="F227" s="18"/>
      <c r="G227" s="18"/>
      <c r="H227" s="1"/>
      <c r="I227" s="1"/>
      <c r="J227" s="1"/>
      <c r="K227" s="18"/>
      <c r="L227" s="1"/>
      <c r="M227" s="1"/>
      <c r="N227" s="1"/>
      <c r="O227" s="1"/>
      <c r="P227" s="18"/>
      <c r="Q227" s="1"/>
      <c r="R227" s="1"/>
      <c r="S227" s="1"/>
      <c r="T227" s="1"/>
      <c r="U227" s="18"/>
      <c r="V227" s="1"/>
      <c r="W227" s="1"/>
      <c r="X227" s="1"/>
      <c r="Y227" s="1"/>
      <c r="Z227" s="18"/>
      <c r="AA227" s="1"/>
      <c r="AB227" s="1"/>
      <c r="AC227" s="1"/>
      <c r="AD227" s="1"/>
      <c r="AE227" s="18"/>
      <c r="AF227" s="1"/>
      <c r="AG227" s="1"/>
      <c r="AH227" s="1"/>
      <c r="AI227" s="1"/>
      <c r="AJ227" s="18"/>
      <c r="AK227" s="1"/>
    </row>
    <row r="228" spans="1:37" ht="14.25" customHeight="1" x14ac:dyDescent="0.45">
      <c r="A228" s="1"/>
      <c r="B228" s="1"/>
      <c r="C228" s="1"/>
      <c r="D228" s="18"/>
      <c r="E228" s="18"/>
      <c r="F228" s="18"/>
      <c r="G228" s="18"/>
      <c r="H228" s="1"/>
      <c r="I228" s="1"/>
      <c r="J228" s="1"/>
      <c r="K228" s="18"/>
      <c r="L228" s="1"/>
      <c r="M228" s="1"/>
      <c r="N228" s="1"/>
      <c r="O228" s="1"/>
      <c r="P228" s="18"/>
      <c r="Q228" s="1"/>
      <c r="R228" s="1"/>
      <c r="S228" s="1"/>
      <c r="T228" s="1"/>
      <c r="U228" s="18"/>
      <c r="V228" s="1"/>
      <c r="W228" s="1"/>
      <c r="X228" s="1"/>
      <c r="Y228" s="1"/>
      <c r="Z228" s="18"/>
      <c r="AA228" s="1"/>
      <c r="AB228" s="1"/>
      <c r="AC228" s="1"/>
      <c r="AD228" s="1"/>
      <c r="AE228" s="18"/>
      <c r="AF228" s="1"/>
      <c r="AG228" s="1"/>
      <c r="AH228" s="1"/>
      <c r="AI228" s="1"/>
      <c r="AJ228" s="18"/>
      <c r="AK228" s="1"/>
    </row>
    <row r="229" spans="1:37" ht="14.25" customHeight="1" x14ac:dyDescent="0.45">
      <c r="A229" s="1"/>
      <c r="B229" s="1"/>
      <c r="C229" s="1"/>
      <c r="D229" s="18"/>
      <c r="E229" s="18"/>
      <c r="F229" s="18"/>
      <c r="G229" s="18"/>
      <c r="H229" s="1"/>
      <c r="I229" s="1"/>
      <c r="J229" s="1"/>
      <c r="K229" s="18"/>
      <c r="L229" s="1"/>
      <c r="M229" s="1"/>
      <c r="N229" s="1"/>
      <c r="O229" s="1"/>
      <c r="P229" s="18"/>
      <c r="Q229" s="1"/>
      <c r="R229" s="1"/>
      <c r="S229" s="1"/>
      <c r="T229" s="1"/>
      <c r="U229" s="18"/>
      <c r="V229" s="1"/>
      <c r="W229" s="1"/>
      <c r="X229" s="1"/>
      <c r="Y229" s="1"/>
      <c r="Z229" s="18"/>
      <c r="AA229" s="1"/>
      <c r="AB229" s="1"/>
      <c r="AC229" s="1"/>
      <c r="AD229" s="1"/>
      <c r="AE229" s="18"/>
      <c r="AF229" s="1"/>
      <c r="AG229" s="1"/>
      <c r="AH229" s="1"/>
      <c r="AI229" s="1"/>
      <c r="AJ229" s="18"/>
      <c r="AK229" s="1"/>
    </row>
    <row r="230" spans="1:37" ht="14.25" customHeight="1" x14ac:dyDescent="0.45">
      <c r="A230" s="1"/>
      <c r="B230" s="1"/>
      <c r="C230" s="1"/>
      <c r="D230" s="18"/>
      <c r="E230" s="18"/>
      <c r="F230" s="18"/>
      <c r="G230" s="18"/>
      <c r="H230" s="1"/>
      <c r="I230" s="1"/>
      <c r="J230" s="1"/>
      <c r="K230" s="18"/>
      <c r="L230" s="1"/>
      <c r="M230" s="1"/>
      <c r="N230" s="1"/>
      <c r="O230" s="1"/>
      <c r="P230" s="18"/>
      <c r="Q230" s="1"/>
      <c r="R230" s="1"/>
      <c r="S230" s="1"/>
      <c r="T230" s="1"/>
      <c r="U230" s="18"/>
      <c r="V230" s="1"/>
      <c r="W230" s="1"/>
      <c r="X230" s="1"/>
      <c r="Y230" s="1"/>
      <c r="Z230" s="18"/>
      <c r="AA230" s="1"/>
      <c r="AB230" s="1"/>
      <c r="AC230" s="1"/>
      <c r="AD230" s="1"/>
      <c r="AE230" s="18"/>
      <c r="AF230" s="1"/>
      <c r="AG230" s="1"/>
      <c r="AH230" s="1"/>
      <c r="AI230" s="1"/>
      <c r="AJ230" s="18"/>
      <c r="AK230" s="1"/>
    </row>
    <row r="231" spans="1:37" ht="14.25" customHeight="1" x14ac:dyDescent="0.45">
      <c r="A231" s="1"/>
      <c r="B231" s="1"/>
      <c r="C231" s="1"/>
      <c r="D231" s="18"/>
      <c r="E231" s="18"/>
      <c r="F231" s="18"/>
      <c r="G231" s="18"/>
      <c r="H231" s="1"/>
      <c r="I231" s="1"/>
      <c r="J231" s="1"/>
      <c r="K231" s="18"/>
      <c r="L231" s="1"/>
      <c r="M231" s="1"/>
      <c r="N231" s="1"/>
      <c r="O231" s="1"/>
      <c r="P231" s="18"/>
      <c r="Q231" s="1"/>
      <c r="R231" s="1"/>
      <c r="S231" s="1"/>
      <c r="T231" s="1"/>
      <c r="U231" s="18"/>
      <c r="V231" s="1"/>
      <c r="W231" s="1"/>
      <c r="X231" s="1"/>
      <c r="Y231" s="1"/>
      <c r="Z231" s="18"/>
      <c r="AA231" s="1"/>
      <c r="AB231" s="1"/>
      <c r="AC231" s="1"/>
      <c r="AD231" s="1"/>
      <c r="AE231" s="18"/>
      <c r="AF231" s="1"/>
      <c r="AG231" s="1"/>
      <c r="AH231" s="1"/>
      <c r="AI231" s="1"/>
      <c r="AJ231" s="18"/>
      <c r="AK231" s="1"/>
    </row>
    <row r="232" spans="1:37" ht="14.25" customHeight="1" x14ac:dyDescent="0.45">
      <c r="A232" s="1"/>
      <c r="B232" s="1"/>
      <c r="C232" s="1"/>
      <c r="D232" s="18"/>
      <c r="E232" s="18"/>
      <c r="F232" s="18"/>
      <c r="G232" s="18"/>
      <c r="H232" s="1"/>
      <c r="I232" s="1"/>
      <c r="J232" s="1"/>
      <c r="K232" s="18"/>
      <c r="L232" s="1"/>
      <c r="M232" s="1"/>
      <c r="N232" s="1"/>
      <c r="O232" s="1"/>
      <c r="P232" s="18"/>
      <c r="Q232" s="1"/>
      <c r="R232" s="1"/>
      <c r="S232" s="1"/>
      <c r="T232" s="1"/>
      <c r="U232" s="18"/>
      <c r="V232" s="1"/>
      <c r="W232" s="1"/>
      <c r="X232" s="1"/>
      <c r="Y232" s="1"/>
      <c r="Z232" s="18"/>
      <c r="AA232" s="1"/>
      <c r="AB232" s="1"/>
      <c r="AC232" s="1"/>
      <c r="AD232" s="1"/>
      <c r="AE232" s="18"/>
      <c r="AF232" s="1"/>
      <c r="AG232" s="1"/>
      <c r="AH232" s="1"/>
      <c r="AI232" s="1"/>
      <c r="AJ232" s="18"/>
      <c r="AK232" s="1"/>
    </row>
    <row r="233" spans="1:37" ht="14.25" customHeight="1" x14ac:dyDescent="0.45">
      <c r="A233" s="1"/>
      <c r="B233" s="1"/>
      <c r="C233" s="1"/>
      <c r="D233" s="18"/>
      <c r="E233" s="18"/>
      <c r="F233" s="18"/>
      <c r="G233" s="18"/>
      <c r="H233" s="1"/>
      <c r="I233" s="1"/>
      <c r="J233" s="1"/>
      <c r="K233" s="18"/>
      <c r="L233" s="1"/>
      <c r="M233" s="1"/>
      <c r="N233" s="1"/>
      <c r="O233" s="1"/>
      <c r="P233" s="18"/>
      <c r="Q233" s="1"/>
      <c r="R233" s="1"/>
      <c r="S233" s="1"/>
      <c r="T233" s="1"/>
      <c r="U233" s="18"/>
      <c r="V233" s="1"/>
      <c r="W233" s="1"/>
      <c r="X233" s="1"/>
      <c r="Y233" s="1"/>
      <c r="Z233" s="18"/>
      <c r="AA233" s="1"/>
      <c r="AB233" s="1"/>
      <c r="AC233" s="1"/>
      <c r="AD233" s="1"/>
      <c r="AE233" s="18"/>
      <c r="AF233" s="1"/>
      <c r="AG233" s="1"/>
      <c r="AH233" s="1"/>
      <c r="AI233" s="1"/>
      <c r="AJ233" s="18"/>
      <c r="AK233" s="1"/>
    </row>
    <row r="234" spans="1:37" ht="14.25" customHeight="1" x14ac:dyDescent="0.45">
      <c r="A234" s="1"/>
      <c r="B234" s="1"/>
      <c r="C234" s="1"/>
      <c r="D234" s="18"/>
      <c r="E234" s="18"/>
      <c r="F234" s="18"/>
      <c r="G234" s="18"/>
      <c r="H234" s="1"/>
      <c r="I234" s="1"/>
      <c r="J234" s="1"/>
      <c r="K234" s="18"/>
      <c r="L234" s="1"/>
      <c r="M234" s="1"/>
      <c r="N234" s="1"/>
      <c r="O234" s="1"/>
      <c r="P234" s="18"/>
      <c r="Q234" s="1"/>
      <c r="R234" s="1"/>
      <c r="S234" s="1"/>
      <c r="T234" s="1"/>
      <c r="U234" s="18"/>
      <c r="V234" s="1"/>
      <c r="W234" s="1"/>
      <c r="X234" s="1"/>
      <c r="Y234" s="1"/>
      <c r="Z234" s="18"/>
      <c r="AA234" s="1"/>
      <c r="AB234" s="1"/>
      <c r="AC234" s="1"/>
      <c r="AD234" s="1"/>
      <c r="AE234" s="18"/>
      <c r="AF234" s="1"/>
      <c r="AG234" s="1"/>
      <c r="AH234" s="1"/>
      <c r="AI234" s="1"/>
      <c r="AJ234" s="18"/>
      <c r="AK234" s="1"/>
    </row>
    <row r="235" spans="1:37" ht="14.25" customHeight="1" x14ac:dyDescent="0.45">
      <c r="A235" s="1"/>
      <c r="B235" s="1"/>
      <c r="C235" s="1"/>
      <c r="D235" s="18"/>
      <c r="E235" s="18"/>
      <c r="F235" s="18"/>
      <c r="G235" s="18"/>
      <c r="H235" s="1"/>
      <c r="I235" s="1"/>
      <c r="J235" s="1"/>
      <c r="K235" s="18"/>
      <c r="L235" s="1"/>
      <c r="M235" s="1"/>
      <c r="N235" s="1"/>
      <c r="O235" s="1"/>
      <c r="P235" s="18"/>
      <c r="Q235" s="1"/>
      <c r="R235" s="1"/>
      <c r="S235" s="1"/>
      <c r="T235" s="1"/>
      <c r="U235" s="18"/>
      <c r="V235" s="1"/>
      <c r="W235" s="1"/>
      <c r="X235" s="1"/>
      <c r="Y235" s="1"/>
      <c r="Z235" s="18"/>
      <c r="AA235" s="1"/>
      <c r="AB235" s="1"/>
      <c r="AC235" s="1"/>
      <c r="AD235" s="1"/>
      <c r="AE235" s="18"/>
      <c r="AF235" s="1"/>
      <c r="AG235" s="1"/>
      <c r="AH235" s="1"/>
      <c r="AI235" s="1"/>
      <c r="AJ235" s="18"/>
      <c r="AK235" s="1"/>
    </row>
    <row r="236" spans="1:37" ht="14.25" customHeight="1" x14ac:dyDescent="0.45">
      <c r="A236" s="1"/>
      <c r="B236" s="1"/>
      <c r="C236" s="1"/>
      <c r="D236" s="18"/>
      <c r="E236" s="18"/>
      <c r="F236" s="18"/>
      <c r="G236" s="18"/>
      <c r="H236" s="1"/>
      <c r="I236" s="1"/>
      <c r="J236" s="1"/>
      <c r="K236" s="18"/>
      <c r="L236" s="1"/>
      <c r="M236" s="1"/>
      <c r="N236" s="1"/>
      <c r="O236" s="1"/>
      <c r="P236" s="18"/>
      <c r="Q236" s="1"/>
      <c r="R236" s="1"/>
      <c r="S236" s="1"/>
      <c r="T236" s="1"/>
      <c r="U236" s="18"/>
      <c r="V236" s="1"/>
      <c r="W236" s="1"/>
      <c r="X236" s="1"/>
      <c r="Y236" s="1"/>
      <c r="Z236" s="18"/>
      <c r="AA236" s="1"/>
      <c r="AB236" s="1"/>
      <c r="AC236" s="1"/>
      <c r="AD236" s="1"/>
      <c r="AE236" s="18"/>
      <c r="AF236" s="1"/>
      <c r="AG236" s="1"/>
      <c r="AH236" s="1"/>
      <c r="AI236" s="1"/>
      <c r="AJ236" s="18"/>
      <c r="AK236" s="1"/>
    </row>
    <row r="237" spans="1:37" ht="14.25" customHeight="1" x14ac:dyDescent="0.45">
      <c r="A237" s="1"/>
      <c r="B237" s="1"/>
      <c r="C237" s="1"/>
      <c r="D237" s="18"/>
      <c r="E237" s="18"/>
      <c r="F237" s="18"/>
      <c r="G237" s="18"/>
      <c r="H237" s="1"/>
      <c r="I237" s="1"/>
      <c r="J237" s="1"/>
      <c r="K237" s="18"/>
      <c r="L237" s="1"/>
      <c r="M237" s="1"/>
      <c r="N237" s="1"/>
      <c r="O237" s="1"/>
      <c r="P237" s="18"/>
      <c r="Q237" s="1"/>
      <c r="R237" s="1"/>
      <c r="S237" s="1"/>
      <c r="T237" s="1"/>
      <c r="U237" s="18"/>
      <c r="V237" s="1"/>
      <c r="W237" s="1"/>
      <c r="X237" s="1"/>
      <c r="Y237" s="1"/>
      <c r="Z237" s="18"/>
      <c r="AA237" s="1"/>
      <c r="AB237" s="1"/>
      <c r="AC237" s="1"/>
      <c r="AD237" s="1"/>
      <c r="AE237" s="18"/>
      <c r="AF237" s="1"/>
      <c r="AG237" s="1"/>
      <c r="AH237" s="1"/>
      <c r="AI237" s="1"/>
      <c r="AJ237" s="18"/>
      <c r="AK237" s="1"/>
    </row>
    <row r="238" spans="1:37" ht="14.25" customHeight="1" x14ac:dyDescent="0.45">
      <c r="A238" s="1"/>
      <c r="B238" s="1"/>
      <c r="C238" s="1"/>
      <c r="D238" s="18"/>
      <c r="E238" s="18"/>
      <c r="F238" s="18"/>
      <c r="G238" s="18"/>
      <c r="H238" s="1"/>
      <c r="I238" s="1"/>
      <c r="J238" s="1"/>
      <c r="K238" s="18"/>
      <c r="L238" s="1"/>
      <c r="M238" s="1"/>
      <c r="N238" s="1"/>
      <c r="O238" s="1"/>
      <c r="P238" s="18"/>
      <c r="Q238" s="1"/>
      <c r="R238" s="1"/>
      <c r="S238" s="1"/>
      <c r="T238" s="1"/>
      <c r="U238" s="18"/>
      <c r="V238" s="1"/>
      <c r="W238" s="1"/>
      <c r="X238" s="1"/>
      <c r="Y238" s="1"/>
      <c r="Z238" s="18"/>
      <c r="AA238" s="1"/>
      <c r="AB238" s="1"/>
      <c r="AC238" s="1"/>
      <c r="AD238" s="1"/>
      <c r="AE238" s="18"/>
      <c r="AF238" s="1"/>
      <c r="AG238" s="1"/>
      <c r="AH238" s="1"/>
      <c r="AI238" s="1"/>
      <c r="AJ238" s="18"/>
      <c r="AK238" s="1"/>
    </row>
    <row r="239" spans="1:37" ht="14.25" customHeight="1" x14ac:dyDescent="0.45">
      <c r="A239" s="1"/>
      <c r="B239" s="1"/>
      <c r="C239" s="1"/>
      <c r="D239" s="18"/>
      <c r="E239" s="18"/>
      <c r="F239" s="18"/>
      <c r="G239" s="18"/>
      <c r="H239" s="1"/>
      <c r="I239" s="1"/>
      <c r="J239" s="1"/>
      <c r="K239" s="18"/>
      <c r="L239" s="1"/>
      <c r="M239" s="1"/>
      <c r="N239" s="1"/>
      <c r="O239" s="1"/>
      <c r="P239" s="18"/>
      <c r="Q239" s="1"/>
      <c r="R239" s="1"/>
      <c r="S239" s="1"/>
      <c r="T239" s="1"/>
      <c r="U239" s="18"/>
      <c r="V239" s="1"/>
      <c r="W239" s="1"/>
      <c r="X239" s="1"/>
      <c r="Y239" s="1"/>
      <c r="Z239" s="18"/>
      <c r="AA239" s="1"/>
      <c r="AB239" s="1"/>
      <c r="AC239" s="1"/>
      <c r="AD239" s="1"/>
      <c r="AE239" s="18"/>
      <c r="AF239" s="1"/>
      <c r="AG239" s="1"/>
      <c r="AH239" s="1"/>
      <c r="AI239" s="1"/>
      <c r="AJ239" s="18"/>
      <c r="AK239" s="1"/>
    </row>
    <row r="240" spans="1:37" ht="14.25" customHeight="1" x14ac:dyDescent="0.45">
      <c r="A240" s="1"/>
      <c r="B240" s="1"/>
      <c r="C240" s="1"/>
      <c r="D240" s="18"/>
      <c r="E240" s="18"/>
      <c r="F240" s="18"/>
      <c r="G240" s="18"/>
      <c r="H240" s="1"/>
      <c r="I240" s="1"/>
      <c r="J240" s="1"/>
      <c r="K240" s="18"/>
      <c r="L240" s="1"/>
      <c r="M240" s="1"/>
      <c r="N240" s="1"/>
      <c r="O240" s="1"/>
      <c r="P240" s="18"/>
      <c r="Q240" s="1"/>
      <c r="R240" s="1"/>
      <c r="S240" s="1"/>
      <c r="T240" s="1"/>
      <c r="U240" s="18"/>
      <c r="V240" s="1"/>
      <c r="W240" s="1"/>
      <c r="X240" s="1"/>
      <c r="Y240" s="1"/>
      <c r="Z240" s="18"/>
      <c r="AA240" s="1"/>
      <c r="AB240" s="1"/>
      <c r="AC240" s="1"/>
      <c r="AD240" s="1"/>
      <c r="AE240" s="18"/>
      <c r="AF240" s="1"/>
      <c r="AG240" s="1"/>
      <c r="AH240" s="1"/>
      <c r="AI240" s="1"/>
      <c r="AJ240" s="18"/>
      <c r="AK240" s="1"/>
    </row>
    <row r="241" spans="1:37" ht="14.25" customHeight="1" x14ac:dyDescent="0.45">
      <c r="A241" s="1"/>
      <c r="B241" s="1"/>
      <c r="C241" s="1"/>
      <c r="D241" s="18"/>
      <c r="E241" s="18"/>
      <c r="F241" s="18"/>
      <c r="G241" s="18"/>
      <c r="H241" s="1"/>
      <c r="I241" s="1"/>
      <c r="J241" s="1"/>
      <c r="K241" s="18"/>
      <c r="L241" s="1"/>
      <c r="M241" s="1"/>
      <c r="N241" s="1"/>
      <c r="O241" s="1"/>
      <c r="P241" s="18"/>
      <c r="Q241" s="1"/>
      <c r="R241" s="1"/>
      <c r="S241" s="1"/>
      <c r="T241" s="1"/>
      <c r="U241" s="18"/>
      <c r="V241" s="1"/>
      <c r="W241" s="1"/>
      <c r="X241" s="1"/>
      <c r="Y241" s="1"/>
      <c r="Z241" s="18"/>
      <c r="AA241" s="1"/>
      <c r="AB241" s="1"/>
      <c r="AC241" s="1"/>
      <c r="AD241" s="1"/>
      <c r="AE241" s="18"/>
      <c r="AF241" s="1"/>
      <c r="AG241" s="1"/>
      <c r="AH241" s="1"/>
      <c r="AI241" s="1"/>
      <c r="AJ241" s="18"/>
      <c r="AK241" s="1"/>
    </row>
    <row r="242" spans="1:37" ht="14.25" customHeight="1" x14ac:dyDescent="0.45">
      <c r="A242" s="1"/>
      <c r="B242" s="1"/>
      <c r="C242" s="1"/>
      <c r="D242" s="18"/>
      <c r="E242" s="18"/>
      <c r="F242" s="18"/>
      <c r="G242" s="18"/>
      <c r="H242" s="1"/>
      <c r="I242" s="1"/>
      <c r="J242" s="1"/>
      <c r="K242" s="18"/>
      <c r="L242" s="1"/>
      <c r="M242" s="1"/>
      <c r="N242" s="1"/>
      <c r="O242" s="1"/>
      <c r="P242" s="18"/>
      <c r="Q242" s="1"/>
      <c r="R242" s="1"/>
      <c r="S242" s="1"/>
      <c r="T242" s="1"/>
      <c r="U242" s="18"/>
      <c r="V242" s="1"/>
      <c r="W242" s="1"/>
      <c r="X242" s="1"/>
      <c r="Y242" s="1"/>
      <c r="Z242" s="18"/>
      <c r="AA242" s="1"/>
      <c r="AB242" s="1"/>
      <c r="AC242" s="1"/>
      <c r="AD242" s="1"/>
      <c r="AE242" s="18"/>
      <c r="AF242" s="1"/>
      <c r="AG242" s="1"/>
      <c r="AH242" s="1"/>
      <c r="AI242" s="1"/>
      <c r="AJ242" s="18"/>
      <c r="AK242" s="1"/>
    </row>
    <row r="243" spans="1:37" ht="14.25" customHeight="1" x14ac:dyDescent="0.45">
      <c r="A243" s="1"/>
      <c r="B243" s="1"/>
      <c r="C243" s="1"/>
      <c r="D243" s="18"/>
      <c r="E243" s="18"/>
      <c r="F243" s="18"/>
      <c r="G243" s="18"/>
      <c r="H243" s="1"/>
      <c r="I243" s="1"/>
      <c r="J243" s="1"/>
      <c r="K243" s="18"/>
      <c r="L243" s="1"/>
      <c r="M243" s="1"/>
      <c r="N243" s="1"/>
      <c r="O243" s="1"/>
      <c r="P243" s="18"/>
      <c r="Q243" s="1"/>
      <c r="R243" s="1"/>
      <c r="S243" s="1"/>
      <c r="T243" s="1"/>
      <c r="U243" s="18"/>
      <c r="V243" s="1"/>
      <c r="W243" s="1"/>
      <c r="X243" s="1"/>
      <c r="Y243" s="1"/>
      <c r="Z243" s="18"/>
      <c r="AA243" s="1"/>
      <c r="AB243" s="1"/>
      <c r="AC243" s="1"/>
      <c r="AD243" s="1"/>
      <c r="AE243" s="18"/>
      <c r="AF243" s="1"/>
      <c r="AG243" s="1"/>
      <c r="AH243" s="1"/>
      <c r="AI243" s="1"/>
      <c r="AJ243" s="18"/>
      <c r="AK243" s="1"/>
    </row>
    <row r="244" spans="1:37" ht="14.25" customHeight="1" x14ac:dyDescent="0.45">
      <c r="A244" s="1"/>
      <c r="B244" s="1"/>
      <c r="C244" s="1"/>
      <c r="D244" s="18"/>
      <c r="E244" s="18"/>
      <c r="F244" s="18"/>
      <c r="G244" s="18"/>
      <c r="H244" s="1"/>
      <c r="I244" s="1"/>
      <c r="J244" s="1"/>
      <c r="K244" s="18"/>
      <c r="L244" s="1"/>
      <c r="M244" s="1"/>
      <c r="N244" s="1"/>
      <c r="O244" s="1"/>
      <c r="P244" s="18"/>
      <c r="Q244" s="1"/>
      <c r="R244" s="1"/>
      <c r="S244" s="1"/>
      <c r="T244" s="1"/>
      <c r="U244" s="18"/>
      <c r="V244" s="1"/>
      <c r="W244" s="1"/>
      <c r="X244" s="1"/>
      <c r="Y244" s="1"/>
      <c r="Z244" s="18"/>
      <c r="AA244" s="1"/>
      <c r="AB244" s="1"/>
      <c r="AC244" s="1"/>
      <c r="AD244" s="1"/>
      <c r="AE244" s="18"/>
      <c r="AF244" s="1"/>
      <c r="AG244" s="1"/>
      <c r="AH244" s="1"/>
      <c r="AI244" s="1"/>
      <c r="AJ244" s="18"/>
      <c r="AK244" s="1"/>
    </row>
    <row r="245" spans="1:37" ht="14.25" customHeight="1" x14ac:dyDescent="0.45">
      <c r="A245" s="1"/>
      <c r="B245" s="1"/>
      <c r="C245" s="1"/>
      <c r="D245" s="18"/>
      <c r="E245" s="18"/>
      <c r="F245" s="18"/>
      <c r="G245" s="18"/>
      <c r="H245" s="1"/>
      <c r="I245" s="1"/>
      <c r="J245" s="1"/>
      <c r="K245" s="18"/>
      <c r="L245" s="1"/>
      <c r="M245" s="1"/>
      <c r="N245" s="1"/>
      <c r="O245" s="1"/>
      <c r="P245" s="18"/>
      <c r="Q245" s="1"/>
      <c r="R245" s="1"/>
      <c r="S245" s="1"/>
      <c r="T245" s="1"/>
      <c r="U245" s="18"/>
      <c r="V245" s="1"/>
      <c r="W245" s="1"/>
      <c r="X245" s="1"/>
      <c r="Y245" s="1"/>
      <c r="Z245" s="18"/>
      <c r="AA245" s="1"/>
      <c r="AB245" s="1"/>
      <c r="AC245" s="1"/>
      <c r="AD245" s="1"/>
      <c r="AE245" s="18"/>
      <c r="AF245" s="1"/>
      <c r="AG245" s="1"/>
      <c r="AH245" s="1"/>
      <c r="AI245" s="1"/>
      <c r="AJ245" s="18"/>
      <c r="AK245" s="1"/>
    </row>
    <row r="246" spans="1:37" ht="14.25" customHeight="1" x14ac:dyDescent="0.45">
      <c r="A246" s="1"/>
      <c r="B246" s="1"/>
      <c r="C246" s="1"/>
      <c r="D246" s="18"/>
      <c r="E246" s="18"/>
      <c r="F246" s="18"/>
      <c r="G246" s="18"/>
      <c r="H246" s="1"/>
      <c r="I246" s="1"/>
      <c r="J246" s="1"/>
      <c r="K246" s="18"/>
      <c r="L246" s="1"/>
      <c r="M246" s="1"/>
      <c r="N246" s="1"/>
      <c r="O246" s="1"/>
      <c r="P246" s="18"/>
      <c r="Q246" s="1"/>
      <c r="R246" s="1"/>
      <c r="S246" s="1"/>
      <c r="T246" s="1"/>
      <c r="U246" s="18"/>
      <c r="V246" s="1"/>
      <c r="W246" s="1"/>
      <c r="X246" s="1"/>
      <c r="Y246" s="1"/>
      <c r="Z246" s="18"/>
      <c r="AA246" s="1"/>
      <c r="AB246" s="1"/>
      <c r="AC246" s="1"/>
      <c r="AD246" s="1"/>
      <c r="AE246" s="18"/>
      <c r="AF246" s="1"/>
      <c r="AG246" s="1"/>
      <c r="AH246" s="1"/>
      <c r="AI246" s="1"/>
      <c r="AJ246" s="18"/>
      <c r="AK246" s="1"/>
    </row>
    <row r="247" spans="1:37" ht="14.25" customHeight="1" x14ac:dyDescent="0.45">
      <c r="A247" s="1"/>
      <c r="B247" s="1"/>
      <c r="C247" s="1"/>
      <c r="D247" s="18"/>
      <c r="E247" s="18"/>
      <c r="F247" s="18"/>
      <c r="G247" s="18"/>
      <c r="H247" s="1"/>
      <c r="I247" s="1"/>
      <c r="J247" s="1"/>
      <c r="K247" s="18"/>
      <c r="L247" s="1"/>
      <c r="M247" s="1"/>
      <c r="N247" s="1"/>
      <c r="O247" s="1"/>
      <c r="P247" s="18"/>
      <c r="Q247" s="1"/>
      <c r="R247" s="1"/>
      <c r="S247" s="1"/>
      <c r="T247" s="1"/>
      <c r="U247" s="18"/>
      <c r="V247" s="1"/>
      <c r="W247" s="1"/>
      <c r="X247" s="1"/>
      <c r="Y247" s="1"/>
      <c r="Z247" s="18"/>
      <c r="AA247" s="1"/>
      <c r="AB247" s="1"/>
      <c r="AC247" s="1"/>
      <c r="AD247" s="1"/>
      <c r="AE247" s="18"/>
      <c r="AF247" s="1"/>
      <c r="AG247" s="1"/>
      <c r="AH247" s="1"/>
      <c r="AI247" s="1"/>
      <c r="AJ247" s="18"/>
      <c r="AK247" s="1"/>
    </row>
    <row r="248" spans="1:37" ht="14.25" customHeight="1" x14ac:dyDescent="0.45">
      <c r="A248" s="1"/>
      <c r="B248" s="1"/>
      <c r="C248" s="1"/>
      <c r="D248" s="18"/>
      <c r="E248" s="18"/>
      <c r="F248" s="18"/>
      <c r="G248" s="18"/>
      <c r="H248" s="1"/>
      <c r="I248" s="1"/>
      <c r="J248" s="1"/>
      <c r="K248" s="18"/>
      <c r="L248" s="1"/>
      <c r="M248" s="1"/>
      <c r="N248" s="1"/>
      <c r="O248" s="1"/>
      <c r="P248" s="18"/>
      <c r="Q248" s="1"/>
      <c r="R248" s="1"/>
      <c r="S248" s="1"/>
      <c r="T248" s="1"/>
      <c r="U248" s="18"/>
      <c r="V248" s="1"/>
      <c r="W248" s="1"/>
      <c r="X248" s="1"/>
      <c r="Y248" s="1"/>
      <c r="Z248" s="18"/>
      <c r="AA248" s="1"/>
      <c r="AB248" s="1"/>
      <c r="AC248" s="1"/>
      <c r="AD248" s="1"/>
      <c r="AE248" s="18"/>
      <c r="AF248" s="1"/>
      <c r="AG248" s="1"/>
      <c r="AH248" s="1"/>
      <c r="AI248" s="1"/>
      <c r="AJ248" s="18"/>
      <c r="AK248" s="1"/>
    </row>
    <row r="249" spans="1:37" ht="14.25" customHeight="1" x14ac:dyDescent="0.45">
      <c r="A249" s="1"/>
      <c r="B249" s="1"/>
      <c r="C249" s="1"/>
      <c r="D249" s="18"/>
      <c r="E249" s="18"/>
      <c r="F249" s="18"/>
      <c r="G249" s="18"/>
      <c r="H249" s="1"/>
      <c r="I249" s="1"/>
      <c r="J249" s="1"/>
      <c r="K249" s="18"/>
      <c r="L249" s="1"/>
      <c r="M249" s="1"/>
      <c r="N249" s="1"/>
      <c r="O249" s="1"/>
      <c r="P249" s="18"/>
      <c r="Q249" s="1"/>
      <c r="R249" s="1"/>
      <c r="S249" s="1"/>
      <c r="T249" s="1"/>
      <c r="U249" s="18"/>
      <c r="V249" s="1"/>
      <c r="W249" s="1"/>
      <c r="X249" s="1"/>
      <c r="Y249" s="1"/>
      <c r="Z249" s="18"/>
      <c r="AA249" s="1"/>
      <c r="AB249" s="1"/>
      <c r="AC249" s="1"/>
      <c r="AD249" s="1"/>
      <c r="AE249" s="18"/>
      <c r="AF249" s="1"/>
      <c r="AG249" s="1"/>
      <c r="AH249" s="1"/>
      <c r="AI249" s="1"/>
      <c r="AJ249" s="18"/>
      <c r="AK249" s="1"/>
    </row>
    <row r="250" spans="1:37" ht="14.25" customHeight="1" x14ac:dyDescent="0.45">
      <c r="A250" s="1"/>
      <c r="B250" s="1"/>
      <c r="C250" s="1"/>
      <c r="D250" s="18"/>
      <c r="E250" s="18"/>
      <c r="F250" s="18"/>
      <c r="G250" s="18"/>
      <c r="H250" s="1"/>
      <c r="I250" s="1"/>
      <c r="J250" s="1"/>
      <c r="K250" s="18"/>
      <c r="L250" s="1"/>
      <c r="M250" s="1"/>
      <c r="N250" s="1"/>
      <c r="O250" s="1"/>
      <c r="P250" s="18"/>
      <c r="Q250" s="1"/>
      <c r="R250" s="1"/>
      <c r="S250" s="1"/>
      <c r="T250" s="1"/>
      <c r="U250" s="18"/>
      <c r="V250" s="1"/>
      <c r="W250" s="1"/>
      <c r="X250" s="1"/>
      <c r="Y250" s="1"/>
      <c r="Z250" s="18"/>
      <c r="AA250" s="1"/>
      <c r="AB250" s="1"/>
      <c r="AC250" s="1"/>
      <c r="AD250" s="1"/>
      <c r="AE250" s="18"/>
      <c r="AF250" s="1"/>
      <c r="AG250" s="1"/>
      <c r="AH250" s="1"/>
      <c r="AI250" s="1"/>
      <c r="AJ250" s="18"/>
      <c r="AK250" s="1"/>
    </row>
    <row r="251" spans="1:37" ht="14.25" customHeight="1" x14ac:dyDescent="0.45">
      <c r="A251" s="1"/>
      <c r="B251" s="1"/>
      <c r="C251" s="1"/>
      <c r="D251" s="18"/>
      <c r="E251" s="18"/>
      <c r="F251" s="18"/>
      <c r="G251" s="18"/>
      <c r="H251" s="1"/>
      <c r="I251" s="1"/>
      <c r="J251" s="1"/>
      <c r="K251" s="18"/>
      <c r="L251" s="1"/>
      <c r="M251" s="1"/>
      <c r="N251" s="1"/>
      <c r="O251" s="1"/>
      <c r="P251" s="18"/>
      <c r="Q251" s="1"/>
      <c r="R251" s="1"/>
      <c r="S251" s="1"/>
      <c r="T251" s="1"/>
      <c r="U251" s="18"/>
      <c r="V251" s="1"/>
      <c r="W251" s="1"/>
      <c r="X251" s="1"/>
      <c r="Y251" s="1"/>
      <c r="Z251" s="18"/>
      <c r="AA251" s="1"/>
      <c r="AB251" s="1"/>
      <c r="AC251" s="1"/>
      <c r="AD251" s="1"/>
      <c r="AE251" s="18"/>
      <c r="AF251" s="1"/>
      <c r="AG251" s="1"/>
      <c r="AH251" s="1"/>
      <c r="AI251" s="1"/>
      <c r="AJ251" s="18"/>
      <c r="AK251" s="1"/>
    </row>
    <row r="252" spans="1:37" ht="14.25" customHeight="1" x14ac:dyDescent="0.45">
      <c r="A252" s="1"/>
      <c r="B252" s="1"/>
      <c r="C252" s="1"/>
      <c r="D252" s="18"/>
      <c r="E252" s="18"/>
      <c r="F252" s="18"/>
      <c r="G252" s="18"/>
      <c r="H252" s="1"/>
      <c r="I252" s="1"/>
      <c r="J252" s="1"/>
      <c r="K252" s="18"/>
      <c r="L252" s="1"/>
      <c r="M252" s="1"/>
      <c r="N252" s="1"/>
      <c r="O252" s="1"/>
      <c r="P252" s="18"/>
      <c r="Q252" s="1"/>
      <c r="R252" s="1"/>
      <c r="S252" s="1"/>
      <c r="T252" s="1"/>
      <c r="U252" s="18"/>
      <c r="V252" s="1"/>
      <c r="W252" s="1"/>
      <c r="X252" s="1"/>
      <c r="Y252" s="1"/>
      <c r="Z252" s="18"/>
      <c r="AA252" s="1"/>
      <c r="AB252" s="1"/>
      <c r="AC252" s="1"/>
      <c r="AD252" s="1"/>
      <c r="AE252" s="18"/>
      <c r="AF252" s="1"/>
      <c r="AG252" s="1"/>
      <c r="AH252" s="1"/>
      <c r="AI252" s="1"/>
      <c r="AJ252" s="18"/>
      <c r="AK252" s="1"/>
    </row>
    <row r="253" spans="1:37" ht="14.25" customHeight="1" x14ac:dyDescent="0.45">
      <c r="A253" s="1"/>
      <c r="B253" s="1"/>
      <c r="C253" s="1"/>
      <c r="D253" s="18"/>
      <c r="E253" s="18"/>
      <c r="F253" s="18"/>
      <c r="G253" s="18"/>
      <c r="H253" s="1"/>
      <c r="I253" s="1"/>
      <c r="J253" s="1"/>
      <c r="K253" s="18"/>
      <c r="L253" s="1"/>
      <c r="M253" s="1"/>
      <c r="N253" s="1"/>
      <c r="O253" s="1"/>
      <c r="P253" s="18"/>
      <c r="Q253" s="1"/>
      <c r="R253" s="1"/>
      <c r="S253" s="1"/>
      <c r="T253" s="1"/>
      <c r="U253" s="18"/>
      <c r="V253" s="1"/>
      <c r="W253" s="1"/>
      <c r="X253" s="1"/>
      <c r="Y253" s="1"/>
      <c r="Z253" s="18"/>
      <c r="AA253" s="1"/>
      <c r="AB253" s="1"/>
      <c r="AC253" s="1"/>
      <c r="AD253" s="1"/>
      <c r="AE253" s="18"/>
      <c r="AF253" s="1"/>
      <c r="AG253" s="1"/>
      <c r="AH253" s="1"/>
      <c r="AI253" s="1"/>
      <c r="AJ253" s="18"/>
      <c r="AK253" s="1"/>
    </row>
    <row r="254" spans="1:37" ht="14.25" customHeight="1" x14ac:dyDescent="0.45">
      <c r="A254" s="1"/>
      <c r="B254" s="1"/>
      <c r="C254" s="1"/>
      <c r="D254" s="18"/>
      <c r="E254" s="18"/>
      <c r="F254" s="18"/>
      <c r="G254" s="18"/>
      <c r="H254" s="1"/>
      <c r="I254" s="1"/>
      <c r="J254" s="1"/>
      <c r="K254" s="18"/>
      <c r="L254" s="1"/>
      <c r="M254" s="1"/>
      <c r="N254" s="1"/>
      <c r="O254" s="1"/>
      <c r="P254" s="18"/>
      <c r="Q254" s="1"/>
      <c r="R254" s="1"/>
      <c r="S254" s="1"/>
      <c r="T254" s="1"/>
      <c r="U254" s="18"/>
      <c r="V254" s="1"/>
      <c r="W254" s="1"/>
      <c r="X254" s="1"/>
      <c r="Y254" s="1"/>
      <c r="Z254" s="18"/>
      <c r="AA254" s="1"/>
      <c r="AB254" s="1"/>
      <c r="AC254" s="1"/>
      <c r="AD254" s="1"/>
      <c r="AE254" s="18"/>
      <c r="AF254" s="1"/>
      <c r="AG254" s="1"/>
      <c r="AH254" s="1"/>
      <c r="AI254" s="1"/>
      <c r="AJ254" s="18"/>
      <c r="AK254" s="1"/>
    </row>
    <row r="255" spans="1:37" ht="14.25" customHeight="1" x14ac:dyDescent="0.45">
      <c r="A255" s="1"/>
      <c r="B255" s="1"/>
      <c r="C255" s="1"/>
      <c r="D255" s="18"/>
      <c r="E255" s="18"/>
      <c r="F255" s="18"/>
      <c r="G255" s="18"/>
      <c r="H255" s="1"/>
      <c r="I255" s="1"/>
      <c r="J255" s="1"/>
      <c r="K255" s="18"/>
      <c r="L255" s="1"/>
      <c r="M255" s="1"/>
      <c r="N255" s="1"/>
      <c r="O255" s="1"/>
      <c r="P255" s="18"/>
      <c r="Q255" s="1"/>
      <c r="R255" s="1"/>
      <c r="S255" s="1"/>
      <c r="T255" s="1"/>
      <c r="U255" s="18"/>
      <c r="V255" s="1"/>
      <c r="W255" s="1"/>
      <c r="X255" s="1"/>
      <c r="Y255" s="1"/>
      <c r="Z255" s="18"/>
      <c r="AA255" s="1"/>
      <c r="AB255" s="1"/>
      <c r="AC255" s="1"/>
      <c r="AD255" s="1"/>
      <c r="AE255" s="18"/>
      <c r="AF255" s="1"/>
      <c r="AG255" s="1"/>
      <c r="AH255" s="1"/>
      <c r="AI255" s="1"/>
      <c r="AJ255" s="18"/>
      <c r="AK255" s="1"/>
    </row>
    <row r="256" spans="1:37" ht="14.25" customHeight="1" x14ac:dyDescent="0.45">
      <c r="A256" s="1"/>
      <c r="B256" s="1"/>
      <c r="C256" s="1"/>
      <c r="D256" s="18"/>
      <c r="E256" s="18"/>
      <c r="F256" s="18"/>
      <c r="G256" s="18"/>
      <c r="H256" s="1"/>
      <c r="I256" s="1"/>
      <c r="J256" s="1"/>
      <c r="K256" s="18"/>
      <c r="L256" s="1"/>
      <c r="M256" s="1"/>
      <c r="N256" s="1"/>
      <c r="O256" s="1"/>
      <c r="P256" s="18"/>
      <c r="Q256" s="1"/>
      <c r="R256" s="1"/>
      <c r="S256" s="1"/>
      <c r="T256" s="1"/>
      <c r="U256" s="18"/>
      <c r="V256" s="1"/>
      <c r="W256" s="1"/>
      <c r="X256" s="1"/>
      <c r="Y256" s="1"/>
      <c r="Z256" s="18"/>
      <c r="AA256" s="1"/>
      <c r="AB256" s="1"/>
      <c r="AC256" s="1"/>
      <c r="AD256" s="1"/>
      <c r="AE256" s="18"/>
      <c r="AF256" s="1"/>
      <c r="AG256" s="1"/>
      <c r="AH256" s="1"/>
      <c r="AI256" s="1"/>
      <c r="AJ256" s="18"/>
      <c r="AK256" s="1"/>
    </row>
    <row r="257" spans="1:37" ht="14.25" customHeight="1" x14ac:dyDescent="0.45">
      <c r="A257" s="1"/>
      <c r="B257" s="1"/>
      <c r="C257" s="1"/>
      <c r="D257" s="18"/>
      <c r="E257" s="18"/>
      <c r="F257" s="18"/>
      <c r="G257" s="18"/>
      <c r="H257" s="1"/>
      <c r="I257" s="1"/>
      <c r="J257" s="1"/>
      <c r="K257" s="18"/>
      <c r="L257" s="1"/>
      <c r="M257" s="1"/>
      <c r="N257" s="1"/>
      <c r="O257" s="1"/>
      <c r="P257" s="18"/>
      <c r="Q257" s="1"/>
      <c r="R257" s="1"/>
      <c r="S257" s="1"/>
      <c r="T257" s="1"/>
      <c r="U257" s="18"/>
      <c r="V257" s="1"/>
      <c r="W257" s="1"/>
      <c r="X257" s="1"/>
      <c r="Y257" s="1"/>
      <c r="Z257" s="18"/>
      <c r="AA257" s="1"/>
      <c r="AB257" s="1"/>
      <c r="AC257" s="1"/>
      <c r="AD257" s="1"/>
      <c r="AE257" s="18"/>
      <c r="AF257" s="1"/>
      <c r="AG257" s="1"/>
      <c r="AH257" s="1"/>
      <c r="AI257" s="1"/>
      <c r="AJ257" s="18"/>
      <c r="AK257" s="1"/>
    </row>
    <row r="258" spans="1:37" ht="14.25" customHeight="1" x14ac:dyDescent="0.45">
      <c r="A258" s="1"/>
      <c r="B258" s="1"/>
      <c r="C258" s="1"/>
      <c r="D258" s="18"/>
      <c r="E258" s="18"/>
      <c r="F258" s="18"/>
      <c r="G258" s="18"/>
      <c r="H258" s="1"/>
      <c r="I258" s="1"/>
      <c r="J258" s="1"/>
      <c r="K258" s="18"/>
      <c r="L258" s="1"/>
      <c r="M258" s="1"/>
      <c r="N258" s="1"/>
      <c r="O258" s="1"/>
      <c r="P258" s="18"/>
      <c r="Q258" s="1"/>
      <c r="R258" s="1"/>
      <c r="S258" s="1"/>
      <c r="T258" s="1"/>
      <c r="U258" s="18"/>
      <c r="V258" s="1"/>
      <c r="W258" s="1"/>
      <c r="X258" s="1"/>
      <c r="Y258" s="1"/>
      <c r="Z258" s="18"/>
      <c r="AA258" s="1"/>
      <c r="AB258" s="1"/>
      <c r="AC258" s="1"/>
      <c r="AD258" s="1"/>
      <c r="AE258" s="18"/>
      <c r="AF258" s="1"/>
      <c r="AG258" s="1"/>
      <c r="AH258" s="1"/>
      <c r="AI258" s="1"/>
      <c r="AJ258" s="18"/>
      <c r="AK258" s="1"/>
    </row>
    <row r="259" spans="1:37" ht="14.25" customHeight="1" x14ac:dyDescent="0.45">
      <c r="A259" s="1"/>
      <c r="B259" s="1"/>
      <c r="C259" s="1"/>
      <c r="D259" s="18"/>
      <c r="E259" s="18"/>
      <c r="F259" s="18"/>
      <c r="G259" s="18"/>
      <c r="H259" s="1"/>
      <c r="I259" s="1"/>
      <c r="J259" s="1"/>
      <c r="K259" s="18"/>
      <c r="L259" s="1"/>
      <c r="M259" s="1"/>
      <c r="N259" s="1"/>
      <c r="O259" s="1"/>
      <c r="P259" s="18"/>
      <c r="Q259" s="1"/>
      <c r="R259" s="1"/>
      <c r="S259" s="1"/>
      <c r="T259" s="1"/>
      <c r="U259" s="18"/>
      <c r="V259" s="1"/>
      <c r="W259" s="1"/>
      <c r="X259" s="1"/>
      <c r="Y259" s="1"/>
      <c r="Z259" s="18"/>
      <c r="AA259" s="1"/>
      <c r="AB259" s="1"/>
      <c r="AC259" s="1"/>
      <c r="AD259" s="1"/>
      <c r="AE259" s="18"/>
      <c r="AF259" s="1"/>
      <c r="AG259" s="1"/>
      <c r="AH259" s="1"/>
      <c r="AI259" s="1"/>
      <c r="AJ259" s="18"/>
      <c r="AK259" s="1"/>
    </row>
    <row r="260" spans="1:37" ht="14.25" customHeight="1" x14ac:dyDescent="0.45">
      <c r="A260" s="1"/>
      <c r="B260" s="1"/>
      <c r="C260" s="1"/>
      <c r="D260" s="18"/>
      <c r="E260" s="18"/>
      <c r="F260" s="18"/>
      <c r="G260" s="18"/>
      <c r="H260" s="1"/>
      <c r="I260" s="1"/>
      <c r="J260" s="1"/>
      <c r="K260" s="18"/>
      <c r="L260" s="1"/>
      <c r="M260" s="1"/>
      <c r="N260" s="1"/>
      <c r="O260" s="1"/>
      <c r="P260" s="18"/>
      <c r="Q260" s="1"/>
      <c r="R260" s="1"/>
      <c r="S260" s="1"/>
      <c r="T260" s="1"/>
      <c r="U260" s="18"/>
      <c r="V260" s="1"/>
      <c r="W260" s="1"/>
      <c r="X260" s="1"/>
      <c r="Y260" s="1"/>
      <c r="Z260" s="18"/>
      <c r="AA260" s="1"/>
      <c r="AB260" s="1"/>
      <c r="AC260" s="1"/>
      <c r="AD260" s="1"/>
      <c r="AE260" s="18"/>
      <c r="AF260" s="1"/>
      <c r="AG260" s="1"/>
      <c r="AH260" s="1"/>
      <c r="AI260" s="1"/>
      <c r="AJ260" s="18"/>
      <c r="AK260" s="1"/>
    </row>
    <row r="261" spans="1:37" ht="14.25" customHeight="1" x14ac:dyDescent="0.45">
      <c r="A261" s="1"/>
      <c r="B261" s="1"/>
      <c r="C261" s="1"/>
      <c r="D261" s="18"/>
      <c r="E261" s="18"/>
      <c r="F261" s="18"/>
      <c r="G261" s="18"/>
      <c r="H261" s="1"/>
      <c r="I261" s="1"/>
      <c r="J261" s="1"/>
      <c r="K261" s="18"/>
      <c r="L261" s="1"/>
      <c r="M261" s="1"/>
      <c r="N261" s="1"/>
      <c r="O261" s="1"/>
      <c r="P261" s="18"/>
      <c r="Q261" s="1"/>
      <c r="R261" s="1"/>
      <c r="S261" s="1"/>
      <c r="T261" s="1"/>
      <c r="U261" s="18"/>
      <c r="V261" s="1"/>
      <c r="W261" s="1"/>
      <c r="X261" s="1"/>
      <c r="Y261" s="1"/>
      <c r="Z261" s="18"/>
      <c r="AA261" s="1"/>
      <c r="AB261" s="1"/>
      <c r="AC261" s="1"/>
      <c r="AD261" s="1"/>
      <c r="AE261" s="18"/>
      <c r="AF261" s="1"/>
      <c r="AG261" s="1"/>
      <c r="AH261" s="1"/>
      <c r="AI261" s="1"/>
      <c r="AJ261" s="18"/>
      <c r="AK261" s="1"/>
    </row>
    <row r="262" spans="1:37" ht="14.25" customHeight="1" x14ac:dyDescent="0.45">
      <c r="A262" s="1"/>
      <c r="B262" s="1"/>
      <c r="C262" s="1"/>
      <c r="D262" s="18"/>
      <c r="E262" s="18"/>
      <c r="F262" s="18"/>
      <c r="G262" s="18"/>
      <c r="H262" s="1"/>
      <c r="I262" s="1"/>
      <c r="J262" s="1"/>
      <c r="K262" s="18"/>
      <c r="L262" s="1"/>
      <c r="M262" s="1"/>
      <c r="N262" s="1"/>
      <c r="O262" s="1"/>
      <c r="P262" s="18"/>
      <c r="Q262" s="1"/>
      <c r="R262" s="1"/>
      <c r="S262" s="1"/>
      <c r="T262" s="1"/>
      <c r="U262" s="18"/>
      <c r="V262" s="1"/>
      <c r="W262" s="1"/>
      <c r="X262" s="1"/>
      <c r="Y262" s="1"/>
      <c r="Z262" s="18"/>
      <c r="AA262" s="1"/>
      <c r="AB262" s="1"/>
      <c r="AC262" s="1"/>
      <c r="AD262" s="1"/>
      <c r="AE262" s="18"/>
      <c r="AF262" s="1"/>
      <c r="AG262" s="1"/>
      <c r="AH262" s="1"/>
      <c r="AI262" s="1"/>
      <c r="AJ262" s="18"/>
      <c r="AK262" s="1"/>
    </row>
    <row r="263" spans="1:37" ht="14.25" customHeight="1" x14ac:dyDescent="0.45">
      <c r="A263" s="1"/>
      <c r="B263" s="1"/>
      <c r="C263" s="1"/>
      <c r="D263" s="18"/>
      <c r="E263" s="18"/>
      <c r="F263" s="18"/>
      <c r="G263" s="18"/>
      <c r="H263" s="1"/>
      <c r="I263" s="1"/>
      <c r="J263" s="1"/>
      <c r="K263" s="18"/>
      <c r="L263" s="1"/>
      <c r="M263" s="1"/>
      <c r="N263" s="1"/>
      <c r="O263" s="1"/>
      <c r="P263" s="18"/>
      <c r="Q263" s="1"/>
      <c r="R263" s="1"/>
      <c r="S263" s="1"/>
      <c r="T263" s="1"/>
      <c r="U263" s="18"/>
      <c r="V263" s="1"/>
      <c r="W263" s="1"/>
      <c r="X263" s="1"/>
      <c r="Y263" s="1"/>
      <c r="Z263" s="18"/>
      <c r="AA263" s="1"/>
      <c r="AB263" s="1"/>
      <c r="AC263" s="1"/>
      <c r="AD263" s="1"/>
      <c r="AE263" s="18"/>
      <c r="AF263" s="1"/>
      <c r="AG263" s="1"/>
      <c r="AH263" s="1"/>
      <c r="AI263" s="1"/>
      <c r="AJ263" s="18"/>
      <c r="AK263" s="1"/>
    </row>
    <row r="264" spans="1:37" ht="14.25" customHeight="1" x14ac:dyDescent="0.45">
      <c r="A264" s="1"/>
      <c r="B264" s="1"/>
      <c r="C264" s="1"/>
      <c r="D264" s="18"/>
      <c r="E264" s="18"/>
      <c r="F264" s="18"/>
      <c r="G264" s="18"/>
      <c r="H264" s="1"/>
      <c r="I264" s="1"/>
      <c r="J264" s="1"/>
      <c r="K264" s="18"/>
      <c r="L264" s="1"/>
      <c r="M264" s="1"/>
      <c r="N264" s="1"/>
      <c r="O264" s="1"/>
      <c r="P264" s="18"/>
      <c r="Q264" s="1"/>
      <c r="R264" s="1"/>
      <c r="S264" s="1"/>
      <c r="T264" s="1"/>
      <c r="U264" s="18"/>
      <c r="V264" s="1"/>
      <c r="W264" s="1"/>
      <c r="X264" s="1"/>
      <c r="Y264" s="1"/>
      <c r="Z264" s="18"/>
      <c r="AA264" s="1"/>
      <c r="AB264" s="1"/>
      <c r="AC264" s="1"/>
      <c r="AD264" s="1"/>
      <c r="AE264" s="18"/>
      <c r="AF264" s="1"/>
      <c r="AG264" s="1"/>
      <c r="AH264" s="1"/>
      <c r="AI264" s="1"/>
      <c r="AJ264" s="18"/>
      <c r="AK264" s="1"/>
    </row>
    <row r="265" spans="1:37" ht="14.25" customHeight="1" x14ac:dyDescent="0.45">
      <c r="A265" s="1"/>
      <c r="B265" s="1"/>
      <c r="C265" s="1"/>
      <c r="D265" s="18"/>
      <c r="E265" s="18"/>
      <c r="F265" s="18"/>
      <c r="G265" s="18"/>
      <c r="H265" s="1"/>
      <c r="I265" s="1"/>
      <c r="J265" s="1"/>
      <c r="K265" s="18"/>
      <c r="L265" s="1"/>
      <c r="M265" s="1"/>
      <c r="N265" s="1"/>
      <c r="O265" s="1"/>
      <c r="P265" s="18"/>
      <c r="Q265" s="1"/>
      <c r="R265" s="1"/>
      <c r="S265" s="1"/>
      <c r="T265" s="1"/>
      <c r="U265" s="18"/>
      <c r="V265" s="1"/>
      <c r="W265" s="1"/>
      <c r="X265" s="1"/>
      <c r="Y265" s="1"/>
      <c r="Z265" s="18"/>
      <c r="AA265" s="1"/>
      <c r="AB265" s="1"/>
      <c r="AC265" s="1"/>
      <c r="AD265" s="1"/>
      <c r="AE265" s="18"/>
      <c r="AF265" s="1"/>
      <c r="AG265" s="1"/>
      <c r="AH265" s="1"/>
      <c r="AI265" s="1"/>
      <c r="AJ265" s="18"/>
      <c r="AK265" s="1"/>
    </row>
    <row r="266" spans="1:37" ht="14.25" customHeight="1" x14ac:dyDescent="0.45">
      <c r="A266" s="1"/>
      <c r="B266" s="1"/>
      <c r="C266" s="1"/>
      <c r="D266" s="18"/>
      <c r="E266" s="18"/>
      <c r="F266" s="18"/>
      <c r="G266" s="18"/>
      <c r="H266" s="1"/>
      <c r="I266" s="1"/>
      <c r="J266" s="1"/>
      <c r="K266" s="18"/>
      <c r="L266" s="1"/>
      <c r="M266" s="1"/>
      <c r="N266" s="1"/>
      <c r="O266" s="1"/>
      <c r="P266" s="18"/>
      <c r="Q266" s="1"/>
      <c r="R266" s="1"/>
      <c r="S266" s="1"/>
      <c r="T266" s="1"/>
      <c r="U266" s="18"/>
      <c r="V266" s="1"/>
      <c r="W266" s="1"/>
      <c r="X266" s="1"/>
      <c r="Y266" s="1"/>
      <c r="Z266" s="18"/>
      <c r="AA266" s="1"/>
      <c r="AB266" s="1"/>
      <c r="AC266" s="1"/>
      <c r="AD266" s="1"/>
      <c r="AE266" s="18"/>
      <c r="AF266" s="1"/>
      <c r="AG266" s="1"/>
      <c r="AH266" s="1"/>
      <c r="AI266" s="1"/>
      <c r="AJ266" s="18"/>
      <c r="AK266" s="1"/>
    </row>
    <row r="267" spans="1:37" ht="14.25" customHeight="1" x14ac:dyDescent="0.45">
      <c r="A267" s="1"/>
      <c r="B267" s="1"/>
      <c r="C267" s="1"/>
      <c r="D267" s="18"/>
      <c r="E267" s="18"/>
      <c r="F267" s="18"/>
      <c r="G267" s="18"/>
      <c r="H267" s="1"/>
      <c r="I267" s="1"/>
      <c r="J267" s="1"/>
      <c r="K267" s="18"/>
      <c r="L267" s="1"/>
      <c r="M267" s="1"/>
      <c r="N267" s="1"/>
      <c r="O267" s="1"/>
      <c r="P267" s="18"/>
      <c r="Q267" s="1"/>
      <c r="R267" s="1"/>
      <c r="S267" s="1"/>
      <c r="T267" s="1"/>
      <c r="U267" s="18"/>
      <c r="V267" s="1"/>
      <c r="W267" s="1"/>
      <c r="X267" s="1"/>
      <c r="Y267" s="1"/>
      <c r="Z267" s="18"/>
      <c r="AA267" s="1"/>
      <c r="AB267" s="1"/>
      <c r="AC267" s="1"/>
      <c r="AD267" s="1"/>
      <c r="AE267" s="18"/>
      <c r="AF267" s="1"/>
      <c r="AG267" s="1"/>
      <c r="AH267" s="1"/>
      <c r="AI267" s="1"/>
      <c r="AJ267" s="18"/>
      <c r="AK267" s="1"/>
    </row>
    <row r="268" spans="1:37" ht="14.25" customHeight="1" x14ac:dyDescent="0.45">
      <c r="A268" s="1"/>
      <c r="B268" s="1"/>
      <c r="C268" s="1"/>
      <c r="D268" s="18"/>
      <c r="E268" s="18"/>
      <c r="F268" s="18"/>
      <c r="G268" s="18"/>
      <c r="H268" s="1"/>
      <c r="I268" s="1"/>
      <c r="J268" s="1"/>
      <c r="K268" s="18"/>
      <c r="L268" s="1"/>
      <c r="M268" s="1"/>
      <c r="N268" s="1"/>
      <c r="O268" s="1"/>
      <c r="P268" s="18"/>
      <c r="Q268" s="1"/>
      <c r="R268" s="1"/>
      <c r="S268" s="1"/>
      <c r="T268" s="1"/>
      <c r="U268" s="18"/>
      <c r="V268" s="1"/>
      <c r="W268" s="1"/>
      <c r="X268" s="1"/>
      <c r="Y268" s="1"/>
      <c r="Z268" s="18"/>
      <c r="AA268" s="1"/>
      <c r="AB268" s="1"/>
      <c r="AC268" s="1"/>
      <c r="AD268" s="1"/>
      <c r="AE268" s="18"/>
      <c r="AF268" s="1"/>
      <c r="AG268" s="1"/>
      <c r="AH268" s="1"/>
      <c r="AI268" s="1"/>
      <c r="AJ268" s="18"/>
      <c r="AK268" s="1"/>
    </row>
    <row r="269" spans="1:37" ht="14.25" customHeight="1" x14ac:dyDescent="0.45">
      <c r="A269" s="1"/>
      <c r="B269" s="1"/>
      <c r="C269" s="1"/>
      <c r="D269" s="18"/>
      <c r="E269" s="18"/>
      <c r="F269" s="18"/>
      <c r="G269" s="18"/>
      <c r="H269" s="1"/>
      <c r="I269" s="1"/>
      <c r="J269" s="1"/>
      <c r="K269" s="18"/>
      <c r="L269" s="1"/>
      <c r="M269" s="1"/>
      <c r="N269" s="1"/>
      <c r="O269" s="1"/>
      <c r="P269" s="18"/>
      <c r="Q269" s="1"/>
      <c r="R269" s="1"/>
      <c r="S269" s="1"/>
      <c r="T269" s="1"/>
      <c r="U269" s="18"/>
      <c r="V269" s="1"/>
      <c r="W269" s="1"/>
      <c r="X269" s="1"/>
      <c r="Y269" s="1"/>
      <c r="Z269" s="18"/>
      <c r="AA269" s="1"/>
      <c r="AB269" s="1"/>
      <c r="AC269" s="1"/>
      <c r="AD269" s="1"/>
      <c r="AE269" s="18"/>
      <c r="AF269" s="1"/>
      <c r="AG269" s="1"/>
      <c r="AH269" s="1"/>
      <c r="AI269" s="1"/>
      <c r="AJ269" s="18"/>
      <c r="AK269" s="1"/>
    </row>
    <row r="270" spans="1:37" ht="14.25" customHeight="1" x14ac:dyDescent="0.45">
      <c r="A270" s="1"/>
      <c r="B270" s="1"/>
      <c r="C270" s="1"/>
      <c r="D270" s="18"/>
      <c r="E270" s="18"/>
      <c r="F270" s="18"/>
      <c r="G270" s="18"/>
      <c r="H270" s="1"/>
      <c r="I270" s="1"/>
      <c r="J270" s="1"/>
      <c r="K270" s="18"/>
      <c r="L270" s="1"/>
      <c r="M270" s="1"/>
      <c r="N270" s="1"/>
      <c r="O270" s="1"/>
      <c r="P270" s="18"/>
      <c r="Q270" s="1"/>
      <c r="R270" s="1"/>
      <c r="S270" s="1"/>
      <c r="T270" s="1"/>
      <c r="U270" s="18"/>
      <c r="V270" s="1"/>
      <c r="W270" s="1"/>
      <c r="X270" s="1"/>
      <c r="Y270" s="1"/>
      <c r="Z270" s="18"/>
      <c r="AA270" s="1"/>
      <c r="AB270" s="1"/>
      <c r="AC270" s="1"/>
      <c r="AD270" s="1"/>
      <c r="AE270" s="18"/>
      <c r="AF270" s="1"/>
      <c r="AG270" s="1"/>
      <c r="AH270" s="1"/>
      <c r="AI270" s="1"/>
      <c r="AJ270" s="18"/>
      <c r="AK270" s="1"/>
    </row>
    <row r="271" spans="1:37" ht="14.25" customHeight="1" x14ac:dyDescent="0.45">
      <c r="A271" s="1"/>
      <c r="B271" s="1"/>
      <c r="C271" s="1"/>
      <c r="D271" s="18"/>
      <c r="E271" s="18"/>
      <c r="F271" s="18"/>
      <c r="G271" s="18"/>
      <c r="H271" s="1"/>
      <c r="I271" s="1"/>
      <c r="J271" s="1"/>
      <c r="K271" s="18"/>
      <c r="L271" s="1"/>
      <c r="M271" s="1"/>
      <c r="N271" s="1"/>
      <c r="O271" s="1"/>
      <c r="P271" s="18"/>
      <c r="Q271" s="1"/>
      <c r="R271" s="1"/>
      <c r="S271" s="1"/>
      <c r="T271" s="1"/>
      <c r="U271" s="18"/>
      <c r="V271" s="1"/>
      <c r="W271" s="1"/>
      <c r="X271" s="1"/>
      <c r="Y271" s="1"/>
      <c r="Z271" s="18"/>
      <c r="AA271" s="1"/>
      <c r="AB271" s="1"/>
      <c r="AC271" s="1"/>
      <c r="AD271" s="1"/>
      <c r="AE271" s="18"/>
      <c r="AF271" s="1"/>
      <c r="AG271" s="1"/>
      <c r="AH271" s="1"/>
      <c r="AI271" s="1"/>
      <c r="AJ271" s="18"/>
      <c r="AK271" s="1"/>
    </row>
    <row r="272" spans="1:37" ht="14.25" customHeight="1" x14ac:dyDescent="0.45">
      <c r="A272" s="1"/>
      <c r="B272" s="1"/>
      <c r="C272" s="1"/>
      <c r="D272" s="18"/>
      <c r="E272" s="18"/>
      <c r="F272" s="18"/>
      <c r="G272" s="18"/>
      <c r="H272" s="1"/>
      <c r="I272" s="1"/>
      <c r="J272" s="1"/>
      <c r="K272" s="18"/>
      <c r="L272" s="1"/>
      <c r="M272" s="1"/>
      <c r="N272" s="1"/>
      <c r="O272" s="1"/>
      <c r="P272" s="18"/>
      <c r="Q272" s="1"/>
      <c r="R272" s="1"/>
      <c r="S272" s="1"/>
      <c r="T272" s="1"/>
      <c r="U272" s="18"/>
      <c r="V272" s="1"/>
      <c r="W272" s="1"/>
      <c r="X272" s="1"/>
      <c r="Y272" s="1"/>
      <c r="Z272" s="18"/>
      <c r="AA272" s="1"/>
      <c r="AB272" s="1"/>
      <c r="AC272" s="1"/>
      <c r="AD272" s="1"/>
      <c r="AE272" s="18"/>
      <c r="AF272" s="1"/>
      <c r="AG272" s="1"/>
      <c r="AH272" s="1"/>
      <c r="AI272" s="1"/>
      <c r="AJ272" s="18"/>
      <c r="AK272" s="1"/>
    </row>
    <row r="273" spans="1:37" ht="14.25" customHeight="1" x14ac:dyDescent="0.45">
      <c r="A273" s="1"/>
      <c r="B273" s="1"/>
      <c r="C273" s="1"/>
      <c r="D273" s="18"/>
      <c r="E273" s="18"/>
      <c r="F273" s="18"/>
      <c r="G273" s="18"/>
      <c r="H273" s="1"/>
      <c r="I273" s="1"/>
      <c r="J273" s="1"/>
      <c r="K273" s="18"/>
      <c r="L273" s="1"/>
      <c r="M273" s="1"/>
      <c r="N273" s="1"/>
      <c r="O273" s="1"/>
      <c r="P273" s="18"/>
      <c r="Q273" s="1"/>
      <c r="R273" s="1"/>
      <c r="S273" s="1"/>
      <c r="T273" s="1"/>
      <c r="U273" s="18"/>
      <c r="V273" s="1"/>
      <c r="W273" s="1"/>
      <c r="X273" s="1"/>
      <c r="Y273" s="1"/>
      <c r="Z273" s="18"/>
      <c r="AA273" s="1"/>
      <c r="AB273" s="1"/>
      <c r="AC273" s="1"/>
      <c r="AD273" s="1"/>
      <c r="AE273" s="18"/>
      <c r="AF273" s="1"/>
      <c r="AG273" s="1"/>
      <c r="AH273" s="1"/>
      <c r="AI273" s="1"/>
      <c r="AJ273" s="18"/>
      <c r="AK273" s="1"/>
    </row>
    <row r="274" spans="1:37" ht="14.25" customHeight="1" x14ac:dyDescent="0.45">
      <c r="A274" s="1"/>
      <c r="B274" s="1"/>
      <c r="C274" s="1"/>
      <c r="D274" s="18"/>
      <c r="E274" s="18"/>
      <c r="F274" s="18"/>
      <c r="G274" s="18"/>
      <c r="H274" s="1"/>
      <c r="I274" s="1"/>
      <c r="J274" s="1"/>
      <c r="K274" s="18"/>
      <c r="L274" s="1"/>
      <c r="M274" s="1"/>
      <c r="N274" s="1"/>
      <c r="O274" s="1"/>
      <c r="P274" s="18"/>
      <c r="Q274" s="1"/>
      <c r="R274" s="1"/>
      <c r="S274" s="1"/>
      <c r="T274" s="1"/>
      <c r="U274" s="18"/>
      <c r="V274" s="1"/>
      <c r="W274" s="1"/>
      <c r="X274" s="1"/>
      <c r="Y274" s="1"/>
      <c r="Z274" s="18"/>
      <c r="AA274" s="1"/>
      <c r="AB274" s="1"/>
      <c r="AC274" s="1"/>
      <c r="AD274" s="1"/>
      <c r="AE274" s="18"/>
      <c r="AF274" s="1"/>
      <c r="AG274" s="1"/>
      <c r="AH274" s="1"/>
      <c r="AI274" s="1"/>
      <c r="AJ274" s="18"/>
      <c r="AK274" s="1"/>
    </row>
    <row r="275" spans="1:37" ht="14.25" customHeight="1" x14ac:dyDescent="0.45">
      <c r="A275" s="1"/>
      <c r="B275" s="1"/>
      <c r="C275" s="1"/>
      <c r="D275" s="18"/>
      <c r="E275" s="18"/>
      <c r="F275" s="18"/>
      <c r="G275" s="18"/>
      <c r="H275" s="1"/>
      <c r="I275" s="1"/>
      <c r="J275" s="1"/>
      <c r="K275" s="18"/>
      <c r="L275" s="1"/>
      <c r="M275" s="1"/>
      <c r="N275" s="1"/>
      <c r="O275" s="1"/>
      <c r="P275" s="18"/>
      <c r="Q275" s="1"/>
      <c r="R275" s="1"/>
      <c r="S275" s="1"/>
      <c r="T275" s="1"/>
      <c r="U275" s="18"/>
      <c r="V275" s="1"/>
      <c r="W275" s="1"/>
      <c r="X275" s="1"/>
      <c r="Y275" s="1"/>
      <c r="Z275" s="18"/>
      <c r="AA275" s="1"/>
      <c r="AB275" s="1"/>
      <c r="AC275" s="1"/>
      <c r="AD275" s="1"/>
      <c r="AE275" s="18"/>
      <c r="AF275" s="1"/>
      <c r="AG275" s="1"/>
      <c r="AH275" s="1"/>
      <c r="AI275" s="1"/>
      <c r="AJ275" s="18"/>
      <c r="AK275" s="1"/>
    </row>
    <row r="276" spans="1:37" ht="14.25" customHeight="1" x14ac:dyDescent="0.45">
      <c r="A276" s="1"/>
      <c r="B276" s="1"/>
      <c r="C276" s="1"/>
      <c r="D276" s="18"/>
      <c r="E276" s="18"/>
      <c r="F276" s="18"/>
      <c r="G276" s="18"/>
      <c r="H276" s="1"/>
      <c r="I276" s="1"/>
      <c r="J276" s="1"/>
      <c r="K276" s="18"/>
      <c r="L276" s="1"/>
      <c r="M276" s="1"/>
      <c r="N276" s="1"/>
      <c r="O276" s="1"/>
      <c r="P276" s="18"/>
      <c r="Q276" s="1"/>
      <c r="R276" s="1"/>
      <c r="S276" s="1"/>
      <c r="T276" s="1"/>
      <c r="U276" s="18"/>
      <c r="V276" s="1"/>
      <c r="W276" s="1"/>
      <c r="X276" s="1"/>
      <c r="Y276" s="1"/>
      <c r="Z276" s="18"/>
      <c r="AA276" s="1"/>
      <c r="AB276" s="1"/>
      <c r="AC276" s="1"/>
      <c r="AD276" s="1"/>
      <c r="AE276" s="18"/>
      <c r="AF276" s="1"/>
      <c r="AG276" s="1"/>
      <c r="AH276" s="1"/>
      <c r="AI276" s="1"/>
      <c r="AJ276" s="18"/>
      <c r="AK276" s="1"/>
    </row>
    <row r="277" spans="1:37" ht="14.25" customHeight="1" x14ac:dyDescent="0.45">
      <c r="A277" s="1"/>
      <c r="B277" s="1"/>
      <c r="C277" s="1"/>
      <c r="D277" s="18"/>
      <c r="E277" s="18"/>
      <c r="F277" s="18"/>
      <c r="G277" s="18"/>
      <c r="H277" s="1"/>
      <c r="I277" s="1"/>
      <c r="J277" s="1"/>
      <c r="K277" s="18"/>
      <c r="L277" s="1"/>
      <c r="M277" s="1"/>
      <c r="N277" s="1"/>
      <c r="O277" s="1"/>
      <c r="P277" s="18"/>
      <c r="Q277" s="1"/>
      <c r="R277" s="1"/>
      <c r="S277" s="1"/>
      <c r="T277" s="1"/>
      <c r="U277" s="18"/>
      <c r="V277" s="1"/>
      <c r="W277" s="1"/>
      <c r="X277" s="1"/>
      <c r="Y277" s="1"/>
      <c r="Z277" s="18"/>
      <c r="AA277" s="1"/>
      <c r="AB277" s="1"/>
      <c r="AC277" s="1"/>
      <c r="AD277" s="1"/>
      <c r="AE277" s="18"/>
      <c r="AF277" s="1"/>
      <c r="AG277" s="1"/>
      <c r="AH277" s="1"/>
      <c r="AI277" s="1"/>
      <c r="AJ277" s="18"/>
      <c r="AK277" s="1"/>
    </row>
    <row r="278" spans="1:37" ht="14.25" customHeight="1" x14ac:dyDescent="0.45">
      <c r="A278" s="1"/>
      <c r="B278" s="1"/>
      <c r="C278" s="1"/>
      <c r="D278" s="18"/>
      <c r="E278" s="18"/>
      <c r="F278" s="18"/>
      <c r="G278" s="18"/>
      <c r="H278" s="1"/>
      <c r="I278" s="1"/>
      <c r="J278" s="1"/>
      <c r="K278" s="18"/>
      <c r="L278" s="1"/>
      <c r="M278" s="1"/>
      <c r="N278" s="1"/>
      <c r="O278" s="1"/>
      <c r="P278" s="18"/>
      <c r="Q278" s="1"/>
      <c r="R278" s="1"/>
      <c r="S278" s="1"/>
      <c r="T278" s="1"/>
      <c r="U278" s="18"/>
      <c r="V278" s="1"/>
      <c r="W278" s="1"/>
      <c r="X278" s="1"/>
      <c r="Y278" s="1"/>
      <c r="Z278" s="18"/>
      <c r="AA278" s="1"/>
      <c r="AB278" s="1"/>
      <c r="AC278" s="1"/>
      <c r="AD278" s="1"/>
      <c r="AE278" s="18"/>
      <c r="AF278" s="1"/>
      <c r="AG278" s="1"/>
      <c r="AH278" s="1"/>
      <c r="AI278" s="1"/>
      <c r="AJ278" s="18"/>
      <c r="AK278" s="1"/>
    </row>
    <row r="279" spans="1:37" ht="14.25" customHeight="1" x14ac:dyDescent="0.45">
      <c r="A279" s="1"/>
      <c r="B279" s="1"/>
      <c r="C279" s="1"/>
      <c r="D279" s="18"/>
      <c r="E279" s="18"/>
      <c r="F279" s="18"/>
      <c r="G279" s="18"/>
      <c r="H279" s="1"/>
      <c r="I279" s="1"/>
      <c r="J279" s="1"/>
      <c r="K279" s="18"/>
      <c r="L279" s="1"/>
      <c r="M279" s="1"/>
      <c r="N279" s="1"/>
      <c r="O279" s="1"/>
      <c r="P279" s="18"/>
      <c r="Q279" s="1"/>
      <c r="R279" s="1"/>
      <c r="S279" s="1"/>
      <c r="T279" s="1"/>
      <c r="U279" s="18"/>
      <c r="V279" s="1"/>
      <c r="W279" s="1"/>
      <c r="X279" s="1"/>
      <c r="Y279" s="1"/>
      <c r="Z279" s="18"/>
      <c r="AA279" s="1"/>
      <c r="AB279" s="1"/>
      <c r="AC279" s="1"/>
      <c r="AD279" s="1"/>
      <c r="AE279" s="18"/>
      <c r="AF279" s="1"/>
      <c r="AG279" s="1"/>
      <c r="AH279" s="1"/>
      <c r="AI279" s="1"/>
      <c r="AJ279" s="18"/>
      <c r="AK279" s="1"/>
    </row>
    <row r="280" spans="1:37" ht="14.25" customHeight="1" x14ac:dyDescent="0.45">
      <c r="A280" s="1"/>
      <c r="B280" s="1"/>
      <c r="C280" s="1"/>
      <c r="D280" s="18"/>
      <c r="E280" s="18"/>
      <c r="F280" s="18"/>
      <c r="G280" s="18"/>
      <c r="H280" s="1"/>
      <c r="I280" s="1"/>
      <c r="J280" s="1"/>
      <c r="K280" s="18"/>
      <c r="L280" s="1"/>
      <c r="M280" s="1"/>
      <c r="N280" s="1"/>
      <c r="O280" s="1"/>
      <c r="P280" s="18"/>
      <c r="Q280" s="1"/>
      <c r="R280" s="1"/>
      <c r="S280" s="1"/>
      <c r="T280" s="1"/>
      <c r="U280" s="18"/>
      <c r="V280" s="1"/>
      <c r="W280" s="1"/>
      <c r="X280" s="1"/>
      <c r="Y280" s="1"/>
      <c r="Z280" s="18"/>
      <c r="AA280" s="1"/>
      <c r="AB280" s="1"/>
      <c r="AC280" s="1"/>
      <c r="AD280" s="1"/>
      <c r="AE280" s="18"/>
      <c r="AF280" s="1"/>
      <c r="AG280" s="1"/>
      <c r="AH280" s="1"/>
      <c r="AI280" s="1"/>
      <c r="AJ280" s="18"/>
      <c r="AK280" s="1"/>
    </row>
    <row r="281" spans="1:37" ht="14.25" customHeight="1" x14ac:dyDescent="0.45">
      <c r="A281" s="1"/>
      <c r="B281" s="1"/>
      <c r="C281" s="1"/>
      <c r="D281" s="18"/>
      <c r="E281" s="18"/>
      <c r="F281" s="18"/>
      <c r="G281" s="18"/>
      <c r="H281" s="1"/>
      <c r="I281" s="1"/>
      <c r="J281" s="1"/>
      <c r="K281" s="18"/>
      <c r="L281" s="1"/>
      <c r="M281" s="1"/>
      <c r="N281" s="1"/>
      <c r="O281" s="1"/>
      <c r="P281" s="18"/>
      <c r="Q281" s="1"/>
      <c r="R281" s="1"/>
      <c r="S281" s="1"/>
      <c r="T281" s="1"/>
      <c r="U281" s="18"/>
      <c r="V281" s="1"/>
      <c r="W281" s="1"/>
      <c r="X281" s="1"/>
      <c r="Y281" s="1"/>
      <c r="Z281" s="18"/>
      <c r="AA281" s="1"/>
      <c r="AB281" s="1"/>
      <c r="AC281" s="1"/>
      <c r="AD281" s="1"/>
      <c r="AE281" s="18"/>
      <c r="AF281" s="1"/>
      <c r="AG281" s="1"/>
      <c r="AH281" s="1"/>
      <c r="AI281" s="1"/>
      <c r="AJ281" s="18"/>
      <c r="AK281" s="1"/>
    </row>
    <row r="282" spans="1:37" ht="14.25" customHeight="1" x14ac:dyDescent="0.45">
      <c r="A282" s="1"/>
      <c r="B282" s="1"/>
      <c r="C282" s="1"/>
      <c r="D282" s="18"/>
      <c r="E282" s="18"/>
      <c r="F282" s="18"/>
      <c r="G282" s="18"/>
      <c r="H282" s="1"/>
      <c r="I282" s="1"/>
      <c r="J282" s="1"/>
      <c r="K282" s="18"/>
      <c r="L282" s="1"/>
      <c r="M282" s="1"/>
      <c r="N282" s="1"/>
      <c r="O282" s="1"/>
      <c r="P282" s="18"/>
      <c r="Q282" s="1"/>
      <c r="R282" s="1"/>
      <c r="S282" s="1"/>
      <c r="T282" s="1"/>
      <c r="U282" s="18"/>
      <c r="V282" s="1"/>
      <c r="W282" s="1"/>
      <c r="X282" s="1"/>
      <c r="Y282" s="1"/>
      <c r="Z282" s="18"/>
      <c r="AA282" s="1"/>
      <c r="AB282" s="1"/>
      <c r="AC282" s="1"/>
      <c r="AD282" s="1"/>
      <c r="AE282" s="18"/>
      <c r="AF282" s="1"/>
      <c r="AG282" s="1"/>
      <c r="AH282" s="1"/>
      <c r="AI282" s="1"/>
      <c r="AJ282" s="18"/>
      <c r="AK282" s="1"/>
    </row>
    <row r="283" spans="1:37" ht="14.25" customHeight="1" x14ac:dyDescent="0.45">
      <c r="A283" s="1"/>
      <c r="B283" s="1"/>
      <c r="C283" s="1"/>
      <c r="D283" s="18"/>
      <c r="E283" s="18"/>
      <c r="F283" s="18"/>
      <c r="G283" s="18"/>
      <c r="H283" s="1"/>
      <c r="I283" s="1"/>
      <c r="J283" s="1"/>
      <c r="K283" s="18"/>
      <c r="L283" s="1"/>
      <c r="M283" s="1"/>
      <c r="N283" s="1"/>
      <c r="O283" s="1"/>
      <c r="P283" s="18"/>
      <c r="Q283" s="1"/>
      <c r="R283" s="1"/>
      <c r="S283" s="1"/>
      <c r="T283" s="1"/>
      <c r="U283" s="18"/>
      <c r="V283" s="1"/>
      <c r="W283" s="1"/>
      <c r="X283" s="1"/>
      <c r="Y283" s="1"/>
      <c r="Z283" s="18"/>
      <c r="AA283" s="1"/>
      <c r="AB283" s="1"/>
      <c r="AC283" s="1"/>
      <c r="AD283" s="1"/>
      <c r="AE283" s="18"/>
      <c r="AF283" s="1"/>
      <c r="AG283" s="1"/>
      <c r="AH283" s="1"/>
      <c r="AI283" s="1"/>
      <c r="AJ283" s="18"/>
      <c r="AK283" s="1"/>
    </row>
    <row r="284" spans="1:37" ht="14.25" customHeight="1" x14ac:dyDescent="0.45">
      <c r="A284" s="1"/>
      <c r="B284" s="1"/>
      <c r="C284" s="1"/>
      <c r="D284" s="18"/>
      <c r="E284" s="18"/>
      <c r="F284" s="18"/>
      <c r="G284" s="18"/>
      <c r="H284" s="1"/>
      <c r="I284" s="1"/>
      <c r="J284" s="1"/>
      <c r="K284" s="18"/>
      <c r="L284" s="1"/>
      <c r="M284" s="1"/>
      <c r="N284" s="1"/>
      <c r="O284" s="1"/>
      <c r="P284" s="18"/>
      <c r="Q284" s="1"/>
      <c r="R284" s="1"/>
      <c r="S284" s="1"/>
      <c r="T284" s="1"/>
      <c r="U284" s="18"/>
      <c r="V284" s="1"/>
      <c r="W284" s="1"/>
      <c r="X284" s="1"/>
      <c r="Y284" s="1"/>
      <c r="Z284" s="18"/>
      <c r="AA284" s="1"/>
      <c r="AB284" s="1"/>
      <c r="AC284" s="1"/>
      <c r="AD284" s="1"/>
      <c r="AE284" s="18"/>
      <c r="AF284" s="1"/>
      <c r="AG284" s="1"/>
      <c r="AH284" s="1"/>
      <c r="AI284" s="1"/>
      <c r="AJ284" s="18"/>
      <c r="AK284" s="1"/>
    </row>
    <row r="285" spans="1:37" ht="14.25" customHeight="1" x14ac:dyDescent="0.45">
      <c r="A285" s="1"/>
      <c r="B285" s="1"/>
      <c r="C285" s="1"/>
      <c r="D285" s="18"/>
      <c r="E285" s="18"/>
      <c r="F285" s="18"/>
      <c r="G285" s="18"/>
      <c r="H285" s="1"/>
      <c r="I285" s="1"/>
      <c r="J285" s="1"/>
      <c r="K285" s="18"/>
      <c r="L285" s="1"/>
      <c r="M285" s="1"/>
      <c r="N285" s="1"/>
      <c r="O285" s="1"/>
      <c r="P285" s="18"/>
      <c r="Q285" s="1"/>
      <c r="R285" s="1"/>
      <c r="S285" s="1"/>
      <c r="T285" s="1"/>
      <c r="U285" s="18"/>
      <c r="V285" s="1"/>
      <c r="W285" s="1"/>
      <c r="X285" s="1"/>
      <c r="Y285" s="1"/>
      <c r="Z285" s="18"/>
      <c r="AA285" s="1"/>
      <c r="AB285" s="1"/>
      <c r="AC285" s="1"/>
      <c r="AD285" s="1"/>
      <c r="AE285" s="18"/>
      <c r="AF285" s="1"/>
      <c r="AG285" s="1"/>
      <c r="AH285" s="1"/>
      <c r="AI285" s="1"/>
      <c r="AJ285" s="18"/>
      <c r="AK285" s="1"/>
    </row>
    <row r="286" spans="1:37" ht="14.25" customHeight="1" x14ac:dyDescent="0.45">
      <c r="A286" s="1"/>
      <c r="B286" s="1"/>
      <c r="C286" s="1"/>
      <c r="D286" s="18"/>
      <c r="E286" s="18"/>
      <c r="F286" s="18"/>
      <c r="G286" s="18"/>
      <c r="H286" s="1"/>
      <c r="I286" s="1"/>
      <c r="J286" s="1"/>
      <c r="K286" s="18"/>
      <c r="L286" s="1"/>
      <c r="M286" s="1"/>
      <c r="N286" s="1"/>
      <c r="O286" s="1"/>
      <c r="P286" s="18"/>
      <c r="Q286" s="1"/>
      <c r="R286" s="1"/>
      <c r="S286" s="1"/>
      <c r="T286" s="1"/>
      <c r="U286" s="18"/>
      <c r="V286" s="1"/>
      <c r="W286" s="1"/>
      <c r="X286" s="1"/>
      <c r="Y286" s="1"/>
      <c r="Z286" s="18"/>
      <c r="AA286" s="1"/>
      <c r="AB286" s="1"/>
      <c r="AC286" s="1"/>
      <c r="AD286" s="1"/>
      <c r="AE286" s="18"/>
      <c r="AF286" s="1"/>
      <c r="AG286" s="1"/>
      <c r="AH286" s="1"/>
      <c r="AI286" s="1"/>
      <c r="AJ286" s="18"/>
      <c r="AK286" s="1"/>
    </row>
    <row r="287" spans="1:37" ht="14.25" customHeight="1" x14ac:dyDescent="0.45">
      <c r="A287" s="1"/>
      <c r="B287" s="1"/>
      <c r="C287" s="1"/>
      <c r="D287" s="18"/>
      <c r="E287" s="18"/>
      <c r="F287" s="18"/>
      <c r="G287" s="18"/>
      <c r="H287" s="1"/>
      <c r="I287" s="1"/>
      <c r="J287" s="1"/>
      <c r="K287" s="18"/>
      <c r="L287" s="1"/>
      <c r="M287" s="1"/>
      <c r="N287" s="1"/>
      <c r="O287" s="1"/>
      <c r="P287" s="18"/>
      <c r="Q287" s="1"/>
      <c r="R287" s="1"/>
      <c r="S287" s="1"/>
      <c r="T287" s="1"/>
      <c r="U287" s="18"/>
      <c r="V287" s="1"/>
      <c r="W287" s="1"/>
      <c r="X287" s="1"/>
      <c r="Y287" s="1"/>
      <c r="Z287" s="18"/>
      <c r="AA287" s="1"/>
      <c r="AB287" s="1"/>
      <c r="AC287" s="1"/>
      <c r="AD287" s="1"/>
      <c r="AE287" s="18"/>
      <c r="AF287" s="1"/>
      <c r="AG287" s="1"/>
      <c r="AH287" s="1"/>
      <c r="AI287" s="1"/>
      <c r="AJ287" s="18"/>
      <c r="AK287" s="1"/>
    </row>
    <row r="288" spans="1:37" ht="14.25" customHeight="1" x14ac:dyDescent="0.45">
      <c r="A288" s="1"/>
      <c r="B288" s="1"/>
      <c r="C288" s="1"/>
      <c r="D288" s="18"/>
      <c r="E288" s="18"/>
      <c r="F288" s="18"/>
      <c r="G288" s="18"/>
      <c r="H288" s="1"/>
      <c r="I288" s="1"/>
      <c r="J288" s="1"/>
      <c r="K288" s="18"/>
      <c r="L288" s="1"/>
      <c r="M288" s="1"/>
      <c r="N288" s="1"/>
      <c r="O288" s="1"/>
      <c r="P288" s="18"/>
      <c r="Q288" s="1"/>
      <c r="R288" s="1"/>
      <c r="S288" s="1"/>
      <c r="T288" s="1"/>
      <c r="U288" s="18"/>
      <c r="V288" s="1"/>
      <c r="W288" s="1"/>
      <c r="X288" s="1"/>
      <c r="Y288" s="1"/>
      <c r="Z288" s="18"/>
      <c r="AA288" s="1"/>
      <c r="AB288" s="1"/>
      <c r="AC288" s="1"/>
      <c r="AD288" s="1"/>
      <c r="AE288" s="18"/>
      <c r="AF288" s="1"/>
      <c r="AG288" s="1"/>
      <c r="AH288" s="1"/>
      <c r="AI288" s="1"/>
      <c r="AJ288" s="18"/>
      <c r="AK288" s="1"/>
    </row>
    <row r="289" spans="1:37" ht="14.25" customHeight="1" x14ac:dyDescent="0.45">
      <c r="A289" s="1"/>
      <c r="B289" s="1"/>
      <c r="C289" s="1"/>
      <c r="D289" s="18"/>
      <c r="E289" s="18"/>
      <c r="F289" s="18"/>
      <c r="G289" s="18"/>
      <c r="H289" s="1"/>
      <c r="I289" s="1"/>
      <c r="J289" s="1"/>
      <c r="K289" s="18"/>
      <c r="L289" s="1"/>
      <c r="M289" s="1"/>
      <c r="N289" s="1"/>
      <c r="O289" s="1"/>
      <c r="P289" s="18"/>
      <c r="Q289" s="1"/>
      <c r="R289" s="1"/>
      <c r="S289" s="1"/>
      <c r="T289" s="1"/>
      <c r="U289" s="18"/>
      <c r="V289" s="1"/>
      <c r="W289" s="1"/>
      <c r="X289" s="1"/>
      <c r="Y289" s="1"/>
      <c r="Z289" s="18"/>
      <c r="AA289" s="1"/>
      <c r="AB289" s="1"/>
      <c r="AC289" s="1"/>
      <c r="AD289" s="1"/>
      <c r="AE289" s="18"/>
      <c r="AF289" s="1"/>
      <c r="AG289" s="1"/>
      <c r="AH289" s="1"/>
      <c r="AI289" s="1"/>
      <c r="AJ289" s="18"/>
      <c r="AK289" s="1"/>
    </row>
    <row r="290" spans="1:37" ht="14.25" customHeight="1" x14ac:dyDescent="0.45">
      <c r="A290" s="1"/>
      <c r="B290" s="1"/>
      <c r="C290" s="1"/>
      <c r="D290" s="18"/>
      <c r="E290" s="18"/>
      <c r="F290" s="18"/>
      <c r="G290" s="18"/>
      <c r="H290" s="1"/>
      <c r="I290" s="1"/>
      <c r="J290" s="1"/>
      <c r="K290" s="18"/>
      <c r="L290" s="1"/>
      <c r="M290" s="1"/>
      <c r="N290" s="1"/>
      <c r="O290" s="1"/>
      <c r="P290" s="18"/>
      <c r="Q290" s="1"/>
      <c r="R290" s="1"/>
      <c r="S290" s="1"/>
      <c r="T290" s="1"/>
      <c r="U290" s="18"/>
      <c r="V290" s="1"/>
      <c r="W290" s="1"/>
      <c r="X290" s="1"/>
      <c r="Y290" s="1"/>
      <c r="Z290" s="18"/>
      <c r="AA290" s="1"/>
      <c r="AB290" s="1"/>
      <c r="AC290" s="1"/>
      <c r="AD290" s="1"/>
      <c r="AE290" s="18"/>
      <c r="AF290" s="1"/>
      <c r="AG290" s="1"/>
      <c r="AH290" s="1"/>
      <c r="AI290" s="1"/>
      <c r="AJ290" s="18"/>
      <c r="AK290" s="1"/>
    </row>
    <row r="291" spans="1:37" ht="14.25" customHeight="1" x14ac:dyDescent="0.45">
      <c r="A291" s="1"/>
      <c r="B291" s="1"/>
      <c r="C291" s="1"/>
      <c r="D291" s="18"/>
      <c r="E291" s="18"/>
      <c r="F291" s="18"/>
      <c r="G291" s="18"/>
      <c r="H291" s="1"/>
      <c r="I291" s="1"/>
      <c r="J291" s="1"/>
      <c r="K291" s="18"/>
      <c r="L291" s="1"/>
      <c r="M291" s="1"/>
      <c r="N291" s="1"/>
      <c r="O291" s="1"/>
      <c r="P291" s="18"/>
      <c r="Q291" s="1"/>
      <c r="R291" s="1"/>
      <c r="S291" s="1"/>
      <c r="T291" s="1"/>
      <c r="U291" s="18"/>
      <c r="V291" s="1"/>
      <c r="W291" s="1"/>
      <c r="X291" s="1"/>
      <c r="Y291" s="1"/>
      <c r="Z291" s="18"/>
      <c r="AA291" s="1"/>
      <c r="AB291" s="1"/>
      <c r="AC291" s="1"/>
      <c r="AD291" s="1"/>
      <c r="AE291" s="18"/>
      <c r="AF291" s="1"/>
      <c r="AG291" s="1"/>
      <c r="AH291" s="1"/>
      <c r="AI291" s="1"/>
      <c r="AJ291" s="18"/>
      <c r="AK291" s="1"/>
    </row>
    <row r="292" spans="1:37" ht="14.25" customHeight="1" x14ac:dyDescent="0.45">
      <c r="A292" s="1"/>
      <c r="B292" s="1"/>
      <c r="C292" s="1"/>
      <c r="D292" s="18"/>
      <c r="E292" s="18"/>
      <c r="F292" s="18"/>
      <c r="G292" s="18"/>
      <c r="H292" s="1"/>
      <c r="I292" s="1"/>
      <c r="J292" s="1"/>
      <c r="K292" s="18"/>
      <c r="L292" s="1"/>
      <c r="M292" s="1"/>
      <c r="N292" s="1"/>
      <c r="O292" s="1"/>
      <c r="P292" s="18"/>
      <c r="Q292" s="1"/>
      <c r="R292" s="1"/>
      <c r="S292" s="1"/>
      <c r="T292" s="1"/>
      <c r="U292" s="18"/>
      <c r="V292" s="1"/>
      <c r="W292" s="1"/>
      <c r="X292" s="1"/>
      <c r="Y292" s="1"/>
      <c r="Z292" s="18"/>
      <c r="AA292" s="1"/>
      <c r="AB292" s="1"/>
      <c r="AC292" s="1"/>
      <c r="AD292" s="1"/>
      <c r="AE292" s="18"/>
      <c r="AF292" s="1"/>
      <c r="AG292" s="1"/>
      <c r="AH292" s="1"/>
      <c r="AI292" s="1"/>
      <c r="AJ292" s="18"/>
      <c r="AK292" s="1"/>
    </row>
    <row r="293" spans="1:37" ht="14.25" customHeight="1" x14ac:dyDescent="0.45">
      <c r="A293" s="1"/>
      <c r="B293" s="1"/>
      <c r="C293" s="1"/>
      <c r="D293" s="18"/>
      <c r="E293" s="18"/>
      <c r="F293" s="18"/>
      <c r="G293" s="18"/>
      <c r="H293" s="1"/>
      <c r="I293" s="1"/>
      <c r="J293" s="1"/>
      <c r="K293" s="18"/>
      <c r="L293" s="1"/>
      <c r="M293" s="1"/>
      <c r="N293" s="1"/>
      <c r="O293" s="1"/>
      <c r="P293" s="18"/>
      <c r="Q293" s="1"/>
      <c r="R293" s="1"/>
      <c r="S293" s="1"/>
      <c r="T293" s="1"/>
      <c r="U293" s="18"/>
      <c r="V293" s="1"/>
      <c r="W293" s="1"/>
      <c r="X293" s="1"/>
      <c r="Y293" s="1"/>
      <c r="Z293" s="18"/>
      <c r="AA293" s="1"/>
      <c r="AB293" s="1"/>
      <c r="AC293" s="1"/>
      <c r="AD293" s="1"/>
      <c r="AE293" s="18"/>
      <c r="AF293" s="1"/>
      <c r="AG293" s="1"/>
      <c r="AH293" s="1"/>
      <c r="AI293" s="1"/>
      <c r="AJ293" s="18"/>
      <c r="AK293" s="1"/>
    </row>
    <row r="294" spans="1:37" ht="14.25" customHeight="1" x14ac:dyDescent="0.45">
      <c r="A294" s="1"/>
      <c r="B294" s="1"/>
      <c r="C294" s="1"/>
      <c r="D294" s="18"/>
      <c r="E294" s="18"/>
      <c r="F294" s="18"/>
      <c r="G294" s="18"/>
      <c r="H294" s="1"/>
      <c r="I294" s="1"/>
      <c r="J294" s="1"/>
      <c r="K294" s="18"/>
      <c r="L294" s="1"/>
      <c r="M294" s="1"/>
      <c r="N294" s="1"/>
      <c r="O294" s="1"/>
      <c r="P294" s="18"/>
      <c r="Q294" s="1"/>
      <c r="R294" s="1"/>
      <c r="S294" s="1"/>
      <c r="T294" s="1"/>
      <c r="U294" s="18"/>
      <c r="V294" s="1"/>
      <c r="W294" s="1"/>
      <c r="X294" s="1"/>
      <c r="Y294" s="1"/>
      <c r="Z294" s="18"/>
      <c r="AA294" s="1"/>
      <c r="AB294" s="1"/>
      <c r="AC294" s="1"/>
      <c r="AD294" s="1"/>
      <c r="AE294" s="18"/>
      <c r="AF294" s="1"/>
      <c r="AG294" s="1"/>
      <c r="AH294" s="1"/>
      <c r="AI294" s="1"/>
      <c r="AJ294" s="18"/>
      <c r="AK294" s="1"/>
    </row>
    <row r="295" spans="1:37" ht="14.25" customHeight="1" x14ac:dyDescent="0.45">
      <c r="A295" s="1"/>
      <c r="B295" s="1"/>
      <c r="C295" s="1"/>
      <c r="D295" s="18"/>
      <c r="E295" s="18"/>
      <c r="F295" s="18"/>
      <c r="G295" s="18"/>
      <c r="H295" s="1"/>
      <c r="I295" s="1"/>
      <c r="J295" s="1"/>
      <c r="K295" s="18"/>
      <c r="L295" s="1"/>
      <c r="M295" s="1"/>
      <c r="N295" s="1"/>
      <c r="O295" s="1"/>
      <c r="P295" s="18"/>
      <c r="Q295" s="1"/>
      <c r="R295" s="1"/>
      <c r="S295" s="1"/>
      <c r="T295" s="1"/>
      <c r="U295" s="18"/>
      <c r="V295" s="1"/>
      <c r="W295" s="1"/>
      <c r="X295" s="1"/>
      <c r="Y295" s="1"/>
      <c r="Z295" s="18"/>
      <c r="AA295" s="1"/>
      <c r="AB295" s="1"/>
      <c r="AC295" s="1"/>
      <c r="AD295" s="1"/>
      <c r="AE295" s="18"/>
      <c r="AF295" s="1"/>
      <c r="AG295" s="1"/>
      <c r="AH295" s="1"/>
      <c r="AI295" s="1"/>
      <c r="AJ295" s="18"/>
      <c r="AK295" s="1"/>
    </row>
    <row r="296" spans="1:37" ht="14.25" customHeight="1" x14ac:dyDescent="0.45">
      <c r="A296" s="1"/>
      <c r="B296" s="1"/>
      <c r="C296" s="1"/>
      <c r="D296" s="18"/>
      <c r="E296" s="18"/>
      <c r="F296" s="18"/>
      <c r="G296" s="18"/>
      <c r="H296" s="1"/>
      <c r="I296" s="1"/>
      <c r="J296" s="1"/>
      <c r="K296" s="18"/>
      <c r="L296" s="1"/>
      <c r="M296" s="1"/>
      <c r="N296" s="1"/>
      <c r="O296" s="1"/>
      <c r="P296" s="18"/>
      <c r="Q296" s="1"/>
      <c r="R296" s="1"/>
      <c r="S296" s="1"/>
      <c r="T296" s="1"/>
      <c r="U296" s="18"/>
      <c r="V296" s="1"/>
      <c r="W296" s="1"/>
      <c r="X296" s="1"/>
      <c r="Y296" s="1"/>
      <c r="Z296" s="18"/>
      <c r="AA296" s="1"/>
      <c r="AB296" s="1"/>
      <c r="AC296" s="1"/>
      <c r="AD296" s="1"/>
      <c r="AE296" s="18"/>
      <c r="AF296" s="1"/>
      <c r="AG296" s="1"/>
      <c r="AH296" s="1"/>
      <c r="AI296" s="1"/>
      <c r="AJ296" s="18"/>
      <c r="AK296" s="1"/>
    </row>
    <row r="297" spans="1:37" ht="14.25" customHeight="1" x14ac:dyDescent="0.45">
      <c r="A297" s="1"/>
      <c r="B297" s="1"/>
      <c r="C297" s="1"/>
      <c r="D297" s="18"/>
      <c r="E297" s="18"/>
      <c r="F297" s="18"/>
      <c r="G297" s="18"/>
      <c r="H297" s="1"/>
      <c r="I297" s="1"/>
      <c r="J297" s="1"/>
      <c r="K297" s="18"/>
      <c r="L297" s="1"/>
      <c r="M297" s="1"/>
      <c r="N297" s="1"/>
      <c r="O297" s="1"/>
      <c r="P297" s="18"/>
      <c r="Q297" s="1"/>
      <c r="R297" s="1"/>
      <c r="S297" s="1"/>
      <c r="T297" s="1"/>
      <c r="U297" s="18"/>
      <c r="V297" s="1"/>
      <c r="W297" s="1"/>
      <c r="X297" s="1"/>
      <c r="Y297" s="1"/>
      <c r="Z297" s="18"/>
      <c r="AA297" s="1"/>
      <c r="AB297" s="1"/>
      <c r="AC297" s="1"/>
      <c r="AD297" s="1"/>
      <c r="AE297" s="18"/>
      <c r="AF297" s="1"/>
      <c r="AG297" s="1"/>
      <c r="AH297" s="1"/>
      <c r="AI297" s="1"/>
      <c r="AJ297" s="18"/>
      <c r="AK297" s="1"/>
    </row>
    <row r="298" spans="1:37" ht="14.25" customHeight="1" x14ac:dyDescent="0.45">
      <c r="A298" s="1"/>
      <c r="B298" s="1"/>
      <c r="C298" s="1"/>
      <c r="D298" s="18"/>
      <c r="E298" s="18"/>
      <c r="F298" s="18"/>
      <c r="G298" s="18"/>
      <c r="H298" s="1"/>
      <c r="I298" s="1"/>
      <c r="J298" s="1"/>
      <c r="K298" s="18"/>
      <c r="L298" s="1"/>
      <c r="M298" s="1"/>
      <c r="N298" s="1"/>
      <c r="O298" s="1"/>
      <c r="P298" s="18"/>
      <c r="Q298" s="1"/>
      <c r="R298" s="1"/>
      <c r="S298" s="1"/>
      <c r="T298" s="1"/>
      <c r="U298" s="18"/>
      <c r="V298" s="1"/>
      <c r="W298" s="1"/>
      <c r="X298" s="1"/>
      <c r="Y298" s="1"/>
      <c r="Z298" s="18"/>
      <c r="AA298" s="1"/>
      <c r="AB298" s="1"/>
      <c r="AC298" s="1"/>
      <c r="AD298" s="1"/>
      <c r="AE298" s="18"/>
      <c r="AF298" s="1"/>
      <c r="AG298" s="1"/>
      <c r="AH298" s="1"/>
      <c r="AI298" s="1"/>
      <c r="AJ298" s="18"/>
      <c r="AK298" s="1"/>
    </row>
    <row r="299" spans="1:37" ht="14.25" customHeight="1" x14ac:dyDescent="0.45">
      <c r="A299" s="1"/>
      <c r="B299" s="1"/>
      <c r="C299" s="1"/>
      <c r="D299" s="18"/>
      <c r="E299" s="18"/>
      <c r="F299" s="18"/>
      <c r="G299" s="18"/>
      <c r="H299" s="1"/>
      <c r="I299" s="1"/>
      <c r="J299" s="1"/>
      <c r="K299" s="18"/>
      <c r="L299" s="1"/>
      <c r="M299" s="1"/>
      <c r="N299" s="1"/>
      <c r="O299" s="1"/>
      <c r="P299" s="18"/>
      <c r="Q299" s="1"/>
      <c r="R299" s="1"/>
      <c r="S299" s="1"/>
      <c r="T299" s="1"/>
      <c r="U299" s="18"/>
      <c r="V299" s="1"/>
      <c r="W299" s="1"/>
      <c r="X299" s="1"/>
      <c r="Y299" s="1"/>
      <c r="Z299" s="18"/>
      <c r="AA299" s="1"/>
      <c r="AB299" s="1"/>
      <c r="AC299" s="1"/>
      <c r="AD299" s="1"/>
      <c r="AE299" s="18"/>
      <c r="AF299" s="1"/>
      <c r="AG299" s="1"/>
      <c r="AH299" s="1"/>
      <c r="AI299" s="1"/>
      <c r="AJ299" s="18"/>
      <c r="AK299" s="1"/>
    </row>
    <row r="300" spans="1:37" ht="14.25" customHeight="1" x14ac:dyDescent="0.45">
      <c r="A300" s="1"/>
      <c r="B300" s="1"/>
      <c r="C300" s="1"/>
      <c r="D300" s="18"/>
      <c r="E300" s="18"/>
      <c r="F300" s="18"/>
      <c r="G300" s="18"/>
      <c r="H300" s="1"/>
      <c r="I300" s="1"/>
      <c r="J300" s="1"/>
      <c r="K300" s="18"/>
      <c r="L300" s="1"/>
      <c r="M300" s="1"/>
      <c r="N300" s="1"/>
      <c r="O300" s="1"/>
      <c r="P300" s="18"/>
      <c r="Q300" s="1"/>
      <c r="R300" s="1"/>
      <c r="S300" s="1"/>
      <c r="T300" s="1"/>
      <c r="U300" s="18"/>
      <c r="V300" s="1"/>
      <c r="W300" s="1"/>
      <c r="X300" s="1"/>
      <c r="Y300" s="1"/>
      <c r="Z300" s="18"/>
      <c r="AA300" s="1"/>
      <c r="AB300" s="1"/>
      <c r="AC300" s="1"/>
      <c r="AD300" s="1"/>
      <c r="AE300" s="18"/>
      <c r="AF300" s="1"/>
      <c r="AG300" s="1"/>
      <c r="AH300" s="1"/>
      <c r="AI300" s="1"/>
      <c r="AJ300" s="18"/>
      <c r="AK300" s="1"/>
    </row>
    <row r="301" spans="1:37" ht="14.25" customHeight="1" x14ac:dyDescent="0.45">
      <c r="A301" s="1"/>
      <c r="B301" s="1"/>
      <c r="C301" s="1"/>
      <c r="D301" s="18"/>
      <c r="E301" s="18"/>
      <c r="F301" s="18"/>
      <c r="G301" s="18"/>
      <c r="H301" s="1"/>
      <c r="I301" s="1"/>
      <c r="J301" s="1"/>
      <c r="K301" s="18"/>
      <c r="L301" s="1"/>
      <c r="M301" s="1"/>
      <c r="N301" s="1"/>
      <c r="O301" s="1"/>
      <c r="P301" s="18"/>
      <c r="Q301" s="1"/>
      <c r="R301" s="1"/>
      <c r="S301" s="1"/>
      <c r="T301" s="1"/>
      <c r="U301" s="18"/>
      <c r="V301" s="1"/>
      <c r="W301" s="1"/>
      <c r="X301" s="1"/>
      <c r="Y301" s="1"/>
      <c r="Z301" s="18"/>
      <c r="AA301" s="1"/>
      <c r="AB301" s="1"/>
      <c r="AC301" s="1"/>
      <c r="AD301" s="1"/>
      <c r="AE301" s="18"/>
      <c r="AF301" s="1"/>
      <c r="AG301" s="1"/>
      <c r="AH301" s="1"/>
      <c r="AI301" s="1"/>
      <c r="AJ301" s="18"/>
      <c r="AK301" s="1"/>
    </row>
    <row r="302" spans="1:37" ht="14.25" customHeight="1" x14ac:dyDescent="0.45">
      <c r="A302" s="1"/>
      <c r="B302" s="1"/>
      <c r="C302" s="1"/>
      <c r="D302" s="18"/>
      <c r="E302" s="18"/>
      <c r="F302" s="18"/>
      <c r="G302" s="18"/>
      <c r="H302" s="1"/>
      <c r="I302" s="1"/>
      <c r="J302" s="1"/>
      <c r="K302" s="18"/>
      <c r="L302" s="1"/>
      <c r="M302" s="1"/>
      <c r="N302" s="1"/>
      <c r="O302" s="1"/>
      <c r="P302" s="18"/>
      <c r="Q302" s="1"/>
      <c r="R302" s="1"/>
      <c r="S302" s="1"/>
      <c r="T302" s="1"/>
      <c r="U302" s="18"/>
      <c r="V302" s="1"/>
      <c r="W302" s="1"/>
      <c r="X302" s="1"/>
      <c r="Y302" s="1"/>
      <c r="Z302" s="18"/>
      <c r="AA302" s="1"/>
      <c r="AB302" s="1"/>
      <c r="AC302" s="1"/>
      <c r="AD302" s="1"/>
      <c r="AE302" s="18"/>
      <c r="AF302" s="1"/>
      <c r="AG302" s="1"/>
      <c r="AH302" s="1"/>
      <c r="AI302" s="1"/>
      <c r="AJ302" s="18"/>
      <c r="AK302" s="1"/>
    </row>
    <row r="303" spans="1:37" ht="14.25" customHeight="1" x14ac:dyDescent="0.45">
      <c r="A303" s="1"/>
      <c r="B303" s="1"/>
      <c r="C303" s="1"/>
      <c r="D303" s="18"/>
      <c r="E303" s="18"/>
      <c r="F303" s="18"/>
      <c r="G303" s="18"/>
      <c r="H303" s="1"/>
      <c r="I303" s="1"/>
      <c r="J303" s="1"/>
      <c r="K303" s="18"/>
      <c r="L303" s="1"/>
      <c r="M303" s="1"/>
      <c r="N303" s="1"/>
      <c r="O303" s="1"/>
      <c r="P303" s="18"/>
      <c r="Q303" s="1"/>
      <c r="R303" s="1"/>
      <c r="S303" s="1"/>
      <c r="T303" s="1"/>
      <c r="U303" s="18"/>
      <c r="V303" s="1"/>
      <c r="W303" s="1"/>
      <c r="X303" s="1"/>
      <c r="Y303" s="1"/>
      <c r="Z303" s="18"/>
      <c r="AA303" s="1"/>
      <c r="AB303" s="1"/>
      <c r="AC303" s="1"/>
      <c r="AD303" s="1"/>
      <c r="AE303" s="18"/>
      <c r="AF303" s="1"/>
      <c r="AG303" s="1"/>
      <c r="AH303" s="1"/>
      <c r="AI303" s="1"/>
      <c r="AJ303" s="18"/>
      <c r="AK303" s="1"/>
    </row>
    <row r="304" spans="1:37" ht="14.25" customHeight="1" x14ac:dyDescent="0.45">
      <c r="A304" s="1"/>
      <c r="B304" s="1"/>
      <c r="C304" s="1"/>
      <c r="D304" s="18"/>
      <c r="E304" s="18"/>
      <c r="F304" s="18"/>
      <c r="G304" s="18"/>
      <c r="H304" s="1"/>
      <c r="I304" s="1"/>
      <c r="J304" s="1"/>
      <c r="K304" s="18"/>
      <c r="L304" s="1"/>
      <c r="M304" s="1"/>
      <c r="N304" s="1"/>
      <c r="O304" s="1"/>
      <c r="P304" s="18"/>
      <c r="Q304" s="1"/>
      <c r="R304" s="1"/>
      <c r="S304" s="1"/>
      <c r="T304" s="1"/>
      <c r="U304" s="18"/>
      <c r="V304" s="1"/>
      <c r="W304" s="1"/>
      <c r="X304" s="1"/>
      <c r="Y304" s="1"/>
      <c r="Z304" s="18"/>
      <c r="AA304" s="1"/>
      <c r="AB304" s="1"/>
      <c r="AC304" s="1"/>
      <c r="AD304" s="1"/>
      <c r="AE304" s="18"/>
      <c r="AF304" s="1"/>
      <c r="AG304" s="1"/>
      <c r="AH304" s="1"/>
      <c r="AI304" s="1"/>
      <c r="AJ304" s="18"/>
      <c r="AK304" s="1"/>
    </row>
    <row r="305" spans="1:37" ht="14.25" customHeight="1" x14ac:dyDescent="0.45">
      <c r="A305" s="1"/>
      <c r="B305" s="1"/>
      <c r="C305" s="1"/>
      <c r="D305" s="18"/>
      <c r="E305" s="18"/>
      <c r="F305" s="18"/>
      <c r="G305" s="18"/>
      <c r="H305" s="1"/>
      <c r="I305" s="1"/>
      <c r="J305" s="1"/>
      <c r="K305" s="18"/>
      <c r="L305" s="1"/>
      <c r="M305" s="1"/>
      <c r="N305" s="1"/>
      <c r="O305" s="1"/>
      <c r="P305" s="18"/>
      <c r="Q305" s="1"/>
      <c r="R305" s="1"/>
      <c r="S305" s="1"/>
      <c r="T305" s="1"/>
      <c r="U305" s="18"/>
      <c r="V305" s="1"/>
      <c r="W305" s="1"/>
      <c r="X305" s="1"/>
      <c r="Y305" s="1"/>
      <c r="Z305" s="18"/>
      <c r="AA305" s="1"/>
      <c r="AB305" s="1"/>
      <c r="AC305" s="1"/>
      <c r="AD305" s="1"/>
      <c r="AE305" s="18"/>
      <c r="AF305" s="1"/>
      <c r="AG305" s="1"/>
      <c r="AH305" s="1"/>
      <c r="AI305" s="1"/>
      <c r="AJ305" s="18"/>
      <c r="AK305" s="1"/>
    </row>
    <row r="306" spans="1:37" ht="14.25" customHeight="1" x14ac:dyDescent="0.45">
      <c r="A306" s="1"/>
      <c r="B306" s="1"/>
      <c r="C306" s="1"/>
      <c r="D306" s="18"/>
      <c r="E306" s="18"/>
      <c r="F306" s="18"/>
      <c r="G306" s="18"/>
      <c r="H306" s="1"/>
      <c r="I306" s="1"/>
      <c r="J306" s="1"/>
      <c r="K306" s="18"/>
      <c r="L306" s="1"/>
      <c r="M306" s="1"/>
      <c r="N306" s="1"/>
      <c r="O306" s="1"/>
      <c r="P306" s="18"/>
      <c r="Q306" s="1"/>
      <c r="R306" s="1"/>
      <c r="S306" s="1"/>
      <c r="T306" s="1"/>
      <c r="U306" s="18"/>
      <c r="V306" s="1"/>
      <c r="W306" s="1"/>
      <c r="X306" s="1"/>
      <c r="Y306" s="1"/>
      <c r="Z306" s="18"/>
      <c r="AA306" s="1"/>
      <c r="AB306" s="1"/>
      <c r="AC306" s="1"/>
      <c r="AD306" s="1"/>
      <c r="AE306" s="18"/>
      <c r="AF306" s="1"/>
      <c r="AG306" s="1"/>
      <c r="AH306" s="1"/>
      <c r="AI306" s="1"/>
      <c r="AJ306" s="18"/>
      <c r="AK306" s="1"/>
    </row>
    <row r="307" spans="1:37" ht="14.25" customHeight="1" x14ac:dyDescent="0.45">
      <c r="A307" s="1"/>
      <c r="B307" s="1"/>
      <c r="C307" s="1"/>
      <c r="D307" s="18"/>
      <c r="E307" s="18"/>
      <c r="F307" s="18"/>
      <c r="G307" s="18"/>
      <c r="H307" s="1"/>
      <c r="I307" s="1"/>
      <c r="J307" s="1"/>
      <c r="K307" s="18"/>
      <c r="L307" s="1"/>
      <c r="M307" s="1"/>
      <c r="N307" s="1"/>
      <c r="O307" s="1"/>
      <c r="P307" s="18"/>
      <c r="Q307" s="1"/>
      <c r="R307" s="1"/>
      <c r="S307" s="1"/>
      <c r="T307" s="1"/>
      <c r="U307" s="18"/>
      <c r="V307" s="1"/>
      <c r="W307" s="1"/>
      <c r="X307" s="1"/>
      <c r="Y307" s="1"/>
      <c r="Z307" s="18"/>
      <c r="AA307" s="1"/>
      <c r="AB307" s="1"/>
      <c r="AC307" s="1"/>
      <c r="AD307" s="1"/>
      <c r="AE307" s="18"/>
      <c r="AF307" s="1"/>
      <c r="AG307" s="1"/>
      <c r="AH307" s="1"/>
      <c r="AI307" s="1"/>
      <c r="AJ307" s="18"/>
      <c r="AK307" s="1"/>
    </row>
    <row r="308" spans="1:37" ht="14.25" customHeight="1" x14ac:dyDescent="0.45">
      <c r="A308" s="1"/>
      <c r="B308" s="1"/>
      <c r="C308" s="1"/>
      <c r="D308" s="18"/>
      <c r="E308" s="18"/>
      <c r="F308" s="18"/>
      <c r="G308" s="18"/>
      <c r="H308" s="1"/>
      <c r="I308" s="1"/>
      <c r="J308" s="1"/>
      <c r="K308" s="18"/>
      <c r="L308" s="1"/>
      <c r="M308" s="1"/>
      <c r="N308" s="1"/>
      <c r="O308" s="1"/>
      <c r="P308" s="18"/>
      <c r="Q308" s="1"/>
      <c r="R308" s="1"/>
      <c r="S308" s="1"/>
      <c r="T308" s="1"/>
      <c r="U308" s="18"/>
      <c r="V308" s="1"/>
      <c r="W308" s="1"/>
      <c r="X308" s="1"/>
      <c r="Y308" s="1"/>
      <c r="Z308" s="18"/>
      <c r="AA308" s="1"/>
      <c r="AB308" s="1"/>
      <c r="AC308" s="1"/>
      <c r="AD308" s="1"/>
      <c r="AE308" s="18"/>
      <c r="AF308" s="1"/>
      <c r="AG308" s="1"/>
      <c r="AH308" s="1"/>
      <c r="AI308" s="1"/>
      <c r="AJ308" s="18"/>
      <c r="AK308" s="1"/>
    </row>
    <row r="309" spans="1:37" ht="14.25" customHeight="1" x14ac:dyDescent="0.45">
      <c r="A309" s="1"/>
      <c r="B309" s="1"/>
      <c r="C309" s="1"/>
      <c r="D309" s="18"/>
      <c r="E309" s="18"/>
      <c r="F309" s="18"/>
      <c r="G309" s="18"/>
      <c r="H309" s="1"/>
      <c r="I309" s="1"/>
      <c r="J309" s="1"/>
      <c r="K309" s="18"/>
      <c r="L309" s="1"/>
      <c r="M309" s="1"/>
      <c r="N309" s="1"/>
      <c r="O309" s="1"/>
      <c r="P309" s="18"/>
      <c r="Q309" s="1"/>
      <c r="R309" s="1"/>
      <c r="S309" s="1"/>
      <c r="T309" s="1"/>
      <c r="U309" s="18"/>
      <c r="V309" s="1"/>
      <c r="W309" s="1"/>
      <c r="X309" s="1"/>
      <c r="Y309" s="1"/>
      <c r="Z309" s="18"/>
      <c r="AA309" s="1"/>
      <c r="AB309" s="1"/>
      <c r="AC309" s="1"/>
      <c r="AD309" s="1"/>
      <c r="AE309" s="18"/>
      <c r="AF309" s="1"/>
      <c r="AG309" s="1"/>
      <c r="AH309" s="1"/>
      <c r="AI309" s="1"/>
      <c r="AJ309" s="18"/>
      <c r="AK309" s="1"/>
    </row>
    <row r="310" spans="1:37" ht="14.25" customHeight="1" x14ac:dyDescent="0.45">
      <c r="A310" s="1"/>
      <c r="B310" s="1"/>
      <c r="C310" s="1"/>
      <c r="D310" s="18"/>
      <c r="E310" s="18"/>
      <c r="F310" s="18"/>
      <c r="G310" s="18"/>
      <c r="H310" s="1"/>
      <c r="I310" s="1"/>
      <c r="J310" s="1"/>
      <c r="K310" s="18"/>
      <c r="L310" s="1"/>
      <c r="M310" s="1"/>
      <c r="N310" s="1"/>
      <c r="O310" s="1"/>
      <c r="P310" s="18"/>
      <c r="Q310" s="1"/>
      <c r="R310" s="1"/>
      <c r="S310" s="1"/>
      <c r="T310" s="1"/>
      <c r="U310" s="18"/>
      <c r="V310" s="1"/>
      <c r="W310" s="1"/>
      <c r="X310" s="1"/>
      <c r="Y310" s="1"/>
      <c r="Z310" s="18"/>
      <c r="AA310" s="1"/>
      <c r="AB310" s="1"/>
      <c r="AC310" s="1"/>
      <c r="AD310" s="1"/>
      <c r="AE310" s="18"/>
      <c r="AF310" s="1"/>
      <c r="AG310" s="1"/>
      <c r="AH310" s="1"/>
      <c r="AI310" s="1"/>
      <c r="AJ310" s="18"/>
      <c r="AK310" s="1"/>
    </row>
    <row r="311" spans="1:37" ht="14.25" customHeight="1" x14ac:dyDescent="0.45">
      <c r="A311" s="1"/>
      <c r="B311" s="1"/>
      <c r="C311" s="1"/>
      <c r="D311" s="18"/>
      <c r="E311" s="18"/>
      <c r="F311" s="18"/>
      <c r="G311" s="18"/>
      <c r="H311" s="1"/>
      <c r="I311" s="1"/>
      <c r="J311" s="1"/>
      <c r="K311" s="18"/>
      <c r="L311" s="1"/>
      <c r="M311" s="1"/>
      <c r="N311" s="1"/>
      <c r="O311" s="1"/>
      <c r="P311" s="18"/>
      <c r="Q311" s="1"/>
      <c r="R311" s="1"/>
      <c r="S311" s="1"/>
      <c r="T311" s="1"/>
      <c r="U311" s="18"/>
      <c r="V311" s="1"/>
      <c r="W311" s="1"/>
      <c r="X311" s="1"/>
      <c r="Y311" s="1"/>
      <c r="Z311" s="18"/>
      <c r="AA311" s="1"/>
      <c r="AB311" s="1"/>
      <c r="AC311" s="1"/>
      <c r="AD311" s="1"/>
      <c r="AE311" s="18"/>
      <c r="AF311" s="1"/>
      <c r="AG311" s="1"/>
      <c r="AH311" s="1"/>
      <c r="AI311" s="1"/>
      <c r="AJ311" s="18"/>
      <c r="AK311" s="1"/>
    </row>
    <row r="312" spans="1:37" ht="14.25" customHeight="1" x14ac:dyDescent="0.45">
      <c r="A312" s="1"/>
      <c r="B312" s="1"/>
      <c r="C312" s="1"/>
      <c r="D312" s="18"/>
      <c r="E312" s="18"/>
      <c r="F312" s="18"/>
      <c r="G312" s="18"/>
      <c r="H312" s="1"/>
      <c r="I312" s="1"/>
      <c r="J312" s="1"/>
      <c r="K312" s="18"/>
      <c r="L312" s="1"/>
      <c r="M312" s="1"/>
      <c r="N312" s="1"/>
      <c r="O312" s="1"/>
      <c r="P312" s="18"/>
      <c r="Q312" s="1"/>
      <c r="R312" s="1"/>
      <c r="S312" s="1"/>
      <c r="T312" s="1"/>
      <c r="U312" s="18"/>
      <c r="V312" s="1"/>
      <c r="W312" s="1"/>
      <c r="X312" s="1"/>
      <c r="Y312" s="1"/>
      <c r="Z312" s="18"/>
      <c r="AA312" s="1"/>
      <c r="AB312" s="1"/>
      <c r="AC312" s="1"/>
      <c r="AD312" s="1"/>
      <c r="AE312" s="18"/>
      <c r="AF312" s="1"/>
      <c r="AG312" s="1"/>
      <c r="AH312" s="1"/>
      <c r="AI312" s="1"/>
      <c r="AJ312" s="18"/>
      <c r="AK312" s="1"/>
    </row>
    <row r="313" spans="1:37" ht="14.25" customHeight="1" x14ac:dyDescent="0.45">
      <c r="A313" s="1"/>
      <c r="B313" s="1"/>
      <c r="C313" s="1"/>
      <c r="D313" s="18"/>
      <c r="E313" s="18"/>
      <c r="F313" s="18"/>
      <c r="G313" s="18"/>
      <c r="H313" s="1"/>
      <c r="I313" s="1"/>
      <c r="J313" s="1"/>
      <c r="K313" s="18"/>
      <c r="L313" s="1"/>
      <c r="M313" s="1"/>
      <c r="N313" s="1"/>
      <c r="O313" s="1"/>
      <c r="P313" s="18"/>
      <c r="Q313" s="1"/>
      <c r="R313" s="1"/>
      <c r="S313" s="1"/>
      <c r="T313" s="1"/>
      <c r="U313" s="18"/>
      <c r="V313" s="1"/>
      <c r="W313" s="1"/>
      <c r="X313" s="1"/>
      <c r="Y313" s="1"/>
      <c r="Z313" s="18"/>
      <c r="AA313" s="1"/>
      <c r="AB313" s="1"/>
      <c r="AC313" s="1"/>
      <c r="AD313" s="1"/>
      <c r="AE313" s="18"/>
      <c r="AF313" s="1"/>
      <c r="AG313" s="1"/>
      <c r="AH313" s="1"/>
      <c r="AI313" s="1"/>
      <c r="AJ313" s="18"/>
      <c r="AK313" s="1"/>
    </row>
    <row r="314" spans="1:37" ht="14.25" customHeight="1" x14ac:dyDescent="0.45">
      <c r="A314" s="1"/>
      <c r="B314" s="1"/>
      <c r="C314" s="1"/>
      <c r="D314" s="18"/>
      <c r="E314" s="18"/>
      <c r="F314" s="18"/>
      <c r="G314" s="18"/>
      <c r="H314" s="1"/>
      <c r="I314" s="1"/>
      <c r="J314" s="1"/>
      <c r="K314" s="18"/>
      <c r="L314" s="1"/>
      <c r="M314" s="1"/>
      <c r="N314" s="1"/>
      <c r="O314" s="1"/>
      <c r="P314" s="18"/>
      <c r="Q314" s="1"/>
      <c r="R314" s="1"/>
      <c r="S314" s="1"/>
      <c r="T314" s="1"/>
      <c r="U314" s="18"/>
      <c r="V314" s="1"/>
      <c r="W314" s="1"/>
      <c r="X314" s="1"/>
      <c r="Y314" s="1"/>
      <c r="Z314" s="18"/>
      <c r="AA314" s="1"/>
      <c r="AB314" s="1"/>
      <c r="AC314" s="1"/>
      <c r="AD314" s="1"/>
      <c r="AE314" s="18"/>
      <c r="AF314" s="1"/>
      <c r="AG314" s="1"/>
      <c r="AH314" s="1"/>
      <c r="AI314" s="1"/>
      <c r="AJ314" s="18"/>
      <c r="AK314" s="1"/>
    </row>
    <row r="315" spans="1:37" ht="14.25" customHeight="1" x14ac:dyDescent="0.45">
      <c r="A315" s="1"/>
      <c r="B315" s="1"/>
      <c r="C315" s="1"/>
      <c r="D315" s="18"/>
      <c r="E315" s="18"/>
      <c r="F315" s="18"/>
      <c r="G315" s="18"/>
      <c r="H315" s="1"/>
      <c r="I315" s="1"/>
      <c r="J315" s="1"/>
      <c r="K315" s="18"/>
      <c r="L315" s="1"/>
      <c r="M315" s="1"/>
      <c r="N315" s="1"/>
      <c r="O315" s="1"/>
      <c r="P315" s="18"/>
      <c r="Q315" s="1"/>
      <c r="R315" s="1"/>
      <c r="S315" s="1"/>
      <c r="T315" s="1"/>
      <c r="U315" s="18"/>
      <c r="V315" s="1"/>
      <c r="W315" s="1"/>
      <c r="X315" s="1"/>
      <c r="Y315" s="1"/>
      <c r="Z315" s="18"/>
      <c r="AA315" s="1"/>
      <c r="AB315" s="1"/>
      <c r="AC315" s="1"/>
      <c r="AD315" s="1"/>
      <c r="AE315" s="18"/>
      <c r="AF315" s="1"/>
      <c r="AG315" s="1"/>
      <c r="AH315" s="1"/>
      <c r="AI315" s="1"/>
      <c r="AJ315" s="18"/>
      <c r="AK315" s="1"/>
    </row>
    <row r="316" spans="1:37" ht="14.25" customHeight="1" x14ac:dyDescent="0.45">
      <c r="A316" s="1"/>
      <c r="B316" s="1"/>
      <c r="C316" s="1"/>
      <c r="D316" s="18"/>
      <c r="E316" s="18"/>
      <c r="F316" s="18"/>
      <c r="G316" s="18"/>
      <c r="H316" s="1"/>
      <c r="I316" s="1"/>
      <c r="J316" s="1"/>
      <c r="K316" s="18"/>
      <c r="L316" s="1"/>
      <c r="M316" s="1"/>
      <c r="N316" s="1"/>
      <c r="O316" s="1"/>
      <c r="P316" s="18"/>
      <c r="Q316" s="1"/>
      <c r="R316" s="1"/>
      <c r="S316" s="1"/>
      <c r="T316" s="1"/>
      <c r="U316" s="18"/>
      <c r="V316" s="1"/>
      <c r="W316" s="1"/>
      <c r="X316" s="1"/>
      <c r="Y316" s="1"/>
      <c r="Z316" s="18"/>
      <c r="AA316" s="1"/>
      <c r="AB316" s="1"/>
      <c r="AC316" s="1"/>
      <c r="AD316" s="1"/>
      <c r="AE316" s="18"/>
      <c r="AF316" s="1"/>
      <c r="AG316" s="1"/>
      <c r="AH316" s="1"/>
      <c r="AI316" s="1"/>
      <c r="AJ316" s="18"/>
      <c r="AK316" s="1"/>
    </row>
    <row r="317" spans="1:37" ht="14.25" customHeight="1" x14ac:dyDescent="0.45">
      <c r="A317" s="1"/>
      <c r="B317" s="1"/>
      <c r="C317" s="1"/>
      <c r="D317" s="18"/>
      <c r="E317" s="18"/>
      <c r="F317" s="18"/>
      <c r="G317" s="18"/>
      <c r="H317" s="1"/>
      <c r="I317" s="1"/>
      <c r="J317" s="1"/>
      <c r="K317" s="18"/>
      <c r="L317" s="1"/>
      <c r="M317" s="1"/>
      <c r="N317" s="1"/>
      <c r="O317" s="1"/>
      <c r="P317" s="18"/>
      <c r="Q317" s="1"/>
      <c r="R317" s="1"/>
      <c r="S317" s="1"/>
      <c r="T317" s="1"/>
      <c r="U317" s="18"/>
      <c r="V317" s="1"/>
      <c r="W317" s="1"/>
      <c r="X317" s="1"/>
      <c r="Y317" s="1"/>
      <c r="Z317" s="18"/>
      <c r="AA317" s="1"/>
      <c r="AB317" s="1"/>
      <c r="AC317" s="1"/>
      <c r="AD317" s="1"/>
      <c r="AE317" s="18"/>
      <c r="AF317" s="1"/>
      <c r="AG317" s="1"/>
      <c r="AH317" s="1"/>
      <c r="AI317" s="1"/>
      <c r="AJ317" s="18"/>
      <c r="AK317" s="1"/>
    </row>
    <row r="318" spans="1:37" ht="14.25" customHeight="1" x14ac:dyDescent="0.45">
      <c r="A318" s="1"/>
      <c r="B318" s="1"/>
      <c r="C318" s="1"/>
      <c r="D318" s="18"/>
      <c r="E318" s="18"/>
      <c r="F318" s="18"/>
      <c r="G318" s="18"/>
      <c r="H318" s="1"/>
      <c r="I318" s="1"/>
      <c r="J318" s="1"/>
      <c r="K318" s="18"/>
      <c r="L318" s="1"/>
      <c r="M318" s="1"/>
      <c r="N318" s="1"/>
      <c r="O318" s="1"/>
      <c r="P318" s="18"/>
      <c r="Q318" s="1"/>
      <c r="R318" s="1"/>
      <c r="S318" s="1"/>
      <c r="T318" s="1"/>
      <c r="U318" s="18"/>
      <c r="V318" s="1"/>
      <c r="W318" s="1"/>
      <c r="X318" s="1"/>
      <c r="Y318" s="1"/>
      <c r="Z318" s="18"/>
      <c r="AA318" s="1"/>
      <c r="AB318" s="1"/>
      <c r="AC318" s="1"/>
      <c r="AD318" s="1"/>
      <c r="AE318" s="18"/>
      <c r="AF318" s="1"/>
      <c r="AG318" s="1"/>
      <c r="AH318" s="1"/>
      <c r="AI318" s="1"/>
      <c r="AJ318" s="18"/>
      <c r="AK318" s="1"/>
    </row>
    <row r="319" spans="1:37" ht="14.25" customHeight="1" x14ac:dyDescent="0.45">
      <c r="A319" s="1"/>
      <c r="B319" s="1"/>
      <c r="C319" s="1"/>
      <c r="D319" s="18"/>
      <c r="E319" s="18"/>
      <c r="F319" s="18"/>
      <c r="G319" s="18"/>
      <c r="H319" s="1"/>
      <c r="I319" s="1"/>
      <c r="J319" s="1"/>
      <c r="K319" s="18"/>
      <c r="L319" s="1"/>
      <c r="M319" s="1"/>
      <c r="N319" s="1"/>
      <c r="O319" s="1"/>
      <c r="P319" s="18"/>
      <c r="Q319" s="1"/>
      <c r="R319" s="1"/>
      <c r="S319" s="1"/>
      <c r="T319" s="1"/>
      <c r="U319" s="18"/>
      <c r="V319" s="1"/>
      <c r="W319" s="1"/>
      <c r="X319" s="1"/>
      <c r="Y319" s="1"/>
      <c r="Z319" s="18"/>
      <c r="AA319" s="1"/>
      <c r="AB319" s="1"/>
      <c r="AC319" s="1"/>
      <c r="AD319" s="1"/>
      <c r="AE319" s="18"/>
      <c r="AF319" s="1"/>
      <c r="AG319" s="1"/>
      <c r="AH319" s="1"/>
      <c r="AI319" s="1"/>
      <c r="AJ319" s="18"/>
      <c r="AK319" s="1"/>
    </row>
    <row r="320" spans="1:37" ht="14.25" customHeight="1" x14ac:dyDescent="0.45">
      <c r="A320" s="1"/>
      <c r="B320" s="1"/>
      <c r="C320" s="1"/>
      <c r="D320" s="18"/>
      <c r="E320" s="18"/>
      <c r="F320" s="18"/>
      <c r="G320" s="18"/>
      <c r="H320" s="1"/>
      <c r="I320" s="1"/>
      <c r="J320" s="1"/>
      <c r="K320" s="18"/>
      <c r="L320" s="1"/>
      <c r="M320" s="1"/>
      <c r="N320" s="1"/>
      <c r="O320" s="1"/>
      <c r="P320" s="18"/>
      <c r="Q320" s="1"/>
      <c r="R320" s="1"/>
      <c r="S320" s="1"/>
      <c r="T320" s="1"/>
      <c r="U320" s="18"/>
      <c r="V320" s="1"/>
      <c r="W320" s="1"/>
      <c r="X320" s="1"/>
      <c r="Y320" s="1"/>
      <c r="Z320" s="18"/>
      <c r="AA320" s="1"/>
      <c r="AB320" s="1"/>
      <c r="AC320" s="1"/>
      <c r="AD320" s="1"/>
      <c r="AE320" s="18"/>
      <c r="AF320" s="1"/>
      <c r="AG320" s="1"/>
      <c r="AH320" s="1"/>
      <c r="AI320" s="1"/>
      <c r="AJ320" s="18"/>
      <c r="AK320" s="1"/>
    </row>
    <row r="321" spans="1:37" ht="14.25" customHeight="1" x14ac:dyDescent="0.45">
      <c r="A321" s="1"/>
      <c r="B321" s="1"/>
      <c r="C321" s="1"/>
      <c r="D321" s="18"/>
      <c r="E321" s="18"/>
      <c r="F321" s="18"/>
      <c r="G321" s="18"/>
      <c r="H321" s="1"/>
      <c r="I321" s="1"/>
      <c r="J321" s="1"/>
      <c r="K321" s="18"/>
      <c r="L321" s="1"/>
      <c r="M321" s="1"/>
      <c r="N321" s="1"/>
      <c r="O321" s="1"/>
      <c r="P321" s="18"/>
      <c r="Q321" s="1"/>
      <c r="R321" s="1"/>
      <c r="S321" s="1"/>
      <c r="T321" s="1"/>
      <c r="U321" s="18"/>
      <c r="V321" s="1"/>
      <c r="W321" s="1"/>
      <c r="X321" s="1"/>
      <c r="Y321" s="1"/>
      <c r="Z321" s="18"/>
      <c r="AA321" s="1"/>
      <c r="AB321" s="1"/>
      <c r="AC321" s="1"/>
      <c r="AD321" s="1"/>
      <c r="AE321" s="18"/>
      <c r="AF321" s="1"/>
      <c r="AG321" s="1"/>
      <c r="AH321" s="1"/>
      <c r="AI321" s="1"/>
      <c r="AJ321" s="18"/>
      <c r="AK321" s="1"/>
    </row>
    <row r="322" spans="1:37" ht="14.25" customHeight="1" x14ac:dyDescent="0.45">
      <c r="A322" s="1"/>
      <c r="B322" s="1"/>
      <c r="C322" s="1"/>
      <c r="D322" s="18"/>
      <c r="E322" s="18"/>
      <c r="F322" s="18"/>
      <c r="G322" s="18"/>
      <c r="H322" s="1"/>
      <c r="I322" s="1"/>
      <c r="J322" s="1"/>
      <c r="K322" s="18"/>
      <c r="L322" s="1"/>
      <c r="M322" s="1"/>
      <c r="N322" s="1"/>
      <c r="O322" s="1"/>
      <c r="P322" s="18"/>
      <c r="Q322" s="1"/>
      <c r="R322" s="1"/>
      <c r="S322" s="1"/>
      <c r="T322" s="1"/>
      <c r="U322" s="18"/>
      <c r="V322" s="1"/>
      <c r="W322" s="1"/>
      <c r="X322" s="1"/>
      <c r="Y322" s="1"/>
      <c r="Z322" s="18"/>
      <c r="AA322" s="1"/>
      <c r="AB322" s="1"/>
      <c r="AC322" s="1"/>
      <c r="AD322" s="1"/>
      <c r="AE322" s="18"/>
      <c r="AF322" s="1"/>
      <c r="AG322" s="1"/>
      <c r="AH322" s="1"/>
      <c r="AI322" s="1"/>
      <c r="AJ322" s="18"/>
      <c r="AK322" s="1"/>
    </row>
    <row r="323" spans="1:37" ht="14.25" customHeight="1" x14ac:dyDescent="0.45">
      <c r="A323" s="1"/>
      <c r="B323" s="1"/>
      <c r="C323" s="1"/>
      <c r="D323" s="18"/>
      <c r="E323" s="18"/>
      <c r="F323" s="18"/>
      <c r="G323" s="18"/>
      <c r="H323" s="1"/>
      <c r="I323" s="1"/>
      <c r="J323" s="1"/>
      <c r="K323" s="18"/>
      <c r="L323" s="1"/>
      <c r="M323" s="1"/>
      <c r="N323" s="1"/>
      <c r="O323" s="1"/>
      <c r="P323" s="18"/>
      <c r="Q323" s="1"/>
      <c r="R323" s="1"/>
      <c r="S323" s="1"/>
      <c r="T323" s="1"/>
      <c r="U323" s="18"/>
      <c r="V323" s="1"/>
      <c r="W323" s="1"/>
      <c r="X323" s="1"/>
      <c r="Y323" s="1"/>
      <c r="Z323" s="18"/>
      <c r="AA323" s="1"/>
      <c r="AB323" s="1"/>
      <c r="AC323" s="1"/>
      <c r="AD323" s="1"/>
      <c r="AE323" s="18"/>
      <c r="AF323" s="1"/>
      <c r="AG323" s="1"/>
      <c r="AH323" s="1"/>
      <c r="AI323" s="1"/>
      <c r="AJ323" s="18"/>
      <c r="AK323" s="1"/>
    </row>
    <row r="324" spans="1:37" ht="14.25" customHeight="1" x14ac:dyDescent="0.45">
      <c r="A324" s="1"/>
      <c r="B324" s="1"/>
      <c r="C324" s="1"/>
      <c r="D324" s="18"/>
      <c r="E324" s="18"/>
      <c r="F324" s="18"/>
      <c r="G324" s="18"/>
      <c r="H324" s="1"/>
      <c r="I324" s="1"/>
      <c r="J324" s="1"/>
      <c r="K324" s="18"/>
      <c r="L324" s="1"/>
      <c r="M324" s="1"/>
      <c r="N324" s="1"/>
      <c r="O324" s="1"/>
      <c r="P324" s="18"/>
      <c r="Q324" s="1"/>
      <c r="R324" s="1"/>
      <c r="S324" s="1"/>
      <c r="T324" s="1"/>
      <c r="U324" s="18"/>
      <c r="V324" s="1"/>
      <c r="W324" s="1"/>
      <c r="X324" s="1"/>
      <c r="Y324" s="1"/>
      <c r="Z324" s="18"/>
      <c r="AA324" s="1"/>
      <c r="AB324" s="1"/>
      <c r="AC324" s="1"/>
      <c r="AD324" s="1"/>
      <c r="AE324" s="18"/>
      <c r="AF324" s="1"/>
      <c r="AG324" s="1"/>
      <c r="AH324" s="1"/>
      <c r="AI324" s="1"/>
      <c r="AJ324" s="18"/>
      <c r="AK324" s="1"/>
    </row>
    <row r="325" spans="1:37" ht="15.75" customHeight="1" x14ac:dyDescent="0.4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row>
    <row r="326" spans="1:37" ht="15.75" customHeight="1" x14ac:dyDescent="0.4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row>
    <row r="327" spans="1:37" ht="15.75" customHeight="1" x14ac:dyDescent="0.4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row>
    <row r="328" spans="1:37" ht="15.75" customHeight="1" x14ac:dyDescent="0.4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row>
    <row r="329" spans="1:37" ht="15.75" customHeight="1" x14ac:dyDescent="0.4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row>
    <row r="330" spans="1:37" ht="15.75" customHeight="1" x14ac:dyDescent="0.4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row>
    <row r="331" spans="1:37" ht="15.75" customHeight="1" x14ac:dyDescent="0.4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row>
    <row r="332" spans="1:37" ht="15.75" customHeight="1" x14ac:dyDescent="0.4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row>
    <row r="333" spans="1:37" ht="15.75" customHeight="1" x14ac:dyDescent="0.4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row>
    <row r="334" spans="1:37" ht="15.75" customHeight="1" x14ac:dyDescent="0.4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row>
    <row r="335" spans="1:37" ht="15.75" customHeight="1" x14ac:dyDescent="0.4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row>
    <row r="336" spans="1:37" ht="15.75" customHeight="1" x14ac:dyDescent="0.4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row>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autoFilter ref="A1:AK324" xr:uid="{00000000-0009-0000-0000-00000E000000}"/>
  <hyperlinks>
    <hyperlink ref="C110" r:id="rId1" location="gsc.tab=0" xr:uid="{00000000-0004-0000-0E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L1002"/>
  <sheetViews>
    <sheetView workbookViewId="0">
      <pane ySplit="1" topLeftCell="A188" activePane="bottomLeft" state="frozen"/>
      <selection pane="bottomLeft" activeCell="G206" sqref="G206"/>
    </sheetView>
  </sheetViews>
  <sheetFormatPr defaultColWidth="12.69140625" defaultRowHeight="15" customHeight="1" x14ac:dyDescent="0.45"/>
  <cols>
    <col min="1" max="1" width="4.3828125" customWidth="1"/>
    <col min="2" max="2" width="2.3828125" customWidth="1"/>
    <col min="3" max="3" width="51.07421875" customWidth="1"/>
    <col min="4" max="36" width="13.765625" customWidth="1"/>
    <col min="37" max="37" width="3.3828125" customWidth="1"/>
    <col min="38" max="38" width="12.3828125" customWidth="1"/>
  </cols>
  <sheetData>
    <row r="1" spans="1:38" ht="14.2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c r="AL1" s="1"/>
    </row>
    <row r="2" spans="1:38" ht="14.25" customHeight="1" x14ac:dyDescent="0.45">
      <c r="A2" s="618"/>
      <c r="B2" s="618"/>
      <c r="C2" s="5"/>
      <c r="D2" s="618"/>
      <c r="E2" s="618"/>
      <c r="F2" s="618"/>
      <c r="G2" s="618"/>
      <c r="H2" s="618"/>
      <c r="I2" s="618"/>
      <c r="J2" s="618"/>
      <c r="K2" s="618"/>
      <c r="L2" s="618"/>
      <c r="M2" s="618"/>
      <c r="N2" s="618"/>
      <c r="O2" s="618"/>
      <c r="P2" s="618"/>
      <c r="Q2" s="618"/>
      <c r="R2" s="618"/>
      <c r="S2" s="618"/>
      <c r="T2" s="618"/>
      <c r="U2" s="618"/>
      <c r="V2" s="618"/>
      <c r="W2" s="618"/>
      <c r="X2" s="618"/>
      <c r="Y2" s="618"/>
      <c r="Z2" s="618"/>
      <c r="AA2" s="618"/>
      <c r="AB2" s="618"/>
      <c r="AC2" s="618"/>
      <c r="AD2" s="618"/>
      <c r="AE2" s="618"/>
      <c r="AF2" s="618"/>
      <c r="AG2" s="618"/>
      <c r="AH2" s="618"/>
      <c r="AI2" s="618"/>
      <c r="AJ2" s="618"/>
      <c r="AK2" s="618"/>
      <c r="AL2" s="1"/>
    </row>
    <row r="3" spans="1:38" ht="14.25" customHeight="1" x14ac:dyDescent="0.45">
      <c r="A3" s="618"/>
      <c r="B3" s="7"/>
      <c r="C3" s="103"/>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9"/>
      <c r="AL3" s="1"/>
    </row>
    <row r="4" spans="1:38" ht="14.25" customHeight="1" x14ac:dyDescent="0.45">
      <c r="A4" s="618"/>
      <c r="B4" s="106"/>
      <c r="C4" s="107" t="s">
        <v>20</v>
      </c>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4"/>
      <c r="AL4" s="1"/>
    </row>
    <row r="5" spans="1:38" ht="14.25" customHeight="1" x14ac:dyDescent="0.45">
      <c r="A5" s="4"/>
      <c r="B5" s="160"/>
      <c r="C5" s="111" t="s">
        <v>835</v>
      </c>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431"/>
      <c r="AL5" s="1"/>
    </row>
    <row r="6" spans="1:38" ht="14.25" customHeight="1" x14ac:dyDescent="0.45">
      <c r="A6" s="618">
        <v>1</v>
      </c>
      <c r="B6" s="106"/>
      <c r="C6" s="115" t="s">
        <v>836</v>
      </c>
      <c r="D6" s="162">
        <v>1632</v>
      </c>
      <c r="E6" s="162">
        <v>1303</v>
      </c>
      <c r="F6" s="162">
        <v>1338</v>
      </c>
      <c r="G6" s="162">
        <v>1370</v>
      </c>
      <c r="H6" s="162"/>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84"/>
      <c r="AL6" s="1"/>
    </row>
    <row r="7" spans="1:38" ht="14.25" customHeight="1" x14ac:dyDescent="0.45">
      <c r="A7" s="618">
        <v>1</v>
      </c>
      <c r="B7" s="106"/>
      <c r="C7" s="115" t="s">
        <v>837</v>
      </c>
      <c r="D7" s="162">
        <v>165715</v>
      </c>
      <c r="E7" s="162">
        <v>154326</v>
      </c>
      <c r="F7" s="162">
        <v>139690</v>
      </c>
      <c r="G7" s="162">
        <v>149113</v>
      </c>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84"/>
      <c r="AL7" s="1"/>
    </row>
    <row r="8" spans="1:38" ht="14.25" customHeight="1" x14ac:dyDescent="0.45">
      <c r="A8" s="618"/>
      <c r="B8" s="106"/>
      <c r="C8" s="115" t="s">
        <v>838</v>
      </c>
      <c r="D8" s="162" t="s">
        <v>221</v>
      </c>
      <c r="E8" s="162" t="s">
        <v>221</v>
      </c>
      <c r="F8" s="162" t="s">
        <v>221</v>
      </c>
      <c r="G8" s="162" t="s">
        <v>221</v>
      </c>
      <c r="H8" s="162"/>
      <c r="I8" s="162"/>
      <c r="J8" s="162"/>
      <c r="K8" s="162"/>
      <c r="L8" s="162"/>
      <c r="M8" s="162"/>
      <c r="N8" s="162"/>
      <c r="O8" s="162"/>
      <c r="P8" s="162"/>
      <c r="Q8" s="162"/>
      <c r="R8" s="162"/>
      <c r="S8" s="162"/>
      <c r="T8" s="162"/>
      <c r="U8" s="162"/>
      <c r="V8" s="162"/>
      <c r="W8" s="162"/>
      <c r="X8" s="162"/>
      <c r="Y8" s="162"/>
      <c r="Z8" s="162"/>
      <c r="AA8" s="162"/>
      <c r="AB8" s="162"/>
      <c r="AC8" s="162"/>
      <c r="AD8" s="162"/>
      <c r="AE8" s="162"/>
      <c r="AF8" s="162"/>
      <c r="AG8" s="162"/>
      <c r="AH8" s="162"/>
      <c r="AI8" s="162"/>
      <c r="AJ8" s="162"/>
      <c r="AK8" s="184"/>
      <c r="AL8" s="1"/>
    </row>
    <row r="9" spans="1:38" ht="14.25" customHeight="1" x14ac:dyDescent="0.45">
      <c r="A9" s="618"/>
      <c r="B9" s="106"/>
      <c r="C9" s="115" t="s">
        <v>98</v>
      </c>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84"/>
      <c r="AL9" s="1"/>
    </row>
    <row r="10" spans="1:38" ht="14.25" customHeight="1" x14ac:dyDescent="0.45">
      <c r="A10" s="618"/>
      <c r="B10" s="106"/>
      <c r="C10" s="115" t="s">
        <v>25</v>
      </c>
      <c r="D10" s="162">
        <f>SUM(D6:D8)</f>
        <v>167347</v>
      </c>
      <c r="E10" s="162">
        <f>SUM(E6:E8)</f>
        <v>155629</v>
      </c>
      <c r="F10" s="162">
        <f>SUM(F6:F8)</f>
        <v>141028</v>
      </c>
      <c r="G10" s="162">
        <f t="shared" ref="G10:AJ10" si="0">SUM(G6:G7)</f>
        <v>150483</v>
      </c>
      <c r="H10" s="162">
        <f t="shared" si="0"/>
        <v>0</v>
      </c>
      <c r="I10" s="162">
        <f t="shared" si="0"/>
        <v>0</v>
      </c>
      <c r="J10" s="162">
        <f t="shared" si="0"/>
        <v>0</v>
      </c>
      <c r="K10" s="162">
        <f t="shared" si="0"/>
        <v>0</v>
      </c>
      <c r="L10" s="162">
        <f t="shared" si="0"/>
        <v>0</v>
      </c>
      <c r="M10" s="162">
        <f t="shared" si="0"/>
        <v>0</v>
      </c>
      <c r="N10" s="162">
        <f t="shared" si="0"/>
        <v>0</v>
      </c>
      <c r="O10" s="162">
        <f t="shared" si="0"/>
        <v>0</v>
      </c>
      <c r="P10" s="162">
        <f t="shared" si="0"/>
        <v>0</v>
      </c>
      <c r="Q10" s="162">
        <f t="shared" si="0"/>
        <v>0</v>
      </c>
      <c r="R10" s="162">
        <f t="shared" si="0"/>
        <v>0</v>
      </c>
      <c r="S10" s="162">
        <f t="shared" si="0"/>
        <v>0</v>
      </c>
      <c r="T10" s="162">
        <f t="shared" si="0"/>
        <v>0</v>
      </c>
      <c r="U10" s="162">
        <f t="shared" si="0"/>
        <v>0</v>
      </c>
      <c r="V10" s="162">
        <f t="shared" si="0"/>
        <v>0</v>
      </c>
      <c r="W10" s="162">
        <f t="shared" si="0"/>
        <v>0</v>
      </c>
      <c r="X10" s="162">
        <f t="shared" si="0"/>
        <v>0</v>
      </c>
      <c r="Y10" s="162">
        <f t="shared" si="0"/>
        <v>0</v>
      </c>
      <c r="Z10" s="162">
        <f t="shared" si="0"/>
        <v>0</v>
      </c>
      <c r="AA10" s="162">
        <f t="shared" si="0"/>
        <v>0</v>
      </c>
      <c r="AB10" s="162">
        <f t="shared" si="0"/>
        <v>0</v>
      </c>
      <c r="AC10" s="162">
        <f t="shared" si="0"/>
        <v>0</v>
      </c>
      <c r="AD10" s="162">
        <f t="shared" si="0"/>
        <v>0</v>
      </c>
      <c r="AE10" s="162">
        <f t="shared" si="0"/>
        <v>0</v>
      </c>
      <c r="AF10" s="162">
        <f t="shared" si="0"/>
        <v>0</v>
      </c>
      <c r="AG10" s="162">
        <f t="shared" si="0"/>
        <v>0</v>
      </c>
      <c r="AH10" s="162">
        <f t="shared" si="0"/>
        <v>0</v>
      </c>
      <c r="AI10" s="162">
        <f t="shared" si="0"/>
        <v>0</v>
      </c>
      <c r="AJ10" s="162">
        <f t="shared" si="0"/>
        <v>0</v>
      </c>
      <c r="AK10" s="184"/>
      <c r="AL10" s="1"/>
    </row>
    <row r="11" spans="1:38" ht="14.25" customHeight="1" x14ac:dyDescent="0.45">
      <c r="A11" s="618"/>
      <c r="B11" s="106"/>
      <c r="C11" s="323"/>
      <c r="D11" s="183"/>
      <c r="E11" s="183"/>
      <c r="F11" s="183"/>
      <c r="G11" s="183"/>
      <c r="H11" s="183"/>
      <c r="I11" s="183"/>
      <c r="J11" s="183"/>
      <c r="K11" s="183"/>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4"/>
      <c r="AL11" s="1"/>
    </row>
    <row r="12" spans="1:38" ht="14.25" customHeight="1" x14ac:dyDescent="0.45">
      <c r="A12" s="4"/>
      <c r="B12" s="160"/>
      <c r="C12" s="111" t="s">
        <v>26</v>
      </c>
      <c r="D12" s="174"/>
      <c r="E12" s="174"/>
      <c r="F12" s="174"/>
      <c r="G12" s="174"/>
      <c r="H12" s="174"/>
      <c r="I12" s="174"/>
      <c r="J12" s="174"/>
      <c r="K12" s="174"/>
      <c r="L12" s="174"/>
      <c r="M12" s="174"/>
      <c r="N12" s="174"/>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431"/>
      <c r="AL12" s="1"/>
    </row>
    <row r="13" spans="1:38" ht="14.25" customHeight="1" x14ac:dyDescent="0.45">
      <c r="A13" s="618">
        <v>1</v>
      </c>
      <c r="B13" s="106"/>
      <c r="C13" s="115" t="s">
        <v>839</v>
      </c>
      <c r="D13" s="162">
        <v>2695</v>
      </c>
      <c r="E13" s="162">
        <v>2239</v>
      </c>
      <c r="F13" s="162">
        <v>2257</v>
      </c>
      <c r="G13" s="162">
        <v>2061</v>
      </c>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84"/>
      <c r="AL13" s="1"/>
    </row>
    <row r="14" spans="1:38" ht="14.25" customHeight="1" x14ac:dyDescent="0.45">
      <c r="A14" s="618">
        <v>1</v>
      </c>
      <c r="B14" s="106"/>
      <c r="C14" s="115" t="s">
        <v>840</v>
      </c>
      <c r="D14" s="162">
        <v>1478</v>
      </c>
      <c r="E14" s="162">
        <v>1701</v>
      </c>
      <c r="F14" s="162">
        <v>1764</v>
      </c>
      <c r="G14" s="162">
        <v>1221</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84"/>
      <c r="AL14" s="1"/>
    </row>
    <row r="15" spans="1:38" ht="14.25" customHeight="1" x14ac:dyDescent="0.45">
      <c r="A15" s="618">
        <v>1</v>
      </c>
      <c r="B15" s="106"/>
      <c r="C15" s="115" t="s">
        <v>841</v>
      </c>
      <c r="D15" s="162">
        <v>761</v>
      </c>
      <c r="E15" s="162">
        <v>771</v>
      </c>
      <c r="F15" s="162">
        <v>761</v>
      </c>
      <c r="G15" s="162">
        <v>835</v>
      </c>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84"/>
      <c r="AL15" s="1"/>
    </row>
    <row r="16" spans="1:38" ht="14.25" customHeight="1" x14ac:dyDescent="0.45">
      <c r="A16" s="618"/>
      <c r="B16" s="106"/>
      <c r="C16" s="111"/>
      <c r="D16" s="162"/>
      <c r="E16" s="162"/>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84"/>
      <c r="AL16" s="1"/>
    </row>
    <row r="17" spans="1:38" ht="14.25" customHeight="1" x14ac:dyDescent="0.45">
      <c r="A17" s="618"/>
      <c r="B17" s="106"/>
      <c r="C17" s="111" t="s">
        <v>30</v>
      </c>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84"/>
      <c r="AL17" s="1"/>
    </row>
    <row r="18" spans="1:38" ht="14.25" customHeight="1" x14ac:dyDescent="0.45">
      <c r="A18" s="618">
        <v>1</v>
      </c>
      <c r="B18" s="106"/>
      <c r="C18" s="115" t="s">
        <v>842</v>
      </c>
      <c r="D18" s="162">
        <v>456474</v>
      </c>
      <c r="E18" s="162">
        <v>431432</v>
      </c>
      <c r="F18" s="162">
        <v>416372</v>
      </c>
      <c r="G18" s="162">
        <v>425794</v>
      </c>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84"/>
      <c r="AL18" s="1"/>
    </row>
    <row r="19" spans="1:38" ht="14.25" customHeight="1" x14ac:dyDescent="0.45">
      <c r="A19" s="618">
        <v>1</v>
      </c>
      <c r="B19" s="106"/>
      <c r="C19" s="115" t="s">
        <v>843</v>
      </c>
      <c r="D19" s="162">
        <v>0</v>
      </c>
      <c r="E19" s="162">
        <v>0</v>
      </c>
      <c r="F19" s="162">
        <v>0</v>
      </c>
      <c r="G19" s="162">
        <v>0</v>
      </c>
      <c r="H19" s="189"/>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84"/>
      <c r="AL19" s="1"/>
    </row>
    <row r="20" spans="1:38" ht="14.25" customHeight="1" x14ac:dyDescent="0.45">
      <c r="A20" s="618">
        <v>1</v>
      </c>
      <c r="B20" s="106"/>
      <c r="C20" s="115" t="s">
        <v>844</v>
      </c>
      <c r="D20" s="162">
        <v>0</v>
      </c>
      <c r="E20" s="162">
        <v>0</v>
      </c>
      <c r="F20" s="162">
        <v>0</v>
      </c>
      <c r="G20" s="162">
        <v>0</v>
      </c>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84"/>
      <c r="AL20" s="1"/>
    </row>
    <row r="21" spans="1:38" ht="14.25" customHeight="1" x14ac:dyDescent="0.45">
      <c r="A21" s="618"/>
      <c r="B21" s="106"/>
      <c r="C21" s="323"/>
      <c r="D21" s="183"/>
      <c r="E21" s="183"/>
      <c r="F21" s="183"/>
      <c r="G21" s="183"/>
      <c r="H21" s="183"/>
      <c r="I21" s="183"/>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4"/>
      <c r="AL21" s="1"/>
    </row>
    <row r="22" spans="1:38" ht="14.25" customHeight="1" x14ac:dyDescent="0.45">
      <c r="A22" s="4"/>
      <c r="B22" s="160"/>
      <c r="C22" s="111" t="s">
        <v>32</v>
      </c>
      <c r="D22" s="174"/>
      <c r="E22" s="174"/>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431"/>
      <c r="AL22" s="1"/>
    </row>
    <row r="23" spans="1:38" ht="14.25" customHeight="1" x14ac:dyDescent="0.45">
      <c r="A23" s="618">
        <v>2</v>
      </c>
      <c r="B23" s="106"/>
      <c r="C23" s="115" t="s">
        <v>845</v>
      </c>
      <c r="D23" s="116">
        <v>189075.67841752499</v>
      </c>
      <c r="E23" s="116">
        <v>194106.80730376847</v>
      </c>
      <c r="F23" s="116">
        <v>175714.31102148001</v>
      </c>
      <c r="G23" s="116">
        <v>172857.47357056054</v>
      </c>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84"/>
      <c r="AL23" s="1"/>
    </row>
    <row r="24" spans="1:38" ht="14.25" customHeight="1" x14ac:dyDescent="0.45">
      <c r="A24" s="618">
        <v>2</v>
      </c>
      <c r="B24" s="106"/>
      <c r="C24" s="115" t="s">
        <v>846</v>
      </c>
      <c r="D24" s="116">
        <v>9102.7225219745105</v>
      </c>
      <c r="E24" s="116">
        <v>8677.2758492090798</v>
      </c>
      <c r="F24" s="116">
        <v>7734.4925245407358</v>
      </c>
      <c r="G24" s="116">
        <v>7809.3587586725998</v>
      </c>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84"/>
      <c r="AL24" s="1"/>
    </row>
    <row r="25" spans="1:38" ht="14.25" customHeight="1" x14ac:dyDescent="0.45">
      <c r="A25" s="618"/>
      <c r="B25" s="106"/>
      <c r="C25" s="115" t="s">
        <v>847</v>
      </c>
      <c r="D25" s="162" t="s">
        <v>221</v>
      </c>
      <c r="E25" s="162" t="s">
        <v>221</v>
      </c>
      <c r="F25" s="162" t="s">
        <v>221</v>
      </c>
      <c r="G25" s="162" t="s">
        <v>221</v>
      </c>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84"/>
      <c r="AL25" s="1"/>
    </row>
    <row r="26" spans="1:38" ht="14.25" customHeight="1" x14ac:dyDescent="0.45">
      <c r="A26" s="618"/>
      <c r="B26" s="106"/>
      <c r="C26" s="115" t="s">
        <v>848</v>
      </c>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84"/>
      <c r="AL26" s="1"/>
    </row>
    <row r="27" spans="1:38" ht="14.25" customHeight="1" x14ac:dyDescent="0.45">
      <c r="A27" s="618"/>
      <c r="B27" s="106"/>
      <c r="C27" s="115"/>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84"/>
      <c r="AL27" s="1"/>
    </row>
    <row r="28" spans="1:38" ht="14.25" customHeight="1" x14ac:dyDescent="0.45">
      <c r="A28" s="618"/>
      <c r="B28" s="106"/>
      <c r="C28" s="115" t="s">
        <v>849</v>
      </c>
      <c r="D28" s="116">
        <f t="shared" ref="D28:AJ28" si="1">SUM(D23:D24)</f>
        <v>198178.40093949949</v>
      </c>
      <c r="E28" s="116">
        <f t="shared" si="1"/>
        <v>202784.08315297755</v>
      </c>
      <c r="F28" s="116">
        <f t="shared" si="1"/>
        <v>183448.80354602076</v>
      </c>
      <c r="G28" s="116">
        <f t="shared" si="1"/>
        <v>180666.83232923315</v>
      </c>
      <c r="H28" s="162">
        <f t="shared" si="1"/>
        <v>0</v>
      </c>
      <c r="I28" s="162">
        <f t="shared" si="1"/>
        <v>0</v>
      </c>
      <c r="J28" s="162">
        <f t="shared" si="1"/>
        <v>0</v>
      </c>
      <c r="K28" s="162">
        <f t="shared" si="1"/>
        <v>0</v>
      </c>
      <c r="L28" s="162">
        <f t="shared" si="1"/>
        <v>0</v>
      </c>
      <c r="M28" s="162">
        <f t="shared" si="1"/>
        <v>0</v>
      </c>
      <c r="N28" s="162">
        <f t="shared" si="1"/>
        <v>0</v>
      </c>
      <c r="O28" s="162">
        <f t="shared" si="1"/>
        <v>0</v>
      </c>
      <c r="P28" s="162">
        <f t="shared" si="1"/>
        <v>0</v>
      </c>
      <c r="Q28" s="162">
        <f t="shared" si="1"/>
        <v>0</v>
      </c>
      <c r="R28" s="162">
        <f t="shared" si="1"/>
        <v>0</v>
      </c>
      <c r="S28" s="162">
        <f t="shared" si="1"/>
        <v>0</v>
      </c>
      <c r="T28" s="162">
        <f t="shared" si="1"/>
        <v>0</v>
      </c>
      <c r="U28" s="162">
        <f t="shared" si="1"/>
        <v>0</v>
      </c>
      <c r="V28" s="162">
        <f t="shared" si="1"/>
        <v>0</v>
      </c>
      <c r="W28" s="162">
        <f t="shared" si="1"/>
        <v>0</v>
      </c>
      <c r="X28" s="162">
        <f t="shared" si="1"/>
        <v>0</v>
      </c>
      <c r="Y28" s="162">
        <f t="shared" si="1"/>
        <v>0</v>
      </c>
      <c r="Z28" s="162">
        <f t="shared" si="1"/>
        <v>0</v>
      </c>
      <c r="AA28" s="162">
        <f t="shared" si="1"/>
        <v>0</v>
      </c>
      <c r="AB28" s="162">
        <f t="shared" si="1"/>
        <v>0</v>
      </c>
      <c r="AC28" s="162">
        <f t="shared" si="1"/>
        <v>0</v>
      </c>
      <c r="AD28" s="162">
        <f t="shared" si="1"/>
        <v>0</v>
      </c>
      <c r="AE28" s="162">
        <f t="shared" si="1"/>
        <v>0</v>
      </c>
      <c r="AF28" s="162">
        <f t="shared" si="1"/>
        <v>0</v>
      </c>
      <c r="AG28" s="162">
        <f t="shared" si="1"/>
        <v>0</v>
      </c>
      <c r="AH28" s="162">
        <f t="shared" si="1"/>
        <v>0</v>
      </c>
      <c r="AI28" s="162">
        <f t="shared" si="1"/>
        <v>0</v>
      </c>
      <c r="AJ28" s="162">
        <f t="shared" si="1"/>
        <v>0</v>
      </c>
      <c r="AK28" s="184"/>
      <c r="AL28" s="1"/>
    </row>
    <row r="29" spans="1:38" ht="14.25" customHeight="1" x14ac:dyDescent="0.45">
      <c r="A29" s="618"/>
      <c r="B29" s="106"/>
      <c r="C29" s="323"/>
      <c r="D29" s="183"/>
      <c r="E29" s="183"/>
      <c r="F29" s="183"/>
      <c r="G29" s="183"/>
      <c r="H29" s="183"/>
      <c r="I29" s="183"/>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AK29" s="184"/>
      <c r="AL29" s="1"/>
    </row>
    <row r="30" spans="1:38" ht="14.25" customHeight="1" x14ac:dyDescent="0.45">
      <c r="A30" s="4"/>
      <c r="B30" s="160"/>
      <c r="C30" s="111" t="s">
        <v>850</v>
      </c>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431"/>
      <c r="AL30" s="1"/>
    </row>
    <row r="31" spans="1:38" ht="14.25" customHeight="1" x14ac:dyDescent="0.45">
      <c r="A31" s="618"/>
      <c r="B31" s="106"/>
      <c r="C31" s="115" t="s">
        <v>33</v>
      </c>
      <c r="D31" s="162" t="s">
        <v>221</v>
      </c>
      <c r="E31" s="162" t="s">
        <v>221</v>
      </c>
      <c r="F31" s="162" t="s">
        <v>221</v>
      </c>
      <c r="G31" s="162" t="s">
        <v>221</v>
      </c>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84"/>
      <c r="AL31" s="1"/>
    </row>
    <row r="32" spans="1:38" ht="14.25" customHeight="1" x14ac:dyDescent="0.45">
      <c r="A32" s="618"/>
      <c r="B32" s="106"/>
      <c r="C32" s="115" t="s">
        <v>23</v>
      </c>
      <c r="D32" s="162" t="s">
        <v>221</v>
      </c>
      <c r="E32" s="162" t="s">
        <v>221</v>
      </c>
      <c r="F32" s="162" t="s">
        <v>221</v>
      </c>
      <c r="G32" s="162" t="s">
        <v>221</v>
      </c>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84"/>
      <c r="AL32" s="1"/>
    </row>
    <row r="33" spans="1:38" ht="14.25" customHeight="1" x14ac:dyDescent="0.45">
      <c r="A33" s="618"/>
      <c r="B33" s="106"/>
      <c r="C33" s="115" t="s">
        <v>24</v>
      </c>
      <c r="D33" s="162" t="s">
        <v>221</v>
      </c>
      <c r="E33" s="162" t="s">
        <v>221</v>
      </c>
      <c r="F33" s="162" t="s">
        <v>221</v>
      </c>
      <c r="G33" s="162" t="s">
        <v>221</v>
      </c>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84"/>
      <c r="AL33" s="1"/>
    </row>
    <row r="34" spans="1:38" ht="14.25" customHeight="1" x14ac:dyDescent="0.45">
      <c r="A34" s="618"/>
      <c r="B34" s="106"/>
      <c r="C34" s="115" t="s">
        <v>848</v>
      </c>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84"/>
      <c r="AL34" s="1"/>
    </row>
    <row r="35" spans="1:38" ht="14.25" customHeight="1" x14ac:dyDescent="0.45">
      <c r="A35" s="618"/>
      <c r="B35" s="106"/>
      <c r="C35" s="115"/>
      <c r="D35" s="162"/>
      <c r="E35" s="162"/>
      <c r="F35" s="162"/>
      <c r="G35" s="162"/>
      <c r="H35" s="162"/>
      <c r="I35" s="162"/>
      <c r="J35" s="162"/>
      <c r="K35" s="162"/>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84"/>
      <c r="AL35" s="1"/>
    </row>
    <row r="36" spans="1:38" ht="14.25" customHeight="1" x14ac:dyDescent="0.45">
      <c r="A36" s="618"/>
      <c r="B36" s="106"/>
      <c r="C36" s="115" t="s">
        <v>25</v>
      </c>
      <c r="D36" s="162">
        <f t="shared" ref="D36:AJ36" si="2">SUM(D31:D32)</f>
        <v>0</v>
      </c>
      <c r="E36" s="162">
        <f t="shared" si="2"/>
        <v>0</v>
      </c>
      <c r="F36" s="162">
        <f t="shared" si="2"/>
        <v>0</v>
      </c>
      <c r="G36" s="162">
        <f t="shared" si="2"/>
        <v>0</v>
      </c>
      <c r="H36" s="162">
        <f t="shared" si="2"/>
        <v>0</v>
      </c>
      <c r="I36" s="162">
        <f t="shared" si="2"/>
        <v>0</v>
      </c>
      <c r="J36" s="162">
        <f t="shared" si="2"/>
        <v>0</v>
      </c>
      <c r="K36" s="162">
        <f t="shared" si="2"/>
        <v>0</v>
      </c>
      <c r="L36" s="162">
        <f t="shared" si="2"/>
        <v>0</v>
      </c>
      <c r="M36" s="162">
        <f t="shared" si="2"/>
        <v>0</v>
      </c>
      <c r="N36" s="162">
        <f t="shared" si="2"/>
        <v>0</v>
      </c>
      <c r="O36" s="162">
        <f t="shared" si="2"/>
        <v>0</v>
      </c>
      <c r="P36" s="162">
        <f t="shared" si="2"/>
        <v>0</v>
      </c>
      <c r="Q36" s="162">
        <f t="shared" si="2"/>
        <v>0</v>
      </c>
      <c r="R36" s="162">
        <f t="shared" si="2"/>
        <v>0</v>
      </c>
      <c r="S36" s="162">
        <f t="shared" si="2"/>
        <v>0</v>
      </c>
      <c r="T36" s="162">
        <f t="shared" si="2"/>
        <v>0</v>
      </c>
      <c r="U36" s="162">
        <f t="shared" si="2"/>
        <v>0</v>
      </c>
      <c r="V36" s="162">
        <f t="shared" si="2"/>
        <v>0</v>
      </c>
      <c r="W36" s="162">
        <f t="shared" si="2"/>
        <v>0</v>
      </c>
      <c r="X36" s="162">
        <f t="shared" si="2"/>
        <v>0</v>
      </c>
      <c r="Y36" s="162">
        <f t="shared" si="2"/>
        <v>0</v>
      </c>
      <c r="Z36" s="162">
        <f t="shared" si="2"/>
        <v>0</v>
      </c>
      <c r="AA36" s="162">
        <f t="shared" si="2"/>
        <v>0</v>
      </c>
      <c r="AB36" s="162">
        <f t="shared" si="2"/>
        <v>0</v>
      </c>
      <c r="AC36" s="162">
        <f t="shared" si="2"/>
        <v>0</v>
      </c>
      <c r="AD36" s="162">
        <f t="shared" si="2"/>
        <v>0</v>
      </c>
      <c r="AE36" s="162">
        <f t="shared" si="2"/>
        <v>0</v>
      </c>
      <c r="AF36" s="162">
        <f t="shared" si="2"/>
        <v>0</v>
      </c>
      <c r="AG36" s="162">
        <f t="shared" si="2"/>
        <v>0</v>
      </c>
      <c r="AH36" s="162">
        <f t="shared" si="2"/>
        <v>0</v>
      </c>
      <c r="AI36" s="162">
        <f t="shared" si="2"/>
        <v>0</v>
      </c>
      <c r="AJ36" s="162">
        <f t="shared" si="2"/>
        <v>0</v>
      </c>
      <c r="AK36" s="184"/>
      <c r="AL36" s="1"/>
    </row>
    <row r="37" spans="1:38" ht="14.25" customHeight="1" x14ac:dyDescent="0.45">
      <c r="A37" s="618"/>
      <c r="B37" s="106"/>
      <c r="C37" s="323"/>
      <c r="D37" s="183"/>
      <c r="E37" s="183"/>
      <c r="F37" s="183"/>
      <c r="G37" s="183"/>
      <c r="H37" s="183"/>
      <c r="I37" s="183"/>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AK37" s="184"/>
      <c r="AL37" s="1"/>
    </row>
    <row r="38" spans="1:38" ht="14.25" customHeight="1" x14ac:dyDescent="0.45">
      <c r="A38" s="4"/>
      <c r="B38" s="160"/>
      <c r="C38" s="111" t="s">
        <v>38</v>
      </c>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431"/>
      <c r="AL38" s="1"/>
    </row>
    <row r="39" spans="1:38" ht="14.25" customHeight="1" x14ac:dyDescent="0.45">
      <c r="A39" s="618">
        <v>2</v>
      </c>
      <c r="B39" s="160"/>
      <c r="C39" s="115" t="s">
        <v>846</v>
      </c>
      <c r="D39" s="186">
        <v>4347.8</v>
      </c>
      <c r="E39" s="186">
        <v>4431.3999999999996</v>
      </c>
      <c r="F39" s="186">
        <v>4127.7</v>
      </c>
      <c r="G39" s="186">
        <v>4005</v>
      </c>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431"/>
      <c r="AL39" s="1"/>
    </row>
    <row r="40" spans="1:38" ht="14.25" customHeight="1" x14ac:dyDescent="0.45">
      <c r="A40" s="618"/>
      <c r="B40" s="106"/>
      <c r="C40" s="323"/>
      <c r="D40" s="183"/>
      <c r="E40" s="183"/>
      <c r="F40" s="183"/>
      <c r="G40" s="183"/>
      <c r="H40" s="183"/>
      <c r="I40" s="183"/>
      <c r="J40" s="183"/>
      <c r="K40" s="183"/>
      <c r="L40" s="183"/>
      <c r="M40" s="183"/>
      <c r="N40" s="183"/>
      <c r="O40" s="183"/>
      <c r="P40" s="183"/>
      <c r="Q40" s="183"/>
      <c r="R40" s="183"/>
      <c r="S40" s="183"/>
      <c r="T40" s="183"/>
      <c r="U40" s="183"/>
      <c r="V40" s="183"/>
      <c r="W40" s="183"/>
      <c r="X40" s="183"/>
      <c r="Y40" s="183"/>
      <c r="Z40" s="183"/>
      <c r="AA40" s="183"/>
      <c r="AB40" s="183"/>
      <c r="AC40" s="183"/>
      <c r="AD40" s="183"/>
      <c r="AE40" s="183"/>
      <c r="AF40" s="183"/>
      <c r="AG40" s="183"/>
      <c r="AH40" s="183"/>
      <c r="AI40" s="183"/>
      <c r="AJ40" s="183"/>
      <c r="AK40" s="184"/>
      <c r="AL40" s="1"/>
    </row>
    <row r="41" spans="1:38" ht="14.25" customHeight="1" x14ac:dyDescent="0.45">
      <c r="A41" s="4"/>
      <c r="B41" s="160"/>
      <c r="C41" s="111" t="s">
        <v>40</v>
      </c>
      <c r="D41" s="174"/>
      <c r="E41" s="174"/>
      <c r="F41" s="174"/>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431"/>
      <c r="AL41" s="1"/>
    </row>
    <row r="42" spans="1:38" ht="14.25" customHeight="1" x14ac:dyDescent="0.45">
      <c r="A42" s="618"/>
      <c r="B42" s="106"/>
      <c r="C42" s="115" t="s">
        <v>851</v>
      </c>
      <c r="D42" s="162" t="s">
        <v>221</v>
      </c>
      <c r="E42" s="162" t="s">
        <v>221</v>
      </c>
      <c r="F42" s="162" t="s">
        <v>221</v>
      </c>
      <c r="G42" s="162" t="s">
        <v>221</v>
      </c>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84"/>
      <c r="AL42" s="1"/>
    </row>
    <row r="43" spans="1:38" ht="14.25" customHeight="1" x14ac:dyDescent="0.45">
      <c r="A43" s="618">
        <v>2</v>
      </c>
      <c r="B43" s="106"/>
      <c r="C43" s="115" t="s">
        <v>852</v>
      </c>
      <c r="D43" s="116">
        <v>20280.618464650001</v>
      </c>
      <c r="E43" s="116">
        <v>21429.095840510003</v>
      </c>
      <c r="F43" s="116">
        <v>18644.302607059995</v>
      </c>
      <c r="G43" s="116">
        <v>23555.024907935003</v>
      </c>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84"/>
      <c r="AL43" s="1"/>
    </row>
    <row r="44" spans="1:38" ht="14.25" customHeight="1" x14ac:dyDescent="0.45">
      <c r="A44" s="618">
        <v>2</v>
      </c>
      <c r="B44" s="106"/>
      <c r="C44" s="115" t="s">
        <v>853</v>
      </c>
      <c r="D44" s="116">
        <v>15776.647149737999</v>
      </c>
      <c r="E44" s="116">
        <v>18243.464340036007</v>
      </c>
      <c r="F44" s="116">
        <v>13604.810243118001</v>
      </c>
      <c r="G44" s="116">
        <v>16024.160349893999</v>
      </c>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84"/>
      <c r="AL44" s="1"/>
    </row>
    <row r="45" spans="1:38" ht="14.25" customHeight="1" x14ac:dyDescent="0.45">
      <c r="A45" s="618">
        <v>2</v>
      </c>
      <c r="B45" s="106"/>
      <c r="C45" s="115" t="s">
        <v>854</v>
      </c>
      <c r="D45" s="116">
        <v>7472.555465247</v>
      </c>
      <c r="E45" s="116">
        <v>8141.5759944559986</v>
      </c>
      <c r="F45" s="116">
        <v>8320.4433482920012</v>
      </c>
      <c r="G45" s="116">
        <v>8589.9799965389993</v>
      </c>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84"/>
      <c r="AL45" s="1"/>
    </row>
    <row r="46" spans="1:38" ht="14.25" customHeight="1" x14ac:dyDescent="0.45">
      <c r="A46" s="618">
        <v>2</v>
      </c>
      <c r="B46" s="106"/>
      <c r="C46" s="115" t="s">
        <v>855</v>
      </c>
      <c r="D46" s="116">
        <v>4146.7521155200002</v>
      </c>
      <c r="E46" s="116">
        <v>4395.6063585279999</v>
      </c>
      <c r="F46" s="116">
        <v>3071.1038924160002</v>
      </c>
      <c r="G46" s="116">
        <v>2387.2161604480002</v>
      </c>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84"/>
      <c r="AL46" s="1"/>
    </row>
    <row r="47" spans="1:38" ht="14.25" customHeight="1" x14ac:dyDescent="0.45">
      <c r="A47" s="618">
        <v>2</v>
      </c>
      <c r="B47" s="106"/>
      <c r="C47" s="115" t="s">
        <v>856</v>
      </c>
      <c r="D47" s="162" t="s">
        <v>221</v>
      </c>
      <c r="E47" s="162" t="s">
        <v>221</v>
      </c>
      <c r="F47" s="116">
        <v>161.533223341</v>
      </c>
      <c r="G47" s="162" t="s">
        <v>221</v>
      </c>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84"/>
      <c r="AL47" s="1"/>
    </row>
    <row r="48" spans="1:38" ht="14.25" customHeight="1" x14ac:dyDescent="0.45">
      <c r="A48" s="618">
        <v>2</v>
      </c>
      <c r="B48" s="106"/>
      <c r="C48" s="491" t="s">
        <v>857</v>
      </c>
      <c r="D48" s="116">
        <v>958.68917970000018</v>
      </c>
      <c r="E48" s="116">
        <v>766.59909549999998</v>
      </c>
      <c r="F48" s="116">
        <v>884.32902390000004</v>
      </c>
      <c r="G48" s="116">
        <v>976.87803360000009</v>
      </c>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84"/>
      <c r="AL48" s="1"/>
    </row>
    <row r="49" spans="1:38" ht="14.25" customHeight="1" x14ac:dyDescent="0.45">
      <c r="A49" s="618"/>
      <c r="B49" s="106"/>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84"/>
      <c r="AL49" s="1"/>
    </row>
    <row r="50" spans="1:38" ht="14.25" customHeight="1" x14ac:dyDescent="0.45">
      <c r="A50" s="618"/>
      <c r="B50" s="106"/>
      <c r="C50" s="115" t="s">
        <v>849</v>
      </c>
      <c r="D50" s="116">
        <f>SUM(D42:D48)</f>
        <v>48635.262374855003</v>
      </c>
      <c r="E50" s="116">
        <f>SUM(E42:E48)</f>
        <v>52976.341629030008</v>
      </c>
      <c r="F50" s="116">
        <f>SUM(F42:F48)</f>
        <v>44686.522338126997</v>
      </c>
      <c r="G50" s="116">
        <f>SUM(G42:G48)</f>
        <v>51533.259448415993</v>
      </c>
      <c r="H50" s="162">
        <f t="shared" ref="H50:AJ50" si="3">SUM(H43:H47)</f>
        <v>0</v>
      </c>
      <c r="I50" s="162">
        <f t="shared" si="3"/>
        <v>0</v>
      </c>
      <c r="J50" s="162">
        <f t="shared" si="3"/>
        <v>0</v>
      </c>
      <c r="K50" s="162">
        <f t="shared" si="3"/>
        <v>0</v>
      </c>
      <c r="L50" s="162">
        <f t="shared" si="3"/>
        <v>0</v>
      </c>
      <c r="M50" s="162">
        <f t="shared" si="3"/>
        <v>0</v>
      </c>
      <c r="N50" s="162">
        <f t="shared" si="3"/>
        <v>0</v>
      </c>
      <c r="O50" s="162">
        <f t="shared" si="3"/>
        <v>0</v>
      </c>
      <c r="P50" s="162">
        <f t="shared" si="3"/>
        <v>0</v>
      </c>
      <c r="Q50" s="162">
        <f t="shared" si="3"/>
        <v>0</v>
      </c>
      <c r="R50" s="162">
        <f t="shared" si="3"/>
        <v>0</v>
      </c>
      <c r="S50" s="162">
        <f t="shared" si="3"/>
        <v>0</v>
      </c>
      <c r="T50" s="162">
        <f t="shared" si="3"/>
        <v>0</v>
      </c>
      <c r="U50" s="162">
        <f t="shared" si="3"/>
        <v>0</v>
      </c>
      <c r="V50" s="162">
        <f t="shared" si="3"/>
        <v>0</v>
      </c>
      <c r="W50" s="162">
        <f t="shared" si="3"/>
        <v>0</v>
      </c>
      <c r="X50" s="162">
        <f t="shared" si="3"/>
        <v>0</v>
      </c>
      <c r="Y50" s="162">
        <f t="shared" si="3"/>
        <v>0</v>
      </c>
      <c r="Z50" s="162">
        <f t="shared" si="3"/>
        <v>0</v>
      </c>
      <c r="AA50" s="162">
        <f t="shared" si="3"/>
        <v>0</v>
      </c>
      <c r="AB50" s="162">
        <f t="shared" si="3"/>
        <v>0</v>
      </c>
      <c r="AC50" s="162">
        <f t="shared" si="3"/>
        <v>0</v>
      </c>
      <c r="AD50" s="162">
        <f t="shared" si="3"/>
        <v>0</v>
      </c>
      <c r="AE50" s="162">
        <f t="shared" si="3"/>
        <v>0</v>
      </c>
      <c r="AF50" s="162">
        <f t="shared" si="3"/>
        <v>0</v>
      </c>
      <c r="AG50" s="162">
        <f t="shared" si="3"/>
        <v>0</v>
      </c>
      <c r="AH50" s="162">
        <f t="shared" si="3"/>
        <v>0</v>
      </c>
      <c r="AI50" s="162">
        <f t="shared" si="3"/>
        <v>0</v>
      </c>
      <c r="AJ50" s="162">
        <f t="shared" si="3"/>
        <v>0</v>
      </c>
      <c r="AK50" s="184"/>
      <c r="AL50" s="1"/>
    </row>
    <row r="51" spans="1:38" ht="14.25" customHeight="1" x14ac:dyDescent="0.45">
      <c r="A51" s="618"/>
      <c r="B51" s="106"/>
      <c r="C51" s="323"/>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c r="AK51" s="184"/>
      <c r="AL51" s="1"/>
    </row>
    <row r="52" spans="1:38" ht="14.25" customHeight="1" x14ac:dyDescent="0.45">
      <c r="A52" s="4"/>
      <c r="B52" s="160"/>
      <c r="C52" s="111" t="s">
        <v>55</v>
      </c>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431"/>
      <c r="AL52" s="1"/>
    </row>
    <row r="53" spans="1:38" ht="14.25" customHeight="1" x14ac:dyDescent="0.45">
      <c r="A53" s="618"/>
      <c r="B53" s="106"/>
      <c r="C53" s="115"/>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84"/>
      <c r="AL53" s="1"/>
    </row>
    <row r="54" spans="1:38" ht="14.25" customHeight="1" x14ac:dyDescent="0.45">
      <c r="A54" s="618"/>
      <c r="B54" s="106"/>
      <c r="C54" s="111" t="s">
        <v>56</v>
      </c>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84"/>
      <c r="AL54" s="1"/>
    </row>
    <row r="55" spans="1:38" ht="14.25" customHeight="1" x14ac:dyDescent="0.45">
      <c r="A55" s="618">
        <v>2</v>
      </c>
      <c r="B55" s="106"/>
      <c r="C55" s="115" t="s">
        <v>845</v>
      </c>
      <c r="D55" s="116">
        <v>-35445.300708585004</v>
      </c>
      <c r="E55" s="116">
        <v>-32203.332299475016</v>
      </c>
      <c r="F55" s="116">
        <v>-26319.067862585001</v>
      </c>
      <c r="G55" s="116">
        <v>-32950.003969485006</v>
      </c>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84"/>
      <c r="AL55" s="1"/>
    </row>
    <row r="56" spans="1:38" ht="14.25" customHeight="1" x14ac:dyDescent="0.45">
      <c r="A56" s="618"/>
      <c r="B56" s="106"/>
      <c r="C56" s="115"/>
      <c r="D56" s="116"/>
      <c r="E56" s="116"/>
      <c r="F56" s="116"/>
      <c r="G56" s="116"/>
      <c r="H56" s="162"/>
      <c r="I56" s="162"/>
      <c r="J56" s="162"/>
      <c r="K56" s="162"/>
      <c r="L56" s="162"/>
      <c r="M56" s="162"/>
      <c r="N56" s="162"/>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84"/>
      <c r="AL56" s="1"/>
    </row>
    <row r="57" spans="1:38" ht="14.25" customHeight="1" x14ac:dyDescent="0.45">
      <c r="A57" s="618"/>
      <c r="B57" s="106"/>
      <c r="C57" s="111" t="s">
        <v>57</v>
      </c>
      <c r="D57" s="116"/>
      <c r="E57" s="116"/>
      <c r="F57" s="116"/>
      <c r="G57" s="116"/>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84"/>
      <c r="AL57" s="1"/>
    </row>
    <row r="58" spans="1:38" ht="14.25" customHeight="1" x14ac:dyDescent="0.45">
      <c r="A58" s="618">
        <v>2</v>
      </c>
      <c r="B58" s="106"/>
      <c r="C58" s="115" t="s">
        <v>845</v>
      </c>
      <c r="D58" s="116">
        <v>-15582.858278500002</v>
      </c>
      <c r="E58" s="116">
        <v>-13583.229327500001</v>
      </c>
      <c r="F58" s="116">
        <v>-10482.424086000001</v>
      </c>
      <c r="G58" s="116">
        <v>-13536.534390000001</v>
      </c>
      <c r="H58" s="162"/>
      <c r="I58" s="162"/>
      <c r="J58" s="162"/>
      <c r="K58" s="162"/>
      <c r="L58" s="162"/>
      <c r="M58" s="162"/>
      <c r="N58" s="162"/>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84"/>
      <c r="AL58" s="1"/>
    </row>
    <row r="59" spans="1:38" ht="14.25" customHeight="1" x14ac:dyDescent="0.45">
      <c r="A59" s="618">
        <v>2</v>
      </c>
      <c r="B59" s="106"/>
      <c r="C59" s="115" t="s">
        <v>858</v>
      </c>
      <c r="D59" s="116">
        <v>-1.7028752563080001</v>
      </c>
      <c r="E59" s="116">
        <v>-1.64374526625228</v>
      </c>
      <c r="F59" s="116">
        <v>0</v>
      </c>
      <c r="G59" s="116">
        <v>-2.7097679958000001</v>
      </c>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84"/>
      <c r="AL59" s="1"/>
    </row>
    <row r="60" spans="1:38" ht="14.25" customHeight="1" x14ac:dyDescent="0.45">
      <c r="A60" s="618"/>
      <c r="B60" s="106"/>
      <c r="C60" s="115"/>
      <c r="D60" s="116"/>
      <c r="E60" s="116"/>
      <c r="F60" s="116"/>
      <c r="G60" s="116"/>
      <c r="H60" s="162"/>
      <c r="I60" s="162"/>
      <c r="J60" s="162"/>
      <c r="K60" s="162"/>
      <c r="L60" s="162"/>
      <c r="M60" s="162"/>
      <c r="N60" s="162"/>
      <c r="O60" s="162"/>
      <c r="P60" s="162"/>
      <c r="Q60" s="162"/>
      <c r="R60" s="162"/>
      <c r="S60" s="162"/>
      <c r="T60" s="162"/>
      <c r="U60" s="162"/>
      <c r="V60" s="162"/>
      <c r="W60" s="162"/>
      <c r="X60" s="162"/>
      <c r="Y60" s="162"/>
      <c r="Z60" s="162"/>
      <c r="AA60" s="162"/>
      <c r="AB60" s="162"/>
      <c r="AC60" s="162"/>
      <c r="AD60" s="162"/>
      <c r="AE60" s="162"/>
      <c r="AF60" s="162"/>
      <c r="AG60" s="162"/>
      <c r="AH60" s="162"/>
      <c r="AI60" s="162"/>
      <c r="AJ60" s="162"/>
      <c r="AK60" s="184"/>
      <c r="AL60" s="1"/>
    </row>
    <row r="61" spans="1:38" ht="14.25" customHeight="1" x14ac:dyDescent="0.45">
      <c r="A61" s="618"/>
      <c r="B61" s="106"/>
      <c r="C61" s="111" t="s">
        <v>60</v>
      </c>
      <c r="D61" s="116"/>
      <c r="E61" s="116"/>
      <c r="F61" s="116"/>
      <c r="G61" s="116"/>
      <c r="H61" s="162"/>
      <c r="I61" s="162"/>
      <c r="J61" s="162"/>
      <c r="K61" s="162"/>
      <c r="L61" s="162"/>
      <c r="M61" s="162"/>
      <c r="N61" s="162"/>
      <c r="O61" s="162"/>
      <c r="P61" s="162"/>
      <c r="Q61" s="162"/>
      <c r="R61" s="162"/>
      <c r="S61" s="162"/>
      <c r="T61" s="162"/>
      <c r="U61" s="162"/>
      <c r="V61" s="162"/>
      <c r="W61" s="162"/>
      <c r="X61" s="162"/>
      <c r="Y61" s="162"/>
      <c r="Z61" s="162"/>
      <c r="AA61" s="162"/>
      <c r="AB61" s="162"/>
      <c r="AC61" s="162"/>
      <c r="AD61" s="162"/>
      <c r="AE61" s="162"/>
      <c r="AF61" s="162"/>
      <c r="AG61" s="162"/>
      <c r="AH61" s="162"/>
      <c r="AI61" s="162"/>
      <c r="AJ61" s="162"/>
      <c r="AK61" s="184"/>
      <c r="AL61" s="1"/>
    </row>
    <row r="62" spans="1:38" ht="14.25" customHeight="1" x14ac:dyDescent="0.45">
      <c r="A62" s="618">
        <v>2</v>
      </c>
      <c r="B62" s="106"/>
      <c r="C62" s="115" t="s">
        <v>845</v>
      </c>
      <c r="D62" s="116">
        <v>-7187.4213946150003</v>
      </c>
      <c r="E62" s="116">
        <v>-6720.1751549850005</v>
      </c>
      <c r="F62" s="116">
        <v>-6021.2021558200004</v>
      </c>
      <c r="G62" s="116">
        <v>-7063.4959749</v>
      </c>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2"/>
      <c r="AJ62" s="162"/>
      <c r="AK62" s="184"/>
      <c r="AL62" s="1"/>
    </row>
    <row r="63" spans="1:38" ht="14.25" customHeight="1" x14ac:dyDescent="0.45">
      <c r="A63" s="618"/>
      <c r="B63" s="106"/>
      <c r="C63" s="115"/>
      <c r="D63" s="116"/>
      <c r="E63" s="116"/>
      <c r="F63" s="116"/>
      <c r="G63" s="116"/>
      <c r="H63" s="162"/>
      <c r="I63" s="162"/>
      <c r="J63" s="162"/>
      <c r="K63" s="162"/>
      <c r="L63" s="162"/>
      <c r="M63" s="162"/>
      <c r="N63" s="162"/>
      <c r="O63" s="162"/>
      <c r="P63" s="162"/>
      <c r="Q63" s="162"/>
      <c r="R63" s="162"/>
      <c r="S63" s="162"/>
      <c r="T63" s="162"/>
      <c r="U63" s="162"/>
      <c r="V63" s="162"/>
      <c r="W63" s="162"/>
      <c r="X63" s="162"/>
      <c r="Y63" s="162"/>
      <c r="Z63" s="162"/>
      <c r="AA63" s="162"/>
      <c r="AB63" s="162"/>
      <c r="AC63" s="162"/>
      <c r="AD63" s="162"/>
      <c r="AE63" s="162"/>
      <c r="AF63" s="162"/>
      <c r="AG63" s="162"/>
      <c r="AH63" s="162"/>
      <c r="AI63" s="162"/>
      <c r="AJ63" s="162"/>
      <c r="AK63" s="184"/>
      <c r="AL63" s="1"/>
    </row>
    <row r="64" spans="1:38" ht="14.25" customHeight="1" x14ac:dyDescent="0.45">
      <c r="A64" s="618"/>
      <c r="B64" s="106"/>
      <c r="C64" s="111" t="s">
        <v>61</v>
      </c>
      <c r="D64" s="116"/>
      <c r="E64" s="116"/>
      <c r="F64" s="116"/>
      <c r="G64" s="116"/>
      <c r="H64" s="162"/>
      <c r="I64" s="162"/>
      <c r="J64" s="162"/>
      <c r="K64" s="162"/>
      <c r="L64" s="162"/>
      <c r="M64" s="162"/>
      <c r="N64" s="162"/>
      <c r="O64" s="162"/>
      <c r="P64" s="162"/>
      <c r="Q64" s="162"/>
      <c r="R64" s="162"/>
      <c r="S64" s="162"/>
      <c r="T64" s="162"/>
      <c r="U64" s="162"/>
      <c r="V64" s="162"/>
      <c r="W64" s="162"/>
      <c r="X64" s="162"/>
      <c r="Y64" s="162"/>
      <c r="Z64" s="162"/>
      <c r="AA64" s="162"/>
      <c r="AB64" s="162"/>
      <c r="AC64" s="162"/>
      <c r="AD64" s="162"/>
      <c r="AE64" s="162"/>
      <c r="AF64" s="162"/>
      <c r="AG64" s="162"/>
      <c r="AH64" s="162"/>
      <c r="AI64" s="162"/>
      <c r="AJ64" s="162"/>
      <c r="AK64" s="184"/>
      <c r="AL64" s="1"/>
    </row>
    <row r="65" spans="1:38" ht="14.25" customHeight="1" x14ac:dyDescent="0.45">
      <c r="A65" s="618">
        <v>2</v>
      </c>
      <c r="B65" s="106"/>
      <c r="C65" s="115" t="s">
        <v>845</v>
      </c>
      <c r="D65" s="116">
        <v>-3482.9801152049999</v>
      </c>
      <c r="E65" s="116">
        <v>-3591.834932875</v>
      </c>
      <c r="F65" s="116">
        <v>-3310.6159562050002</v>
      </c>
      <c r="G65" s="116">
        <v>-3405.1962641800001</v>
      </c>
      <c r="H65" s="162"/>
      <c r="I65" s="162"/>
      <c r="J65" s="162"/>
      <c r="K65" s="162"/>
      <c r="L65" s="162"/>
      <c r="M65" s="162"/>
      <c r="N65" s="162"/>
      <c r="O65" s="162"/>
      <c r="P65" s="162"/>
      <c r="Q65" s="162"/>
      <c r="R65" s="162"/>
      <c r="S65" s="162"/>
      <c r="T65" s="162"/>
      <c r="U65" s="162"/>
      <c r="V65" s="162"/>
      <c r="W65" s="162"/>
      <c r="X65" s="162"/>
      <c r="Y65" s="162"/>
      <c r="Z65" s="162"/>
      <c r="AA65" s="162"/>
      <c r="AB65" s="162"/>
      <c r="AC65" s="162"/>
      <c r="AD65" s="162"/>
      <c r="AE65" s="162"/>
      <c r="AF65" s="162"/>
      <c r="AG65" s="162"/>
      <c r="AH65" s="162"/>
      <c r="AI65" s="162"/>
      <c r="AJ65" s="162"/>
      <c r="AK65" s="184"/>
      <c r="AL65" s="1"/>
    </row>
    <row r="66" spans="1:38" ht="14.25" customHeight="1" x14ac:dyDescent="0.45">
      <c r="A66" s="618">
        <v>2</v>
      </c>
      <c r="B66" s="106"/>
      <c r="C66" s="115" t="s">
        <v>858</v>
      </c>
      <c r="D66" s="116">
        <v>-113.309300538819</v>
      </c>
      <c r="E66" s="116">
        <v>-120.828108058702</v>
      </c>
      <c r="F66" s="116">
        <v>-105.48527806302999</v>
      </c>
      <c r="G66" s="116">
        <v>-100.65048148104999</v>
      </c>
      <c r="H66" s="162"/>
      <c r="I66" s="162"/>
      <c r="J66" s="162"/>
      <c r="K66" s="162"/>
      <c r="L66" s="162"/>
      <c r="M66" s="162"/>
      <c r="N66" s="162"/>
      <c r="O66" s="162"/>
      <c r="P66" s="162"/>
      <c r="Q66" s="162"/>
      <c r="R66" s="162"/>
      <c r="S66" s="162"/>
      <c r="T66" s="162"/>
      <c r="U66" s="162"/>
      <c r="V66" s="162"/>
      <c r="W66" s="162"/>
      <c r="X66" s="162"/>
      <c r="Y66" s="162"/>
      <c r="Z66" s="162"/>
      <c r="AA66" s="162"/>
      <c r="AB66" s="162"/>
      <c r="AC66" s="162"/>
      <c r="AD66" s="162"/>
      <c r="AE66" s="162"/>
      <c r="AF66" s="162"/>
      <c r="AG66" s="162"/>
      <c r="AH66" s="162"/>
      <c r="AI66" s="162"/>
      <c r="AJ66" s="162"/>
      <c r="AK66" s="184"/>
      <c r="AL66" s="1"/>
    </row>
    <row r="67" spans="1:38" ht="14.25" customHeight="1" x14ac:dyDescent="0.45">
      <c r="A67" s="618"/>
      <c r="B67" s="106"/>
      <c r="C67" s="323"/>
      <c r="D67" s="183"/>
      <c r="E67" s="183"/>
      <c r="F67" s="183"/>
      <c r="G67" s="183"/>
      <c r="H67" s="183"/>
      <c r="I67" s="183"/>
      <c r="J67" s="183"/>
      <c r="K67" s="183"/>
      <c r="L67" s="183"/>
      <c r="M67" s="183"/>
      <c r="N67" s="183"/>
      <c r="O67" s="183"/>
      <c r="P67" s="183"/>
      <c r="Q67" s="183"/>
      <c r="R67" s="183"/>
      <c r="S67" s="183"/>
      <c r="T67" s="183"/>
      <c r="U67" s="183"/>
      <c r="V67" s="183"/>
      <c r="W67" s="183"/>
      <c r="X67" s="183"/>
      <c r="Y67" s="183"/>
      <c r="Z67" s="183"/>
      <c r="AA67" s="183"/>
      <c r="AB67" s="183"/>
      <c r="AC67" s="183"/>
      <c r="AD67" s="183"/>
      <c r="AE67" s="183"/>
      <c r="AF67" s="183"/>
      <c r="AG67" s="183"/>
      <c r="AH67" s="183"/>
      <c r="AI67" s="183"/>
      <c r="AJ67" s="183"/>
      <c r="AK67" s="184"/>
      <c r="AL67" s="1"/>
    </row>
    <row r="68" spans="1:38" ht="14.25" customHeight="1" x14ac:dyDescent="0.45">
      <c r="A68" s="4"/>
      <c r="B68" s="160"/>
      <c r="C68" s="111" t="s">
        <v>63</v>
      </c>
      <c r="D68" s="174"/>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431"/>
      <c r="AL68" s="1"/>
    </row>
    <row r="69" spans="1:38" ht="14.25" customHeight="1" x14ac:dyDescent="0.45">
      <c r="A69" s="618"/>
      <c r="B69" s="106"/>
      <c r="C69" s="115"/>
      <c r="D69" s="162"/>
      <c r="E69" s="162"/>
      <c r="F69" s="162"/>
      <c r="G69" s="162"/>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84"/>
      <c r="AL69" s="1"/>
    </row>
    <row r="70" spans="1:38" ht="14.25" customHeight="1" x14ac:dyDescent="0.45">
      <c r="A70" s="618"/>
      <c r="B70" s="106"/>
      <c r="C70" s="111" t="s">
        <v>56</v>
      </c>
      <c r="D70" s="162"/>
      <c r="E70" s="162"/>
      <c r="F70" s="162"/>
      <c r="G70" s="162"/>
      <c r="H70" s="162"/>
      <c r="I70" s="162"/>
      <c r="J70" s="162"/>
      <c r="K70" s="162"/>
      <c r="L70" s="162"/>
      <c r="M70" s="162"/>
      <c r="N70" s="162"/>
      <c r="O70" s="162"/>
      <c r="P70" s="162"/>
      <c r="Q70" s="162"/>
      <c r="R70" s="162"/>
      <c r="S70" s="162"/>
      <c r="T70" s="162"/>
      <c r="U70" s="162"/>
      <c r="V70" s="162"/>
      <c r="W70" s="162"/>
      <c r="X70" s="162"/>
      <c r="Y70" s="162"/>
      <c r="Z70" s="162"/>
      <c r="AA70" s="162"/>
      <c r="AB70" s="162"/>
      <c r="AC70" s="162"/>
      <c r="AD70" s="162"/>
      <c r="AE70" s="162"/>
      <c r="AF70" s="162"/>
      <c r="AG70" s="162"/>
      <c r="AH70" s="162"/>
      <c r="AI70" s="162"/>
      <c r="AJ70" s="162"/>
      <c r="AK70" s="184"/>
      <c r="AL70" s="1"/>
    </row>
    <row r="71" spans="1:38" ht="14.25" customHeight="1" x14ac:dyDescent="0.45">
      <c r="A71" s="618">
        <v>2</v>
      </c>
      <c r="B71" s="106"/>
      <c r="C71" s="115" t="s">
        <v>852</v>
      </c>
      <c r="D71" s="116">
        <v>7967.9536894899984</v>
      </c>
      <c r="E71" s="116">
        <v>7872.9163570050005</v>
      </c>
      <c r="F71" s="116">
        <v>5318.0091060599998</v>
      </c>
      <c r="G71" s="116">
        <v>7030.5653529499996</v>
      </c>
      <c r="H71" s="162"/>
      <c r="I71" s="162"/>
      <c r="J71" s="162"/>
      <c r="K71" s="162"/>
      <c r="L71" s="162"/>
      <c r="M71" s="162"/>
      <c r="N71" s="162"/>
      <c r="O71" s="162"/>
      <c r="P71" s="162"/>
      <c r="Q71" s="162"/>
      <c r="R71" s="162"/>
      <c r="S71" s="162"/>
      <c r="T71" s="162"/>
      <c r="U71" s="162"/>
      <c r="V71" s="162"/>
      <c r="W71" s="162"/>
      <c r="X71" s="162"/>
      <c r="Y71" s="162"/>
      <c r="Z71" s="162"/>
      <c r="AA71" s="162"/>
      <c r="AB71" s="162"/>
      <c r="AC71" s="162"/>
      <c r="AD71" s="162"/>
      <c r="AE71" s="162"/>
      <c r="AF71" s="162"/>
      <c r="AG71" s="162"/>
      <c r="AH71" s="162"/>
      <c r="AI71" s="162"/>
      <c r="AJ71" s="162"/>
      <c r="AK71" s="184"/>
      <c r="AL71" s="1"/>
    </row>
    <row r="72" spans="1:38" ht="14.25" customHeight="1" x14ac:dyDescent="0.45">
      <c r="A72" s="618">
        <v>2</v>
      </c>
      <c r="B72" s="106"/>
      <c r="C72" s="115" t="s">
        <v>853</v>
      </c>
      <c r="D72" s="116">
        <v>8188.7104428599996</v>
      </c>
      <c r="E72" s="116">
        <v>7596.5377124485703</v>
      </c>
      <c r="F72" s="116">
        <v>5712.3388130639987</v>
      </c>
      <c r="G72" s="116">
        <v>6525.157233162</v>
      </c>
      <c r="H72" s="162"/>
      <c r="I72" s="162"/>
      <c r="J72" s="162"/>
      <c r="K72" s="162"/>
      <c r="L72" s="162"/>
      <c r="M72" s="162"/>
      <c r="N72" s="162"/>
      <c r="O72" s="162"/>
      <c r="P72" s="162"/>
      <c r="Q72" s="162"/>
      <c r="R72" s="162"/>
      <c r="S72" s="162"/>
      <c r="T72" s="162"/>
      <c r="U72" s="162"/>
      <c r="V72" s="162"/>
      <c r="W72" s="162"/>
      <c r="X72" s="162"/>
      <c r="Y72" s="162"/>
      <c r="Z72" s="162"/>
      <c r="AA72" s="162"/>
      <c r="AB72" s="162"/>
      <c r="AC72" s="162"/>
      <c r="AD72" s="162"/>
      <c r="AE72" s="162"/>
      <c r="AF72" s="162"/>
      <c r="AG72" s="162"/>
      <c r="AH72" s="162"/>
      <c r="AI72" s="162"/>
      <c r="AJ72" s="162"/>
      <c r="AK72" s="184"/>
      <c r="AL72" s="1"/>
    </row>
    <row r="73" spans="1:38" ht="14.25" customHeight="1" x14ac:dyDescent="0.45">
      <c r="A73" s="618">
        <v>2</v>
      </c>
      <c r="B73" s="106"/>
      <c r="C73" s="115" t="s">
        <v>854</v>
      </c>
      <c r="D73" s="116">
        <v>981.78914802599991</v>
      </c>
      <c r="E73" s="116">
        <v>562.75485162699999</v>
      </c>
      <c r="F73" s="116">
        <v>661.99268793400006</v>
      </c>
      <c r="G73" s="116">
        <v>688.84379596400015</v>
      </c>
      <c r="H73" s="162"/>
      <c r="I73" s="162"/>
      <c r="J73" s="162"/>
      <c r="K73" s="162"/>
      <c r="L73" s="162"/>
      <c r="M73" s="162"/>
      <c r="N73" s="162"/>
      <c r="O73" s="162"/>
      <c r="P73" s="162"/>
      <c r="Q73" s="162"/>
      <c r="R73" s="162"/>
      <c r="S73" s="162"/>
      <c r="T73" s="162"/>
      <c r="U73" s="162"/>
      <c r="V73" s="162"/>
      <c r="W73" s="162"/>
      <c r="X73" s="162"/>
      <c r="Y73" s="162"/>
      <c r="Z73" s="162"/>
      <c r="AA73" s="162"/>
      <c r="AB73" s="162"/>
      <c r="AC73" s="162"/>
      <c r="AD73" s="162"/>
      <c r="AE73" s="162"/>
      <c r="AF73" s="162"/>
      <c r="AG73" s="162"/>
      <c r="AH73" s="162"/>
      <c r="AI73" s="162"/>
      <c r="AJ73" s="162"/>
      <c r="AK73" s="184"/>
      <c r="AL73" s="1"/>
    </row>
    <row r="74" spans="1:38" ht="14.25" customHeight="1" x14ac:dyDescent="0.45">
      <c r="A74" s="618">
        <v>2</v>
      </c>
      <c r="B74" s="106"/>
      <c r="C74" s="115" t="s">
        <v>855</v>
      </c>
      <c r="D74" s="116">
        <v>13621.409080383999</v>
      </c>
      <c r="E74" s="116">
        <v>9566.57812896</v>
      </c>
      <c r="F74" s="116">
        <v>10299.825746560002</v>
      </c>
      <c r="G74" s="116">
        <v>13433.031589376</v>
      </c>
      <c r="H74" s="162"/>
      <c r="I74" s="162"/>
      <c r="J74" s="162"/>
      <c r="K74" s="162"/>
      <c r="L74" s="162"/>
      <c r="M74" s="162"/>
      <c r="N74" s="162"/>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84"/>
      <c r="AL74" s="1"/>
    </row>
    <row r="75" spans="1:38" ht="14.25" customHeight="1" x14ac:dyDescent="0.45">
      <c r="A75" s="618">
        <v>2</v>
      </c>
      <c r="B75" s="106"/>
      <c r="C75" s="115" t="s">
        <v>856</v>
      </c>
      <c r="D75" s="116">
        <v>2263.3801934940007</v>
      </c>
      <c r="E75" s="116">
        <v>2228.4651654720001</v>
      </c>
      <c r="F75" s="116">
        <v>1338.6032716000002</v>
      </c>
      <c r="G75" s="116">
        <v>1949.035704679</v>
      </c>
      <c r="H75" s="162"/>
      <c r="I75" s="162"/>
      <c r="J75" s="162"/>
      <c r="K75" s="162"/>
      <c r="L75" s="162"/>
      <c r="M75" s="162"/>
      <c r="N75" s="162"/>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84"/>
      <c r="AL75" s="1"/>
    </row>
    <row r="76" spans="1:38" ht="14.25" customHeight="1" x14ac:dyDescent="0.45">
      <c r="A76" s="618">
        <v>2</v>
      </c>
      <c r="B76" s="106"/>
      <c r="C76" s="491" t="s">
        <v>859</v>
      </c>
      <c r="D76" s="116">
        <v>403.09656950553102</v>
      </c>
      <c r="E76" s="116">
        <v>387.99773783442555</v>
      </c>
      <c r="F76" s="116">
        <v>312.00881532645923</v>
      </c>
      <c r="G76" s="116">
        <v>345.30297603185318</v>
      </c>
      <c r="H76" s="162"/>
      <c r="I76" s="162"/>
      <c r="J76" s="162"/>
      <c r="K76" s="162"/>
      <c r="L76" s="162"/>
      <c r="M76" s="162"/>
      <c r="N76" s="162"/>
      <c r="O76" s="162"/>
      <c r="P76" s="162"/>
      <c r="Q76" s="162"/>
      <c r="R76" s="162"/>
      <c r="S76" s="162"/>
      <c r="T76" s="162"/>
      <c r="U76" s="162"/>
      <c r="V76" s="162"/>
      <c r="W76" s="162"/>
      <c r="X76" s="162"/>
      <c r="Y76" s="162"/>
      <c r="Z76" s="162"/>
      <c r="AA76" s="162"/>
      <c r="AB76" s="162"/>
      <c r="AC76" s="162"/>
      <c r="AD76" s="162"/>
      <c r="AE76" s="162"/>
      <c r="AF76" s="162"/>
      <c r="AG76" s="162"/>
      <c r="AH76" s="162"/>
      <c r="AI76" s="162"/>
      <c r="AJ76" s="162"/>
      <c r="AK76" s="184"/>
      <c r="AL76" s="1"/>
    </row>
    <row r="77" spans="1:38" ht="14.25" customHeight="1" x14ac:dyDescent="0.45">
      <c r="A77" s="618">
        <v>2</v>
      </c>
      <c r="B77" s="106"/>
      <c r="C77" s="491" t="s">
        <v>860</v>
      </c>
      <c r="D77" s="116">
        <v>1369.8821991679999</v>
      </c>
      <c r="E77" s="116">
        <v>1325.2623345919999</v>
      </c>
      <c r="F77" s="116">
        <v>997.00081017600007</v>
      </c>
      <c r="G77" s="116">
        <v>1203.0472294400001</v>
      </c>
      <c r="H77" s="162"/>
      <c r="I77" s="162"/>
      <c r="J77" s="162"/>
      <c r="K77" s="162"/>
      <c r="L77" s="162"/>
      <c r="M77" s="162"/>
      <c r="N77" s="162"/>
      <c r="O77" s="162"/>
      <c r="P77" s="162"/>
      <c r="Q77" s="162"/>
      <c r="R77" s="162"/>
      <c r="S77" s="162"/>
      <c r="T77" s="162"/>
      <c r="U77" s="162"/>
      <c r="V77" s="162"/>
      <c r="W77" s="162"/>
      <c r="X77" s="162"/>
      <c r="Y77" s="162"/>
      <c r="Z77" s="162"/>
      <c r="AA77" s="162"/>
      <c r="AB77" s="162"/>
      <c r="AC77" s="162"/>
      <c r="AD77" s="162"/>
      <c r="AE77" s="162"/>
      <c r="AF77" s="162"/>
      <c r="AG77" s="162"/>
      <c r="AH77" s="162"/>
      <c r="AI77" s="162"/>
      <c r="AJ77" s="162"/>
      <c r="AK77" s="184"/>
      <c r="AL77" s="1"/>
    </row>
    <row r="78" spans="1:38" ht="14.25" customHeight="1" x14ac:dyDescent="0.45">
      <c r="A78" s="618"/>
      <c r="B78" s="106"/>
      <c r="C78" s="115"/>
      <c r="D78" s="162"/>
      <c r="E78" s="162"/>
      <c r="F78" s="162"/>
      <c r="G78" s="162"/>
      <c r="H78" s="162"/>
      <c r="I78" s="162"/>
      <c r="J78" s="162"/>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84"/>
      <c r="AL78" s="1"/>
    </row>
    <row r="79" spans="1:38" ht="14.25" customHeight="1" x14ac:dyDescent="0.45">
      <c r="A79" s="618"/>
      <c r="B79" s="106"/>
      <c r="C79" s="111" t="s">
        <v>57</v>
      </c>
      <c r="D79" s="162"/>
      <c r="E79" s="162"/>
      <c r="F79" s="162"/>
      <c r="G79" s="162"/>
      <c r="H79" s="162"/>
      <c r="I79" s="162"/>
      <c r="J79" s="162"/>
      <c r="K79" s="162"/>
      <c r="L79" s="16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84"/>
      <c r="AL79" s="1"/>
    </row>
    <row r="80" spans="1:38" ht="14.25" customHeight="1" x14ac:dyDescent="0.45">
      <c r="A80" s="618">
        <v>2</v>
      </c>
      <c r="B80" s="106"/>
      <c r="C80" s="115" t="s">
        <v>852</v>
      </c>
      <c r="D80" s="116">
        <v>2804.4081818049999</v>
      </c>
      <c r="E80" s="116">
        <v>2339.9855913050001</v>
      </c>
      <c r="F80" s="116">
        <v>1991.1963310150002</v>
      </c>
      <c r="G80" s="116">
        <v>2527.3575182400004</v>
      </c>
      <c r="H80" s="162"/>
      <c r="I80" s="162"/>
      <c r="J80" s="162"/>
      <c r="K80" s="162"/>
      <c r="L80" s="162"/>
      <c r="M80" s="162"/>
      <c r="N80" s="162"/>
      <c r="O80" s="162"/>
      <c r="P80" s="162"/>
      <c r="Q80" s="162"/>
      <c r="R80" s="162"/>
      <c r="S80" s="162"/>
      <c r="T80" s="162"/>
      <c r="U80" s="162"/>
      <c r="V80" s="162"/>
      <c r="W80" s="162"/>
      <c r="X80" s="162"/>
      <c r="Y80" s="162"/>
      <c r="Z80" s="162"/>
      <c r="AA80" s="162"/>
      <c r="AB80" s="162"/>
      <c r="AC80" s="162"/>
      <c r="AD80" s="162"/>
      <c r="AE80" s="162"/>
      <c r="AF80" s="162"/>
      <c r="AG80" s="162"/>
      <c r="AH80" s="162"/>
      <c r="AI80" s="162"/>
      <c r="AJ80" s="162"/>
      <c r="AK80" s="184"/>
      <c r="AL80" s="1"/>
    </row>
    <row r="81" spans="1:38" ht="14.25" customHeight="1" x14ac:dyDescent="0.45">
      <c r="A81" s="618">
        <v>2</v>
      </c>
      <c r="B81" s="106"/>
      <c r="C81" s="115" t="s">
        <v>853</v>
      </c>
      <c r="D81" s="116">
        <v>2016.0900379200002</v>
      </c>
      <c r="E81" s="116">
        <v>1751.9734811999999</v>
      </c>
      <c r="F81" s="116">
        <v>1252.8281405939997</v>
      </c>
      <c r="G81" s="116">
        <v>1661.76652584</v>
      </c>
      <c r="H81" s="162"/>
      <c r="I81" s="162"/>
      <c r="J81" s="162"/>
      <c r="K81" s="162"/>
      <c r="L81" s="162"/>
      <c r="M81" s="162"/>
      <c r="N81" s="162"/>
      <c r="O81" s="162"/>
      <c r="P81" s="162"/>
      <c r="Q81" s="162"/>
      <c r="R81" s="162"/>
      <c r="S81" s="162"/>
      <c r="T81" s="162"/>
      <c r="U81" s="162"/>
      <c r="V81" s="162"/>
      <c r="W81" s="162"/>
      <c r="X81" s="162"/>
      <c r="Y81" s="162"/>
      <c r="Z81" s="162"/>
      <c r="AA81" s="162"/>
      <c r="AB81" s="162"/>
      <c r="AC81" s="162"/>
      <c r="AD81" s="162"/>
      <c r="AE81" s="162"/>
      <c r="AF81" s="162"/>
      <c r="AG81" s="162"/>
      <c r="AH81" s="162"/>
      <c r="AI81" s="162"/>
      <c r="AJ81" s="162"/>
      <c r="AK81" s="184"/>
      <c r="AL81" s="1"/>
    </row>
    <row r="82" spans="1:38" ht="14.25" customHeight="1" x14ac:dyDescent="0.45">
      <c r="A82" s="618">
        <v>2</v>
      </c>
      <c r="B82" s="106"/>
      <c r="C82" s="115" t="s">
        <v>854</v>
      </c>
      <c r="D82" s="116">
        <v>17.449980285999999</v>
      </c>
      <c r="E82" s="116">
        <v>13.962846895999997</v>
      </c>
      <c r="F82" s="116">
        <v>3.5027936270000009</v>
      </c>
      <c r="G82" s="116">
        <v>1.7657403040000004</v>
      </c>
      <c r="H82" s="162"/>
      <c r="I82" s="162"/>
      <c r="J82" s="162"/>
      <c r="K82" s="162"/>
      <c r="L82" s="16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84"/>
      <c r="AL82" s="1"/>
    </row>
    <row r="83" spans="1:38" ht="14.25" customHeight="1" x14ac:dyDescent="0.45">
      <c r="A83" s="618">
        <v>2</v>
      </c>
      <c r="B83" s="106"/>
      <c r="C83" s="115" t="s">
        <v>855</v>
      </c>
      <c r="D83" s="116">
        <v>9722.6177377280001</v>
      </c>
      <c r="E83" s="116">
        <v>8582.8470631679993</v>
      </c>
      <c r="F83" s="116">
        <v>6785.4280914560013</v>
      </c>
      <c r="G83" s="116">
        <v>8728.9772989439989</v>
      </c>
      <c r="H83" s="162"/>
      <c r="I83" s="162"/>
      <c r="J83" s="162"/>
      <c r="K83" s="162"/>
      <c r="L83" s="162"/>
      <c r="M83" s="162"/>
      <c r="N83" s="162"/>
      <c r="O83" s="162"/>
      <c r="P83" s="162"/>
      <c r="Q83" s="162"/>
      <c r="R83" s="162"/>
      <c r="S83" s="162"/>
      <c r="T83" s="162"/>
      <c r="U83" s="162"/>
      <c r="V83" s="162"/>
      <c r="W83" s="162"/>
      <c r="X83" s="162"/>
      <c r="Y83" s="162"/>
      <c r="Z83" s="162"/>
      <c r="AA83" s="162"/>
      <c r="AB83" s="162"/>
      <c r="AC83" s="162"/>
      <c r="AD83" s="162"/>
      <c r="AE83" s="162"/>
      <c r="AF83" s="162"/>
      <c r="AG83" s="162"/>
      <c r="AH83" s="162"/>
      <c r="AI83" s="162"/>
      <c r="AJ83" s="162"/>
      <c r="AK83" s="184"/>
      <c r="AL83" s="1"/>
    </row>
    <row r="84" spans="1:38" ht="14.25" customHeight="1" x14ac:dyDescent="0.45">
      <c r="A84" s="618">
        <v>2</v>
      </c>
      <c r="B84" s="106"/>
      <c r="C84" s="115" t="s">
        <v>856</v>
      </c>
      <c r="D84" s="116">
        <v>557.53462764999995</v>
      </c>
      <c r="E84" s="116">
        <v>536.23277819299994</v>
      </c>
      <c r="F84" s="116">
        <v>134.66989900000002</v>
      </c>
      <c r="G84" s="116">
        <v>181.17593925900002</v>
      </c>
      <c r="H84" s="162"/>
      <c r="I84" s="162"/>
      <c r="J84" s="162"/>
      <c r="K84" s="162"/>
      <c r="L84" s="162"/>
      <c r="M84" s="162"/>
      <c r="N84" s="162"/>
      <c r="O84" s="162"/>
      <c r="P84" s="162"/>
      <c r="Q84" s="162"/>
      <c r="R84" s="162"/>
      <c r="S84" s="162"/>
      <c r="T84" s="162"/>
      <c r="U84" s="162"/>
      <c r="V84" s="162"/>
      <c r="W84" s="162"/>
      <c r="X84" s="162"/>
      <c r="Y84" s="162"/>
      <c r="Z84" s="162"/>
      <c r="AA84" s="162"/>
      <c r="AB84" s="162"/>
      <c r="AC84" s="162"/>
      <c r="AD84" s="162"/>
      <c r="AE84" s="162"/>
      <c r="AF84" s="162"/>
      <c r="AG84" s="162"/>
      <c r="AH84" s="162"/>
      <c r="AI84" s="162"/>
      <c r="AJ84" s="162"/>
      <c r="AK84" s="184"/>
      <c r="AL84" s="1"/>
    </row>
    <row r="85" spans="1:38" ht="14.25" customHeight="1" x14ac:dyDescent="0.45">
      <c r="A85" s="618">
        <v>2</v>
      </c>
      <c r="B85" s="106"/>
      <c r="C85" s="491" t="s">
        <v>860</v>
      </c>
      <c r="D85" s="116">
        <v>173.4647488</v>
      </c>
      <c r="E85" s="116">
        <v>151.48180364800004</v>
      </c>
      <c r="F85" s="116">
        <v>143.64784761600001</v>
      </c>
      <c r="G85" s="116">
        <v>169.49642079999998</v>
      </c>
      <c r="H85" s="162"/>
      <c r="I85" s="162"/>
      <c r="J85" s="162"/>
      <c r="K85" s="162"/>
      <c r="L85" s="162"/>
      <c r="M85" s="162"/>
      <c r="N85" s="162"/>
      <c r="O85" s="162"/>
      <c r="P85" s="162"/>
      <c r="Q85" s="162"/>
      <c r="R85" s="162"/>
      <c r="S85" s="162"/>
      <c r="T85" s="162"/>
      <c r="U85" s="162"/>
      <c r="V85" s="162"/>
      <c r="W85" s="162"/>
      <c r="X85" s="162"/>
      <c r="Y85" s="162"/>
      <c r="Z85" s="162"/>
      <c r="AA85" s="162"/>
      <c r="AB85" s="162"/>
      <c r="AC85" s="162"/>
      <c r="AD85" s="162"/>
      <c r="AE85" s="162"/>
      <c r="AF85" s="162"/>
      <c r="AG85" s="162"/>
      <c r="AH85" s="162"/>
      <c r="AI85" s="162"/>
      <c r="AJ85" s="162"/>
      <c r="AK85" s="184"/>
      <c r="AL85" s="1"/>
    </row>
    <row r="86" spans="1:38" ht="14.25" customHeight="1" x14ac:dyDescent="0.45">
      <c r="A86" s="618"/>
      <c r="B86" s="106"/>
      <c r="C86" s="115"/>
      <c r="D86" s="162"/>
      <c r="E86" s="162"/>
      <c r="F86" s="162"/>
      <c r="G86" s="162"/>
      <c r="H86" s="162"/>
      <c r="I86" s="162"/>
      <c r="J86" s="162"/>
      <c r="K86" s="162"/>
      <c r="L86" s="162"/>
      <c r="M86" s="162"/>
      <c r="N86" s="162"/>
      <c r="O86" s="162"/>
      <c r="P86" s="162"/>
      <c r="Q86" s="162"/>
      <c r="R86" s="162"/>
      <c r="S86" s="162"/>
      <c r="T86" s="162"/>
      <c r="U86" s="162"/>
      <c r="V86" s="162"/>
      <c r="W86" s="162"/>
      <c r="X86" s="162"/>
      <c r="Y86" s="162"/>
      <c r="Z86" s="162"/>
      <c r="AA86" s="162"/>
      <c r="AB86" s="162"/>
      <c r="AC86" s="162"/>
      <c r="AD86" s="162"/>
      <c r="AE86" s="162"/>
      <c r="AF86" s="162"/>
      <c r="AG86" s="162"/>
      <c r="AH86" s="162"/>
      <c r="AI86" s="162"/>
      <c r="AJ86" s="162"/>
      <c r="AK86" s="184"/>
      <c r="AL86" s="1"/>
    </row>
    <row r="87" spans="1:38" ht="14.25" customHeight="1" x14ac:dyDescent="0.45">
      <c r="A87" s="618"/>
      <c r="B87" s="106"/>
      <c r="C87" s="111" t="s">
        <v>60</v>
      </c>
      <c r="D87" s="162"/>
      <c r="E87" s="162"/>
      <c r="F87" s="162"/>
      <c r="G87" s="162"/>
      <c r="H87" s="162"/>
      <c r="I87" s="162"/>
      <c r="J87" s="162"/>
      <c r="K87" s="162"/>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c r="AJ87" s="162"/>
      <c r="AK87" s="184"/>
      <c r="AL87" s="1"/>
    </row>
    <row r="88" spans="1:38" ht="14.25" customHeight="1" x14ac:dyDescent="0.45">
      <c r="A88" s="618">
        <v>2</v>
      </c>
      <c r="B88" s="106"/>
      <c r="C88" s="115" t="s">
        <v>852</v>
      </c>
      <c r="D88" s="116">
        <v>2106.0874696050005</v>
      </c>
      <c r="E88" s="116">
        <v>2055.0483355699998</v>
      </c>
      <c r="F88" s="116">
        <v>1793.0588899950001</v>
      </c>
      <c r="G88" s="116">
        <v>2289.7687088000002</v>
      </c>
      <c r="H88" s="162"/>
      <c r="I88" s="162"/>
      <c r="J88" s="162"/>
      <c r="K88" s="162"/>
      <c r="L88" s="162"/>
      <c r="M88" s="162"/>
      <c r="N88" s="162"/>
      <c r="O88" s="162"/>
      <c r="P88" s="162"/>
      <c r="Q88" s="162"/>
      <c r="R88" s="162"/>
      <c r="S88" s="162"/>
      <c r="T88" s="162"/>
      <c r="U88" s="162"/>
      <c r="V88" s="162"/>
      <c r="W88" s="162"/>
      <c r="X88" s="162"/>
      <c r="Y88" s="162"/>
      <c r="Z88" s="162"/>
      <c r="AA88" s="162"/>
      <c r="AB88" s="162"/>
      <c r="AC88" s="162"/>
      <c r="AD88" s="162"/>
      <c r="AE88" s="162"/>
      <c r="AF88" s="162"/>
      <c r="AG88" s="162"/>
      <c r="AH88" s="162"/>
      <c r="AI88" s="162"/>
      <c r="AJ88" s="162"/>
      <c r="AK88" s="184"/>
      <c r="AL88" s="1"/>
    </row>
    <row r="89" spans="1:38" ht="14.25" customHeight="1" x14ac:dyDescent="0.45">
      <c r="A89" s="618">
        <v>2</v>
      </c>
      <c r="B89" s="106"/>
      <c r="C89" s="115" t="s">
        <v>853</v>
      </c>
      <c r="D89" s="116">
        <v>1048.2846662279999</v>
      </c>
      <c r="E89" s="116">
        <v>1004.9981676</v>
      </c>
      <c r="F89" s="116">
        <v>956.97708673800003</v>
      </c>
      <c r="G89" s="116">
        <v>939.47352782640007</v>
      </c>
      <c r="H89" s="162"/>
      <c r="I89" s="162"/>
      <c r="J89" s="162"/>
      <c r="K89" s="162"/>
      <c r="L89" s="162"/>
      <c r="M89" s="162"/>
      <c r="N89" s="162"/>
      <c r="O89" s="162"/>
      <c r="P89" s="162"/>
      <c r="Q89" s="162"/>
      <c r="R89" s="162"/>
      <c r="S89" s="162"/>
      <c r="T89" s="162"/>
      <c r="U89" s="162"/>
      <c r="V89" s="162"/>
      <c r="W89" s="162"/>
      <c r="X89" s="162"/>
      <c r="Y89" s="162"/>
      <c r="Z89" s="162"/>
      <c r="AA89" s="162"/>
      <c r="AB89" s="162"/>
      <c r="AC89" s="162"/>
      <c r="AD89" s="162"/>
      <c r="AE89" s="162"/>
      <c r="AF89" s="162"/>
      <c r="AG89" s="162"/>
      <c r="AH89" s="162"/>
      <c r="AI89" s="162"/>
      <c r="AJ89" s="162"/>
      <c r="AK89" s="184"/>
      <c r="AL89" s="1"/>
    </row>
    <row r="90" spans="1:38" ht="14.25" customHeight="1" x14ac:dyDescent="0.45">
      <c r="A90" s="618">
        <v>2</v>
      </c>
      <c r="B90" s="106"/>
      <c r="C90" s="115" t="s">
        <v>854</v>
      </c>
      <c r="D90" s="116" t="s">
        <v>221</v>
      </c>
      <c r="E90" s="116" t="s">
        <v>221</v>
      </c>
      <c r="F90" s="116" t="s">
        <v>221</v>
      </c>
      <c r="G90" s="116" t="s">
        <v>221</v>
      </c>
      <c r="H90" s="162"/>
      <c r="I90" s="162"/>
      <c r="J90" s="162"/>
      <c r="K90" s="162"/>
      <c r="L90" s="162"/>
      <c r="M90" s="162"/>
      <c r="N90" s="162"/>
      <c r="O90" s="162"/>
      <c r="P90" s="162"/>
      <c r="Q90" s="162"/>
      <c r="R90" s="162"/>
      <c r="S90" s="162"/>
      <c r="T90" s="162"/>
      <c r="U90" s="162"/>
      <c r="V90" s="162"/>
      <c r="W90" s="162"/>
      <c r="X90" s="162"/>
      <c r="Y90" s="162"/>
      <c r="Z90" s="162"/>
      <c r="AA90" s="162"/>
      <c r="AB90" s="162"/>
      <c r="AC90" s="162"/>
      <c r="AD90" s="162"/>
      <c r="AE90" s="162"/>
      <c r="AF90" s="162"/>
      <c r="AG90" s="162"/>
      <c r="AH90" s="162"/>
      <c r="AI90" s="162"/>
      <c r="AJ90" s="162"/>
      <c r="AK90" s="184"/>
      <c r="AL90" s="1"/>
    </row>
    <row r="91" spans="1:38" ht="14.25" customHeight="1" x14ac:dyDescent="0.45">
      <c r="A91" s="618">
        <v>2</v>
      </c>
      <c r="B91" s="106"/>
      <c r="C91" s="115" t="s">
        <v>855</v>
      </c>
      <c r="D91" s="116">
        <v>375.51849171199996</v>
      </c>
      <c r="E91" s="116">
        <v>241.92364895999995</v>
      </c>
      <c r="F91" s="116">
        <v>229.45505676799999</v>
      </c>
      <c r="G91" s="116">
        <v>286.40360582400001</v>
      </c>
      <c r="H91" s="162"/>
      <c r="I91" s="162"/>
      <c r="J91" s="162"/>
      <c r="K91" s="162"/>
      <c r="L91" s="162"/>
      <c r="M91" s="162"/>
      <c r="N91" s="162"/>
      <c r="O91" s="162"/>
      <c r="P91" s="162"/>
      <c r="Q91" s="162"/>
      <c r="R91" s="162"/>
      <c r="S91" s="162"/>
      <c r="T91" s="162"/>
      <c r="U91" s="162"/>
      <c r="V91" s="162"/>
      <c r="W91" s="162"/>
      <c r="X91" s="162"/>
      <c r="Y91" s="162"/>
      <c r="Z91" s="162"/>
      <c r="AA91" s="162"/>
      <c r="AB91" s="162"/>
      <c r="AC91" s="162"/>
      <c r="AD91" s="162"/>
      <c r="AE91" s="162"/>
      <c r="AF91" s="162"/>
      <c r="AG91" s="162"/>
      <c r="AH91" s="162"/>
      <c r="AI91" s="162"/>
      <c r="AJ91" s="162"/>
      <c r="AK91" s="184"/>
      <c r="AL91" s="1"/>
    </row>
    <row r="92" spans="1:38" ht="14.25" customHeight="1" x14ac:dyDescent="0.45">
      <c r="A92" s="618">
        <v>2</v>
      </c>
      <c r="B92" s="106"/>
      <c r="C92" s="115" t="s">
        <v>856</v>
      </c>
      <c r="D92" s="116" t="s">
        <v>221</v>
      </c>
      <c r="E92" s="116">
        <v>14.661990000000001</v>
      </c>
      <c r="F92" s="116" t="s">
        <v>221</v>
      </c>
      <c r="G92" s="116" t="s">
        <v>221</v>
      </c>
      <c r="H92" s="162"/>
      <c r="I92" s="162"/>
      <c r="J92" s="162"/>
      <c r="K92" s="162"/>
      <c r="L92" s="162"/>
      <c r="M92" s="162"/>
      <c r="N92" s="162"/>
      <c r="O92" s="162"/>
      <c r="P92" s="162"/>
      <c r="Q92" s="162"/>
      <c r="R92" s="162"/>
      <c r="S92" s="162"/>
      <c r="T92" s="162"/>
      <c r="U92" s="162"/>
      <c r="V92" s="162"/>
      <c r="W92" s="162"/>
      <c r="X92" s="162"/>
      <c r="Y92" s="162"/>
      <c r="Z92" s="162"/>
      <c r="AA92" s="162"/>
      <c r="AB92" s="162"/>
      <c r="AC92" s="162"/>
      <c r="AD92" s="162"/>
      <c r="AE92" s="162"/>
      <c r="AF92" s="162"/>
      <c r="AG92" s="162"/>
      <c r="AH92" s="162"/>
      <c r="AI92" s="162"/>
      <c r="AJ92" s="162"/>
      <c r="AK92" s="184"/>
      <c r="AL92" s="1"/>
    </row>
    <row r="93" spans="1:38" ht="14.25" customHeight="1" x14ac:dyDescent="0.45">
      <c r="A93" s="618">
        <v>2</v>
      </c>
      <c r="B93" s="106"/>
      <c r="C93" s="491" t="s">
        <v>861</v>
      </c>
      <c r="D93" s="116">
        <v>3510.1232158719995</v>
      </c>
      <c r="E93" s="116">
        <v>3246.3014855040001</v>
      </c>
      <c r="F93" s="116">
        <v>2937.4734287359997</v>
      </c>
      <c r="G93" s="116">
        <v>3399.2629126399993</v>
      </c>
      <c r="H93" s="162"/>
      <c r="I93" s="162"/>
      <c r="J93" s="162"/>
      <c r="K93" s="162"/>
      <c r="L93" s="162"/>
      <c r="M93" s="162"/>
      <c r="N93" s="162"/>
      <c r="O93" s="162"/>
      <c r="P93" s="162"/>
      <c r="Q93" s="162"/>
      <c r="R93" s="162"/>
      <c r="S93" s="162"/>
      <c r="T93" s="162"/>
      <c r="U93" s="162"/>
      <c r="V93" s="162"/>
      <c r="W93" s="162"/>
      <c r="X93" s="162"/>
      <c r="Y93" s="162"/>
      <c r="Z93" s="162"/>
      <c r="AA93" s="162"/>
      <c r="AB93" s="162"/>
      <c r="AC93" s="162"/>
      <c r="AD93" s="162"/>
      <c r="AE93" s="162"/>
      <c r="AF93" s="162"/>
      <c r="AG93" s="162"/>
      <c r="AH93" s="162"/>
      <c r="AI93" s="162"/>
      <c r="AJ93" s="162"/>
      <c r="AK93" s="184"/>
      <c r="AL93" s="1"/>
    </row>
    <row r="94" spans="1:38" ht="14.25" customHeight="1" x14ac:dyDescent="0.45">
      <c r="A94" s="618"/>
      <c r="B94" s="106"/>
      <c r="C94" s="115"/>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2"/>
      <c r="AJ94" s="162"/>
      <c r="AK94" s="184"/>
      <c r="AL94" s="1"/>
    </row>
    <row r="95" spans="1:38" ht="14.25" customHeight="1" x14ac:dyDescent="0.45">
      <c r="A95" s="618"/>
      <c r="B95" s="106"/>
      <c r="C95" s="111" t="s">
        <v>61</v>
      </c>
      <c r="D95" s="162"/>
      <c r="E95" s="162"/>
      <c r="F95" s="162"/>
      <c r="G95" s="162"/>
      <c r="H95" s="162"/>
      <c r="I95" s="162"/>
      <c r="J95" s="162"/>
      <c r="K95" s="162"/>
      <c r="L95" s="162"/>
      <c r="M95" s="162"/>
      <c r="N95" s="162"/>
      <c r="O95" s="162"/>
      <c r="P95" s="162"/>
      <c r="Q95" s="162"/>
      <c r="R95" s="162"/>
      <c r="S95" s="162"/>
      <c r="T95" s="162"/>
      <c r="U95" s="162"/>
      <c r="V95" s="162"/>
      <c r="W95" s="162"/>
      <c r="X95" s="162"/>
      <c r="Y95" s="162"/>
      <c r="Z95" s="162"/>
      <c r="AA95" s="162"/>
      <c r="AB95" s="162"/>
      <c r="AC95" s="162"/>
      <c r="AD95" s="162"/>
      <c r="AE95" s="162"/>
      <c r="AF95" s="162"/>
      <c r="AG95" s="162"/>
      <c r="AH95" s="162"/>
      <c r="AI95" s="162"/>
      <c r="AJ95" s="162"/>
      <c r="AK95" s="184"/>
      <c r="AL95" s="1"/>
    </row>
    <row r="96" spans="1:38" ht="14.25" customHeight="1" x14ac:dyDescent="0.45">
      <c r="A96" s="618">
        <v>2</v>
      </c>
      <c r="B96" s="106"/>
      <c r="C96" s="115" t="s">
        <v>852</v>
      </c>
      <c r="D96" s="116">
        <v>773.80374717000018</v>
      </c>
      <c r="E96" s="116">
        <v>792.28263398500007</v>
      </c>
      <c r="F96" s="116">
        <v>724.64808411000013</v>
      </c>
      <c r="G96" s="116">
        <v>748.44624789000011</v>
      </c>
      <c r="H96" s="162"/>
      <c r="I96" s="162"/>
      <c r="J96" s="162"/>
      <c r="K96" s="162"/>
      <c r="L96" s="162"/>
      <c r="M96" s="162"/>
      <c r="N96" s="162"/>
      <c r="O96" s="162"/>
      <c r="P96" s="162"/>
      <c r="Q96" s="162"/>
      <c r="R96" s="162"/>
      <c r="S96" s="162"/>
      <c r="T96" s="162"/>
      <c r="U96" s="162"/>
      <c r="V96" s="162"/>
      <c r="W96" s="162"/>
      <c r="X96" s="162"/>
      <c r="Y96" s="162"/>
      <c r="Z96" s="162"/>
      <c r="AA96" s="162"/>
      <c r="AB96" s="162"/>
      <c r="AC96" s="162"/>
      <c r="AD96" s="162"/>
      <c r="AE96" s="162"/>
      <c r="AF96" s="162"/>
      <c r="AG96" s="162"/>
      <c r="AH96" s="162"/>
      <c r="AI96" s="162"/>
      <c r="AJ96" s="162"/>
      <c r="AK96" s="184"/>
      <c r="AL96" s="1"/>
    </row>
    <row r="97" spans="1:38" ht="14.25" customHeight="1" x14ac:dyDescent="0.45">
      <c r="A97" s="618">
        <v>2</v>
      </c>
      <c r="B97" s="106"/>
      <c r="C97" s="115" t="s">
        <v>853</v>
      </c>
      <c r="D97" s="116">
        <v>114.31093202999999</v>
      </c>
      <c r="E97" s="116">
        <v>119.97621371400001</v>
      </c>
      <c r="F97" s="116">
        <v>107.76937682399999</v>
      </c>
      <c r="G97" s="116">
        <v>147.26886006000004</v>
      </c>
      <c r="H97" s="162"/>
      <c r="I97" s="162"/>
      <c r="J97" s="162"/>
      <c r="K97" s="162"/>
      <c r="L97" s="162"/>
      <c r="M97" s="162"/>
      <c r="N97" s="162"/>
      <c r="O97" s="162"/>
      <c r="P97" s="162"/>
      <c r="Q97" s="162"/>
      <c r="R97" s="162"/>
      <c r="S97" s="162"/>
      <c r="T97" s="162"/>
      <c r="U97" s="162"/>
      <c r="V97" s="162"/>
      <c r="W97" s="162"/>
      <c r="X97" s="162"/>
      <c r="Y97" s="162"/>
      <c r="Z97" s="162"/>
      <c r="AA97" s="162"/>
      <c r="AB97" s="162"/>
      <c r="AC97" s="162"/>
      <c r="AD97" s="162"/>
      <c r="AE97" s="162"/>
      <c r="AF97" s="162"/>
      <c r="AG97" s="162"/>
      <c r="AH97" s="162"/>
      <c r="AI97" s="162"/>
      <c r="AJ97" s="162"/>
      <c r="AK97" s="184"/>
      <c r="AL97" s="1"/>
    </row>
    <row r="98" spans="1:38" ht="14.25" customHeight="1" x14ac:dyDescent="0.45">
      <c r="A98" s="618">
        <v>2</v>
      </c>
      <c r="B98" s="106"/>
      <c r="C98" s="115" t="s">
        <v>854</v>
      </c>
      <c r="D98" s="116">
        <v>133.98323831399998</v>
      </c>
      <c r="E98" s="116">
        <v>109.49537195400001</v>
      </c>
      <c r="F98" s="116">
        <v>113.67181041000002</v>
      </c>
      <c r="G98" s="116">
        <v>107.10476340000001</v>
      </c>
      <c r="H98" s="162"/>
      <c r="I98" s="162"/>
      <c r="J98" s="162"/>
      <c r="K98" s="162"/>
      <c r="L98" s="162"/>
      <c r="M98" s="162"/>
      <c r="N98" s="162"/>
      <c r="O98" s="162"/>
      <c r="P98" s="162"/>
      <c r="Q98" s="162"/>
      <c r="R98" s="162"/>
      <c r="S98" s="162"/>
      <c r="T98" s="162"/>
      <c r="U98" s="162"/>
      <c r="V98" s="162"/>
      <c r="W98" s="162"/>
      <c r="X98" s="162"/>
      <c r="Y98" s="162"/>
      <c r="Z98" s="162"/>
      <c r="AA98" s="162"/>
      <c r="AB98" s="162"/>
      <c r="AC98" s="162"/>
      <c r="AD98" s="162"/>
      <c r="AE98" s="162"/>
      <c r="AF98" s="162"/>
      <c r="AG98" s="162"/>
      <c r="AH98" s="162"/>
      <c r="AI98" s="162"/>
      <c r="AJ98" s="162"/>
      <c r="AK98" s="184"/>
      <c r="AL98" s="1"/>
    </row>
    <row r="99" spans="1:38" ht="14.25" customHeight="1" x14ac:dyDescent="0.45">
      <c r="A99" s="618">
        <v>2</v>
      </c>
      <c r="B99" s="106"/>
      <c r="C99" s="115" t="s">
        <v>855</v>
      </c>
      <c r="D99" s="116" t="s">
        <v>221</v>
      </c>
      <c r="E99" s="116" t="s">
        <v>221</v>
      </c>
      <c r="F99" s="116" t="s">
        <v>221</v>
      </c>
      <c r="G99" s="116" t="s">
        <v>221</v>
      </c>
      <c r="H99" s="162"/>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84"/>
      <c r="AL99" s="1"/>
    </row>
    <row r="100" spans="1:38" ht="14.25" customHeight="1" x14ac:dyDescent="0.45">
      <c r="A100" s="618">
        <v>2</v>
      </c>
      <c r="B100" s="106"/>
      <c r="C100" s="115" t="s">
        <v>856</v>
      </c>
      <c r="D100" s="116">
        <v>21.427588</v>
      </c>
      <c r="E100" s="116">
        <v>24.555661276999999</v>
      </c>
      <c r="F100" s="116">
        <v>22.336995534</v>
      </c>
      <c r="G100" s="116">
        <v>24.144378082999999</v>
      </c>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c r="AE100" s="162"/>
      <c r="AF100" s="162"/>
      <c r="AG100" s="162"/>
      <c r="AH100" s="162"/>
      <c r="AI100" s="162"/>
      <c r="AJ100" s="162"/>
      <c r="AK100" s="184"/>
      <c r="AL100" s="1"/>
    </row>
    <row r="101" spans="1:38" ht="14.25" customHeight="1" x14ac:dyDescent="0.45">
      <c r="A101" s="618">
        <v>2</v>
      </c>
      <c r="B101" s="106"/>
      <c r="C101" s="491" t="s">
        <v>861</v>
      </c>
      <c r="D101" s="116">
        <v>2515.1297382399998</v>
      </c>
      <c r="E101" s="116">
        <v>2609.9565022719999</v>
      </c>
      <c r="F101" s="116">
        <v>2441.7676075519998</v>
      </c>
      <c r="G101" s="116">
        <v>2490.987064384</v>
      </c>
      <c r="H101" s="162"/>
      <c r="I101" s="162"/>
      <c r="J101" s="162"/>
      <c r="K101" s="162"/>
      <c r="L101" s="162"/>
      <c r="M101" s="162"/>
      <c r="N101" s="162"/>
      <c r="O101" s="162"/>
      <c r="P101" s="162"/>
      <c r="Q101" s="162"/>
      <c r="R101" s="162"/>
      <c r="S101" s="162"/>
      <c r="T101" s="162"/>
      <c r="U101" s="162"/>
      <c r="V101" s="162"/>
      <c r="W101" s="162"/>
      <c r="X101" s="162"/>
      <c r="Y101" s="162"/>
      <c r="Z101" s="162"/>
      <c r="AA101" s="162"/>
      <c r="AB101" s="162"/>
      <c r="AC101" s="162"/>
      <c r="AD101" s="162"/>
      <c r="AE101" s="162"/>
      <c r="AF101" s="162"/>
      <c r="AG101" s="162"/>
      <c r="AH101" s="162"/>
      <c r="AI101" s="162"/>
      <c r="AJ101" s="162"/>
      <c r="AK101" s="184"/>
      <c r="AL101" s="1"/>
    </row>
    <row r="102" spans="1:38" ht="14.25" customHeight="1" x14ac:dyDescent="0.45">
      <c r="A102" s="618">
        <v>2</v>
      </c>
      <c r="B102" s="106"/>
      <c r="C102" s="491" t="s">
        <v>859</v>
      </c>
      <c r="D102" s="116">
        <v>9.8016430436454787</v>
      </c>
      <c r="E102" s="116">
        <v>9.4631241101823775</v>
      </c>
      <c r="F102" s="116">
        <v>6.707502988175186</v>
      </c>
      <c r="G102" s="116">
        <v>7.0792045411187772</v>
      </c>
      <c r="H102" s="162"/>
      <c r="I102" s="162"/>
      <c r="J102" s="162"/>
      <c r="K102" s="162"/>
      <c r="L102" s="162"/>
      <c r="M102" s="162"/>
      <c r="N102" s="162"/>
      <c r="O102" s="162"/>
      <c r="P102" s="162"/>
      <c r="Q102" s="162"/>
      <c r="R102" s="162"/>
      <c r="S102" s="162"/>
      <c r="T102" s="162"/>
      <c r="U102" s="162"/>
      <c r="V102" s="162"/>
      <c r="W102" s="162"/>
      <c r="X102" s="162"/>
      <c r="Y102" s="162"/>
      <c r="Z102" s="162"/>
      <c r="AA102" s="162"/>
      <c r="AB102" s="162"/>
      <c r="AC102" s="162"/>
      <c r="AD102" s="162"/>
      <c r="AE102" s="162"/>
      <c r="AF102" s="162"/>
      <c r="AG102" s="162"/>
      <c r="AH102" s="162"/>
      <c r="AI102" s="162"/>
      <c r="AJ102" s="162"/>
      <c r="AK102" s="184"/>
      <c r="AL102" s="1"/>
    </row>
    <row r="103" spans="1:38" ht="14.25" customHeight="1" x14ac:dyDescent="0.45">
      <c r="A103" s="618"/>
      <c r="B103" s="106"/>
      <c r="C103" s="115"/>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c r="AA103" s="162"/>
      <c r="AB103" s="162"/>
      <c r="AC103" s="162"/>
      <c r="AD103" s="162"/>
      <c r="AE103" s="162"/>
      <c r="AF103" s="162"/>
      <c r="AG103" s="162"/>
      <c r="AH103" s="162"/>
      <c r="AI103" s="162"/>
      <c r="AJ103" s="162"/>
      <c r="AK103" s="184"/>
      <c r="AL103" s="1"/>
    </row>
    <row r="104" spans="1:38" ht="14.25" customHeight="1" x14ac:dyDescent="0.45">
      <c r="A104" s="618"/>
      <c r="B104" s="106"/>
      <c r="C104" s="115" t="s">
        <v>849</v>
      </c>
      <c r="D104" s="116">
        <f>SUM(D71:D102)</f>
        <v>60696.257367331178</v>
      </c>
      <c r="E104" s="116">
        <f>SUM(E71:E102)</f>
        <v>53145.658987295181</v>
      </c>
      <c r="F104" s="116">
        <f>SUM(F71:F102)</f>
        <v>44284.918193683625</v>
      </c>
      <c r="G104" s="116">
        <f>SUM(G71:G102)</f>
        <v>54885.462598438382</v>
      </c>
      <c r="H104" s="162">
        <f t="shared" ref="H104:AJ104" si="4">SUM(H71:H75)</f>
        <v>0</v>
      </c>
      <c r="I104" s="162">
        <f t="shared" si="4"/>
        <v>0</v>
      </c>
      <c r="J104" s="162">
        <f t="shared" si="4"/>
        <v>0</v>
      </c>
      <c r="K104" s="162">
        <f t="shared" si="4"/>
        <v>0</v>
      </c>
      <c r="L104" s="162">
        <f t="shared" si="4"/>
        <v>0</v>
      </c>
      <c r="M104" s="162">
        <f t="shared" si="4"/>
        <v>0</v>
      </c>
      <c r="N104" s="162">
        <f t="shared" si="4"/>
        <v>0</v>
      </c>
      <c r="O104" s="162">
        <f t="shared" si="4"/>
        <v>0</v>
      </c>
      <c r="P104" s="162">
        <f t="shared" si="4"/>
        <v>0</v>
      </c>
      <c r="Q104" s="162">
        <f t="shared" si="4"/>
        <v>0</v>
      </c>
      <c r="R104" s="162">
        <f t="shared" si="4"/>
        <v>0</v>
      </c>
      <c r="S104" s="162">
        <f t="shared" si="4"/>
        <v>0</v>
      </c>
      <c r="T104" s="162">
        <f t="shared" si="4"/>
        <v>0</v>
      </c>
      <c r="U104" s="162">
        <f t="shared" si="4"/>
        <v>0</v>
      </c>
      <c r="V104" s="162">
        <f t="shared" si="4"/>
        <v>0</v>
      </c>
      <c r="W104" s="162">
        <f t="shared" si="4"/>
        <v>0</v>
      </c>
      <c r="X104" s="162">
        <f t="shared" si="4"/>
        <v>0</v>
      </c>
      <c r="Y104" s="162">
        <f t="shared" si="4"/>
        <v>0</v>
      </c>
      <c r="Z104" s="162">
        <f t="shared" si="4"/>
        <v>0</v>
      </c>
      <c r="AA104" s="162">
        <f t="shared" si="4"/>
        <v>0</v>
      </c>
      <c r="AB104" s="162">
        <f t="shared" si="4"/>
        <v>0</v>
      </c>
      <c r="AC104" s="162">
        <f t="shared" si="4"/>
        <v>0</v>
      </c>
      <c r="AD104" s="162">
        <f t="shared" si="4"/>
        <v>0</v>
      </c>
      <c r="AE104" s="162">
        <f t="shared" si="4"/>
        <v>0</v>
      </c>
      <c r="AF104" s="162">
        <f t="shared" si="4"/>
        <v>0</v>
      </c>
      <c r="AG104" s="162">
        <f t="shared" si="4"/>
        <v>0</v>
      </c>
      <c r="AH104" s="162">
        <f t="shared" si="4"/>
        <v>0</v>
      </c>
      <c r="AI104" s="162">
        <f t="shared" si="4"/>
        <v>0</v>
      </c>
      <c r="AJ104" s="162">
        <f t="shared" si="4"/>
        <v>0</v>
      </c>
      <c r="AK104" s="184"/>
      <c r="AL104" s="1"/>
    </row>
    <row r="105" spans="1:38" ht="14.25" customHeight="1" x14ac:dyDescent="0.45">
      <c r="A105" s="618"/>
      <c r="B105" s="106"/>
      <c r="C105" s="323"/>
      <c r="D105" s="492"/>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c r="AB105" s="183"/>
      <c r="AC105" s="183"/>
      <c r="AD105" s="183"/>
      <c r="AE105" s="183"/>
      <c r="AF105" s="183"/>
      <c r="AG105" s="183"/>
      <c r="AH105" s="183"/>
      <c r="AI105" s="183"/>
      <c r="AJ105" s="183"/>
      <c r="AK105" s="184"/>
      <c r="AL105" s="1"/>
    </row>
    <row r="106" spans="1:38" ht="14.25" customHeight="1" x14ac:dyDescent="0.45">
      <c r="A106" s="4"/>
      <c r="B106" s="160"/>
      <c r="C106" s="111" t="s">
        <v>862</v>
      </c>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431"/>
      <c r="AL106" s="1"/>
    </row>
    <row r="107" spans="1:38" ht="14.25" customHeight="1" x14ac:dyDescent="0.45">
      <c r="A107" s="618"/>
      <c r="B107" s="106"/>
      <c r="C107" s="115" t="s">
        <v>49</v>
      </c>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c r="AB107" s="162"/>
      <c r="AC107" s="162"/>
      <c r="AD107" s="162"/>
      <c r="AE107" s="162"/>
      <c r="AF107" s="162"/>
      <c r="AG107" s="162"/>
      <c r="AH107" s="162"/>
      <c r="AI107" s="162"/>
      <c r="AJ107" s="162"/>
      <c r="AK107" s="184"/>
      <c r="AL107" s="1"/>
    </row>
    <row r="108" spans="1:38" ht="14.25" customHeight="1" x14ac:dyDescent="0.45">
      <c r="A108" s="618"/>
      <c r="B108" s="106"/>
      <c r="C108" s="115" t="s">
        <v>50</v>
      </c>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c r="AA108" s="162"/>
      <c r="AB108" s="162"/>
      <c r="AC108" s="162"/>
      <c r="AD108" s="162"/>
      <c r="AE108" s="162"/>
      <c r="AF108" s="162"/>
      <c r="AG108" s="162"/>
      <c r="AH108" s="162"/>
      <c r="AI108" s="162"/>
      <c r="AJ108" s="162"/>
      <c r="AK108" s="184"/>
      <c r="AL108" s="1"/>
    </row>
    <row r="109" spans="1:38" ht="14.25" customHeight="1" x14ac:dyDescent="0.45">
      <c r="A109" s="618"/>
      <c r="B109" s="106"/>
      <c r="C109" s="115" t="s">
        <v>51</v>
      </c>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c r="AA109" s="162"/>
      <c r="AB109" s="162"/>
      <c r="AC109" s="162"/>
      <c r="AD109" s="162"/>
      <c r="AE109" s="162"/>
      <c r="AF109" s="162"/>
      <c r="AG109" s="162"/>
      <c r="AH109" s="162"/>
      <c r="AI109" s="162"/>
      <c r="AJ109" s="162"/>
      <c r="AK109" s="184"/>
      <c r="AL109" s="1"/>
    </row>
    <row r="110" spans="1:38" ht="14.25" customHeight="1" x14ac:dyDescent="0.45">
      <c r="A110" s="618"/>
      <c r="B110" s="106"/>
      <c r="C110" s="115" t="s">
        <v>52</v>
      </c>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c r="AA110" s="162"/>
      <c r="AB110" s="162"/>
      <c r="AC110" s="162"/>
      <c r="AD110" s="162"/>
      <c r="AE110" s="162"/>
      <c r="AF110" s="162"/>
      <c r="AG110" s="162"/>
      <c r="AH110" s="162"/>
      <c r="AI110" s="162"/>
      <c r="AJ110" s="162"/>
      <c r="AK110" s="184"/>
      <c r="AL110" s="1"/>
    </row>
    <row r="111" spans="1:38" ht="14.25" customHeight="1" x14ac:dyDescent="0.45">
      <c r="A111" s="618"/>
      <c r="B111" s="106"/>
      <c r="C111" s="115" t="s">
        <v>53</v>
      </c>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c r="AA111" s="162"/>
      <c r="AB111" s="162"/>
      <c r="AC111" s="162"/>
      <c r="AD111" s="162"/>
      <c r="AE111" s="162"/>
      <c r="AF111" s="162"/>
      <c r="AG111" s="162"/>
      <c r="AH111" s="162"/>
      <c r="AI111" s="162"/>
      <c r="AJ111" s="162"/>
      <c r="AK111" s="184"/>
      <c r="AL111" s="1"/>
    </row>
    <row r="112" spans="1:38" ht="14.25" customHeight="1" x14ac:dyDescent="0.45">
      <c r="A112" s="618"/>
      <c r="B112" s="106"/>
      <c r="C112" s="115" t="s">
        <v>863</v>
      </c>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A112" s="162"/>
      <c r="AB112" s="162"/>
      <c r="AC112" s="162"/>
      <c r="AD112" s="162"/>
      <c r="AE112" s="162"/>
      <c r="AF112" s="162"/>
      <c r="AG112" s="162"/>
      <c r="AH112" s="162"/>
      <c r="AI112" s="162"/>
      <c r="AJ112" s="162"/>
      <c r="AK112" s="184"/>
      <c r="AL112" s="1"/>
    </row>
    <row r="113" spans="1:38" ht="14.25" customHeight="1" x14ac:dyDescent="0.45">
      <c r="A113" s="618"/>
      <c r="B113" s="106"/>
      <c r="C113" s="115"/>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c r="AB113" s="162"/>
      <c r="AC113" s="162"/>
      <c r="AD113" s="162"/>
      <c r="AE113" s="162"/>
      <c r="AF113" s="162"/>
      <c r="AG113" s="162"/>
      <c r="AH113" s="162"/>
      <c r="AI113" s="162"/>
      <c r="AJ113" s="162"/>
      <c r="AK113" s="184"/>
      <c r="AL113" s="1"/>
    </row>
    <row r="114" spans="1:38" ht="14.25" customHeight="1" x14ac:dyDescent="0.45">
      <c r="A114" s="618"/>
      <c r="B114" s="106"/>
      <c r="C114" s="115" t="s">
        <v>25</v>
      </c>
      <c r="D114" s="162">
        <f t="shared" ref="D114:AJ114" si="5">SUM(D107:D111)</f>
        <v>0</v>
      </c>
      <c r="E114" s="162">
        <f t="shared" si="5"/>
        <v>0</v>
      </c>
      <c r="F114" s="162">
        <f t="shared" si="5"/>
        <v>0</v>
      </c>
      <c r="G114" s="162">
        <f t="shared" si="5"/>
        <v>0</v>
      </c>
      <c r="H114" s="162">
        <f t="shared" si="5"/>
        <v>0</v>
      </c>
      <c r="I114" s="162">
        <f t="shared" si="5"/>
        <v>0</v>
      </c>
      <c r="J114" s="162">
        <f t="shared" si="5"/>
        <v>0</v>
      </c>
      <c r="K114" s="162">
        <f t="shared" si="5"/>
        <v>0</v>
      </c>
      <c r="L114" s="162">
        <f t="shared" si="5"/>
        <v>0</v>
      </c>
      <c r="M114" s="162">
        <f t="shared" si="5"/>
        <v>0</v>
      </c>
      <c r="N114" s="162">
        <f t="shared" si="5"/>
        <v>0</v>
      </c>
      <c r="O114" s="162">
        <f t="shared" si="5"/>
        <v>0</v>
      </c>
      <c r="P114" s="162">
        <f t="shared" si="5"/>
        <v>0</v>
      </c>
      <c r="Q114" s="162">
        <f t="shared" si="5"/>
        <v>0</v>
      </c>
      <c r="R114" s="162">
        <f t="shared" si="5"/>
        <v>0</v>
      </c>
      <c r="S114" s="162">
        <f t="shared" si="5"/>
        <v>0</v>
      </c>
      <c r="T114" s="162">
        <f t="shared" si="5"/>
        <v>0</v>
      </c>
      <c r="U114" s="162">
        <f t="shared" si="5"/>
        <v>0</v>
      </c>
      <c r="V114" s="162">
        <f t="shared" si="5"/>
        <v>0</v>
      </c>
      <c r="W114" s="162">
        <f t="shared" si="5"/>
        <v>0</v>
      </c>
      <c r="X114" s="162">
        <f t="shared" si="5"/>
        <v>0</v>
      </c>
      <c r="Y114" s="162">
        <f t="shared" si="5"/>
        <v>0</v>
      </c>
      <c r="Z114" s="162">
        <f t="shared" si="5"/>
        <v>0</v>
      </c>
      <c r="AA114" s="162">
        <f t="shared" si="5"/>
        <v>0</v>
      </c>
      <c r="AB114" s="162">
        <f t="shared" si="5"/>
        <v>0</v>
      </c>
      <c r="AC114" s="162">
        <f t="shared" si="5"/>
        <v>0</v>
      </c>
      <c r="AD114" s="162">
        <f t="shared" si="5"/>
        <v>0</v>
      </c>
      <c r="AE114" s="162">
        <f t="shared" si="5"/>
        <v>0</v>
      </c>
      <c r="AF114" s="162">
        <f t="shared" si="5"/>
        <v>0</v>
      </c>
      <c r="AG114" s="162">
        <f t="shared" si="5"/>
        <v>0</v>
      </c>
      <c r="AH114" s="162">
        <f t="shared" si="5"/>
        <v>0</v>
      </c>
      <c r="AI114" s="162">
        <f t="shared" si="5"/>
        <v>0</v>
      </c>
      <c r="AJ114" s="162">
        <f t="shared" si="5"/>
        <v>0</v>
      </c>
      <c r="AK114" s="184"/>
      <c r="AL114" s="1"/>
    </row>
    <row r="115" spans="1:38" ht="14.25" customHeight="1" x14ac:dyDescent="0.45">
      <c r="A115" s="618"/>
      <c r="B115" s="106"/>
      <c r="C115" s="32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c r="AB115" s="183"/>
      <c r="AC115" s="183"/>
      <c r="AD115" s="183"/>
      <c r="AE115" s="183"/>
      <c r="AF115" s="183"/>
      <c r="AG115" s="183"/>
      <c r="AH115" s="183"/>
      <c r="AI115" s="183"/>
      <c r="AJ115" s="183"/>
      <c r="AK115" s="184"/>
      <c r="AL115" s="1"/>
    </row>
    <row r="116" spans="1:38" ht="14.25" customHeight="1" x14ac:dyDescent="0.45">
      <c r="A116" s="4"/>
      <c r="B116" s="160"/>
      <c r="C116" s="111" t="s">
        <v>73</v>
      </c>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431"/>
      <c r="AL116" s="1"/>
    </row>
    <row r="117" spans="1:38" ht="14.25" customHeight="1" x14ac:dyDescent="0.45">
      <c r="A117" s="618">
        <v>2</v>
      </c>
      <c r="B117" s="106"/>
      <c r="C117" s="115" t="s">
        <v>858</v>
      </c>
      <c r="D117" s="116">
        <v>-964.45568092703843</v>
      </c>
      <c r="E117" s="116">
        <v>-937.04878316286499</v>
      </c>
      <c r="F117" s="116">
        <v>-933.81892987102901</v>
      </c>
      <c r="G117" s="116">
        <v>-1009.8238527472466</v>
      </c>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84"/>
      <c r="AL117" s="1"/>
    </row>
    <row r="118" spans="1:38" ht="14.25" customHeight="1" x14ac:dyDescent="0.45">
      <c r="A118" s="618">
        <v>2</v>
      </c>
      <c r="B118" s="106"/>
      <c r="C118" s="115" t="s">
        <v>864</v>
      </c>
      <c r="D118" s="116">
        <v>-989.78325762040186</v>
      </c>
      <c r="E118" s="116">
        <v>-910.98463801562832</v>
      </c>
      <c r="F118" s="116">
        <v>-799.00580364359996</v>
      </c>
      <c r="G118" s="116">
        <v>-883.41793860928794</v>
      </c>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84"/>
      <c r="AL118" s="1"/>
    </row>
    <row r="119" spans="1:38" ht="14.25" customHeight="1" x14ac:dyDescent="0.45">
      <c r="A119" s="618"/>
      <c r="B119" s="106"/>
      <c r="C119" s="115"/>
      <c r="D119" s="116"/>
      <c r="E119" s="116"/>
      <c r="F119" s="116"/>
      <c r="G119" s="116"/>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84"/>
      <c r="AL119" s="1"/>
    </row>
    <row r="120" spans="1:38" ht="14.25" customHeight="1" x14ac:dyDescent="0.45">
      <c r="A120" s="618"/>
      <c r="B120" s="106"/>
      <c r="C120" s="115" t="s">
        <v>849</v>
      </c>
      <c r="D120" s="116">
        <f t="shared" ref="D120:AJ120" si="6">SUM(D117:D118)</f>
        <v>-1954.2389385474403</v>
      </c>
      <c r="E120" s="116">
        <f t="shared" si="6"/>
        <v>-1848.0334211784934</v>
      </c>
      <c r="F120" s="116">
        <f t="shared" si="6"/>
        <v>-1732.8247335146289</v>
      </c>
      <c r="G120" s="116">
        <f t="shared" si="6"/>
        <v>-1893.2417913565346</v>
      </c>
      <c r="H120" s="116">
        <f t="shared" si="6"/>
        <v>0</v>
      </c>
      <c r="I120" s="116">
        <f t="shared" si="6"/>
        <v>0</v>
      </c>
      <c r="J120" s="116">
        <f t="shared" si="6"/>
        <v>0</v>
      </c>
      <c r="K120" s="116">
        <f t="shared" si="6"/>
        <v>0</v>
      </c>
      <c r="L120" s="116">
        <f t="shared" si="6"/>
        <v>0</v>
      </c>
      <c r="M120" s="116">
        <f t="shared" si="6"/>
        <v>0</v>
      </c>
      <c r="N120" s="116">
        <f t="shared" si="6"/>
        <v>0</v>
      </c>
      <c r="O120" s="116">
        <f t="shared" si="6"/>
        <v>0</v>
      </c>
      <c r="P120" s="116">
        <f t="shared" si="6"/>
        <v>0</v>
      </c>
      <c r="Q120" s="116">
        <f t="shared" si="6"/>
        <v>0</v>
      </c>
      <c r="R120" s="116">
        <f t="shared" si="6"/>
        <v>0</v>
      </c>
      <c r="S120" s="116">
        <f t="shared" si="6"/>
        <v>0</v>
      </c>
      <c r="T120" s="116">
        <f t="shared" si="6"/>
        <v>0</v>
      </c>
      <c r="U120" s="116">
        <f t="shared" si="6"/>
        <v>0</v>
      </c>
      <c r="V120" s="116">
        <f t="shared" si="6"/>
        <v>0</v>
      </c>
      <c r="W120" s="116">
        <f t="shared" si="6"/>
        <v>0</v>
      </c>
      <c r="X120" s="116">
        <f t="shared" si="6"/>
        <v>0</v>
      </c>
      <c r="Y120" s="116">
        <f t="shared" si="6"/>
        <v>0</v>
      </c>
      <c r="Z120" s="116">
        <f t="shared" si="6"/>
        <v>0</v>
      </c>
      <c r="AA120" s="116">
        <f t="shared" si="6"/>
        <v>0</v>
      </c>
      <c r="AB120" s="116">
        <f t="shared" si="6"/>
        <v>0</v>
      </c>
      <c r="AC120" s="116">
        <f t="shared" si="6"/>
        <v>0</v>
      </c>
      <c r="AD120" s="116">
        <f t="shared" si="6"/>
        <v>0</v>
      </c>
      <c r="AE120" s="116">
        <f t="shared" si="6"/>
        <v>0</v>
      </c>
      <c r="AF120" s="116">
        <f t="shared" si="6"/>
        <v>0</v>
      </c>
      <c r="AG120" s="116">
        <f t="shared" si="6"/>
        <v>0</v>
      </c>
      <c r="AH120" s="116">
        <f t="shared" si="6"/>
        <v>0</v>
      </c>
      <c r="AI120" s="116">
        <f t="shared" si="6"/>
        <v>0</v>
      </c>
      <c r="AJ120" s="116">
        <f t="shared" si="6"/>
        <v>0</v>
      </c>
      <c r="AK120" s="184"/>
      <c r="AL120" s="1"/>
    </row>
    <row r="121" spans="1:38" ht="14.25" customHeight="1" x14ac:dyDescent="0.45">
      <c r="A121" s="618"/>
      <c r="B121" s="106"/>
      <c r="C121" s="323"/>
      <c r="D121" s="183"/>
      <c r="E121" s="492"/>
      <c r="F121" s="492"/>
      <c r="G121" s="492"/>
      <c r="H121" s="183"/>
      <c r="I121" s="183"/>
      <c r="J121" s="183"/>
      <c r="K121" s="183"/>
      <c r="L121" s="183"/>
      <c r="M121" s="183"/>
      <c r="N121" s="183"/>
      <c r="O121" s="183"/>
      <c r="P121" s="183"/>
      <c r="Q121" s="183"/>
      <c r="R121" s="183"/>
      <c r="S121" s="183"/>
      <c r="T121" s="183"/>
      <c r="U121" s="183"/>
      <c r="V121" s="183"/>
      <c r="W121" s="183"/>
      <c r="X121" s="183"/>
      <c r="Y121" s="183"/>
      <c r="Z121" s="183"/>
      <c r="AA121" s="183"/>
      <c r="AB121" s="183"/>
      <c r="AC121" s="183"/>
      <c r="AD121" s="183"/>
      <c r="AE121" s="183"/>
      <c r="AF121" s="183"/>
      <c r="AG121" s="183"/>
      <c r="AH121" s="183"/>
      <c r="AI121" s="183"/>
      <c r="AJ121" s="183"/>
      <c r="AK121" s="184"/>
      <c r="AL121" s="1"/>
    </row>
    <row r="122" spans="1:38" ht="14.25" customHeight="1" x14ac:dyDescent="0.45">
      <c r="A122" s="4"/>
      <c r="B122" s="160"/>
      <c r="C122" s="111" t="s">
        <v>75</v>
      </c>
      <c r="D122" s="174"/>
      <c r="E122" s="439"/>
      <c r="F122" s="439"/>
      <c r="G122" s="439"/>
      <c r="H122" s="174"/>
      <c r="I122" s="174"/>
      <c r="J122" s="174"/>
      <c r="K122" s="174"/>
      <c r="L122" s="174"/>
      <c r="M122" s="174"/>
      <c r="N122" s="174"/>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431"/>
      <c r="AL122" s="1"/>
    </row>
    <row r="123" spans="1:38" ht="14.25" customHeight="1" x14ac:dyDescent="0.45">
      <c r="A123" s="618">
        <v>2</v>
      </c>
      <c r="B123" s="106"/>
      <c r="C123" s="115" t="s">
        <v>854</v>
      </c>
      <c r="D123" s="116">
        <v>778.64313304999996</v>
      </c>
      <c r="E123" s="116">
        <v>711.58163586500007</v>
      </c>
      <c r="F123" s="116">
        <v>613.76358733500012</v>
      </c>
      <c r="G123" s="116">
        <v>740.87100996099991</v>
      </c>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84"/>
      <c r="AL123" s="1"/>
    </row>
    <row r="124" spans="1:38" ht="14.25" customHeight="1" x14ac:dyDescent="0.45">
      <c r="A124" s="618">
        <v>2</v>
      </c>
      <c r="B124" s="106"/>
      <c r="C124" s="115" t="s">
        <v>853</v>
      </c>
      <c r="D124" s="116">
        <v>600.35927878799987</v>
      </c>
      <c r="E124" s="116">
        <v>548.77946797361267</v>
      </c>
      <c r="F124" s="116">
        <v>546.93633523199981</v>
      </c>
      <c r="G124" s="116">
        <v>580.94702348700002</v>
      </c>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84"/>
      <c r="AL124" s="1"/>
    </row>
    <row r="125" spans="1:38" ht="14.25" customHeight="1" x14ac:dyDescent="0.45">
      <c r="A125" s="618">
        <v>2</v>
      </c>
      <c r="B125" s="106"/>
      <c r="C125" s="115" t="s">
        <v>865</v>
      </c>
      <c r="D125" s="116">
        <v>278.35411386284676</v>
      </c>
      <c r="E125" s="116">
        <v>269.84695953855828</v>
      </c>
      <c r="F125" s="116">
        <v>254.75602002516854</v>
      </c>
      <c r="G125" s="116">
        <v>259.77737102999731</v>
      </c>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84"/>
      <c r="AL125" s="1"/>
    </row>
    <row r="126" spans="1:38" ht="14.25" customHeight="1" x14ac:dyDescent="0.45">
      <c r="A126" s="618"/>
      <c r="B126" s="106"/>
      <c r="C126" s="115"/>
      <c r="D126" s="116"/>
      <c r="E126" s="116"/>
      <c r="F126" s="116"/>
      <c r="G126" s="116"/>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84"/>
      <c r="AL126" s="1"/>
    </row>
    <row r="127" spans="1:38" ht="14.25" customHeight="1" x14ac:dyDescent="0.45">
      <c r="A127" s="618"/>
      <c r="B127" s="106"/>
      <c r="C127" s="115" t="s">
        <v>849</v>
      </c>
      <c r="D127" s="116">
        <f t="shared" ref="D127:AJ127" si="7">SUM(D123:D125)</f>
        <v>1657.3565257008465</v>
      </c>
      <c r="E127" s="116">
        <f t="shared" si="7"/>
        <v>1530.2080633771711</v>
      </c>
      <c r="F127" s="116">
        <f t="shared" si="7"/>
        <v>1415.4559425921684</v>
      </c>
      <c r="G127" s="116">
        <f t="shared" si="7"/>
        <v>1581.5954044779971</v>
      </c>
      <c r="H127" s="162">
        <f t="shared" si="7"/>
        <v>0</v>
      </c>
      <c r="I127" s="162">
        <f t="shared" si="7"/>
        <v>0</v>
      </c>
      <c r="J127" s="162">
        <f t="shared" si="7"/>
        <v>0</v>
      </c>
      <c r="K127" s="162">
        <f t="shared" si="7"/>
        <v>0</v>
      </c>
      <c r="L127" s="162">
        <f t="shared" si="7"/>
        <v>0</v>
      </c>
      <c r="M127" s="162">
        <f t="shared" si="7"/>
        <v>0</v>
      </c>
      <c r="N127" s="162">
        <f t="shared" si="7"/>
        <v>0</v>
      </c>
      <c r="O127" s="162">
        <f t="shared" si="7"/>
        <v>0</v>
      </c>
      <c r="P127" s="162">
        <f t="shared" si="7"/>
        <v>0</v>
      </c>
      <c r="Q127" s="162">
        <f t="shared" si="7"/>
        <v>0</v>
      </c>
      <c r="R127" s="162">
        <f t="shared" si="7"/>
        <v>0</v>
      </c>
      <c r="S127" s="162">
        <f t="shared" si="7"/>
        <v>0</v>
      </c>
      <c r="T127" s="162">
        <f t="shared" si="7"/>
        <v>0</v>
      </c>
      <c r="U127" s="162">
        <f t="shared" si="7"/>
        <v>0</v>
      </c>
      <c r="V127" s="162">
        <f t="shared" si="7"/>
        <v>0</v>
      </c>
      <c r="W127" s="162">
        <f t="shared" si="7"/>
        <v>0</v>
      </c>
      <c r="X127" s="162">
        <f t="shared" si="7"/>
        <v>0</v>
      </c>
      <c r="Y127" s="162">
        <f t="shared" si="7"/>
        <v>0</v>
      </c>
      <c r="Z127" s="162">
        <f t="shared" si="7"/>
        <v>0</v>
      </c>
      <c r="AA127" s="162">
        <f t="shared" si="7"/>
        <v>0</v>
      </c>
      <c r="AB127" s="162">
        <f t="shared" si="7"/>
        <v>0</v>
      </c>
      <c r="AC127" s="162">
        <f t="shared" si="7"/>
        <v>0</v>
      </c>
      <c r="AD127" s="162">
        <f t="shared" si="7"/>
        <v>0</v>
      </c>
      <c r="AE127" s="162">
        <f t="shared" si="7"/>
        <v>0</v>
      </c>
      <c r="AF127" s="162">
        <f t="shared" si="7"/>
        <v>0</v>
      </c>
      <c r="AG127" s="162">
        <f t="shared" si="7"/>
        <v>0</v>
      </c>
      <c r="AH127" s="162">
        <f t="shared" si="7"/>
        <v>0</v>
      </c>
      <c r="AI127" s="162">
        <f t="shared" si="7"/>
        <v>0</v>
      </c>
      <c r="AJ127" s="162">
        <f t="shared" si="7"/>
        <v>0</v>
      </c>
      <c r="AK127" s="184"/>
      <c r="AL127" s="1"/>
    </row>
    <row r="128" spans="1:38" ht="14.25" customHeight="1" x14ac:dyDescent="0.45">
      <c r="A128" s="618"/>
      <c r="B128" s="106"/>
      <c r="C128" s="32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c r="AA128" s="183"/>
      <c r="AB128" s="183"/>
      <c r="AC128" s="183"/>
      <c r="AD128" s="183"/>
      <c r="AE128" s="183"/>
      <c r="AF128" s="183"/>
      <c r="AG128" s="183"/>
      <c r="AH128" s="183"/>
      <c r="AI128" s="183"/>
      <c r="AJ128" s="183"/>
      <c r="AK128" s="184"/>
      <c r="AL128" s="1"/>
    </row>
    <row r="129" spans="1:38" ht="14.25" customHeight="1" x14ac:dyDescent="0.45">
      <c r="A129" s="4"/>
      <c r="B129" s="160"/>
      <c r="C129" s="111" t="s">
        <v>78</v>
      </c>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431"/>
      <c r="AL129" s="1"/>
    </row>
    <row r="130" spans="1:38" ht="14.25" customHeight="1" x14ac:dyDescent="0.45">
      <c r="A130" s="618">
        <v>2</v>
      </c>
      <c r="B130" s="106"/>
      <c r="C130" s="115" t="s">
        <v>851</v>
      </c>
      <c r="D130" s="116">
        <v>129839.46257261994</v>
      </c>
      <c r="E130" s="116">
        <v>137253.46618150995</v>
      </c>
      <c r="F130" s="116">
        <v>126632.01530767004</v>
      </c>
      <c r="G130" s="116">
        <v>117622.74507281499</v>
      </c>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115"/>
      <c r="AF130" s="115"/>
      <c r="AG130" s="115"/>
      <c r="AH130" s="115"/>
      <c r="AI130" s="115"/>
      <c r="AJ130" s="115"/>
      <c r="AK130" s="184"/>
      <c r="AL130" s="1"/>
    </row>
    <row r="131" spans="1:38" ht="14.25" customHeight="1" x14ac:dyDescent="0.45">
      <c r="A131" s="618">
        <v>2</v>
      </c>
      <c r="B131" s="106"/>
      <c r="C131" s="115" t="s">
        <v>852</v>
      </c>
      <c r="D131" s="116"/>
      <c r="E131" s="116">
        <v>21.443164190476192</v>
      </c>
      <c r="F131" s="116"/>
      <c r="G131" s="116">
        <v>677.87973665999994</v>
      </c>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5"/>
      <c r="AE131" s="115"/>
      <c r="AF131" s="115"/>
      <c r="AG131" s="115"/>
      <c r="AH131" s="115"/>
      <c r="AI131" s="115"/>
      <c r="AJ131" s="115"/>
      <c r="AK131" s="184"/>
      <c r="AL131" s="1"/>
    </row>
    <row r="132" spans="1:38" ht="14.25" customHeight="1" x14ac:dyDescent="0.45">
      <c r="A132" s="618">
        <v>2</v>
      </c>
      <c r="B132" s="106"/>
      <c r="C132" s="115" t="s">
        <v>853</v>
      </c>
      <c r="D132" s="116"/>
      <c r="E132" s="116">
        <v>29.848749257142863</v>
      </c>
      <c r="F132" s="116"/>
      <c r="G132" s="116"/>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15"/>
      <c r="AF132" s="115"/>
      <c r="AG132" s="115"/>
      <c r="AH132" s="115"/>
      <c r="AI132" s="115"/>
      <c r="AJ132" s="115"/>
      <c r="AK132" s="184"/>
      <c r="AL132" s="1"/>
    </row>
    <row r="133" spans="1:38" ht="14.25" customHeight="1" x14ac:dyDescent="0.45">
      <c r="A133" s="618">
        <v>2</v>
      </c>
      <c r="B133" s="106"/>
      <c r="C133" s="115" t="s">
        <v>854</v>
      </c>
      <c r="D133" s="116"/>
      <c r="E133" s="116"/>
      <c r="F133" s="116"/>
      <c r="G133" s="116"/>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15"/>
      <c r="AF133" s="115"/>
      <c r="AG133" s="115"/>
      <c r="AH133" s="115"/>
      <c r="AI133" s="115"/>
      <c r="AJ133" s="115"/>
      <c r="AK133" s="184"/>
      <c r="AL133" s="1"/>
    </row>
    <row r="134" spans="1:38" ht="14.25" customHeight="1" x14ac:dyDescent="0.45">
      <c r="A134" s="618">
        <v>2</v>
      </c>
      <c r="B134" s="106"/>
      <c r="C134" s="115" t="s">
        <v>855</v>
      </c>
      <c r="D134" s="116">
        <v>15863.4624064</v>
      </c>
      <c r="E134" s="116">
        <v>14759.809539328002</v>
      </c>
      <c r="F134" s="116">
        <v>14667.191592255998</v>
      </c>
      <c r="G134" s="116">
        <v>15318.800117376002</v>
      </c>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84"/>
      <c r="AL134" s="1"/>
    </row>
    <row r="135" spans="1:38" ht="14.25" customHeight="1" x14ac:dyDescent="0.45">
      <c r="A135" s="618">
        <v>2</v>
      </c>
      <c r="B135" s="106"/>
      <c r="C135" s="115" t="s">
        <v>856</v>
      </c>
      <c r="D135" s="116"/>
      <c r="E135" s="116"/>
      <c r="F135" s="116"/>
      <c r="G135" s="116"/>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84"/>
      <c r="AL135" s="1"/>
    </row>
    <row r="136" spans="1:38" ht="14.25" customHeight="1" x14ac:dyDescent="0.45">
      <c r="A136" s="618">
        <v>2</v>
      </c>
      <c r="B136" s="106"/>
      <c r="C136" s="491" t="s">
        <v>861</v>
      </c>
      <c r="D136" s="116">
        <v>5323.4913947226705</v>
      </c>
      <c r="E136" s="116">
        <v>5473.1509782202365</v>
      </c>
      <c r="F136" s="116">
        <v>5143.9887659797714</v>
      </c>
      <c r="G136" s="116">
        <v>5598.2630148480002</v>
      </c>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15"/>
      <c r="AF136" s="115"/>
      <c r="AG136" s="115"/>
      <c r="AH136" s="115"/>
      <c r="AI136" s="115"/>
      <c r="AJ136" s="115"/>
      <c r="AK136" s="184"/>
      <c r="AL136" s="1"/>
    </row>
    <row r="137" spans="1:38" ht="14.25" customHeight="1" x14ac:dyDescent="0.45">
      <c r="A137" s="618"/>
      <c r="B137" s="106"/>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c r="AH137" s="115"/>
      <c r="AI137" s="115"/>
      <c r="AJ137" s="115"/>
      <c r="AK137" s="184"/>
      <c r="AL137" s="1"/>
    </row>
    <row r="138" spans="1:38" ht="14.25" customHeight="1" x14ac:dyDescent="0.45">
      <c r="A138" s="618"/>
      <c r="B138" s="106"/>
      <c r="C138" s="115" t="s">
        <v>849</v>
      </c>
      <c r="D138" s="116">
        <f>SUM(D130:D136)</f>
        <v>151026.4163737426</v>
      </c>
      <c r="E138" s="116">
        <f>SUM(E130:E136)</f>
        <v>157537.71861250582</v>
      </c>
      <c r="F138" s="116">
        <f>SUM(F130:F136)</f>
        <v>146443.19566590581</v>
      </c>
      <c r="G138" s="116">
        <f>SUM(G130:G136)</f>
        <v>139217.687941699</v>
      </c>
      <c r="H138" s="115">
        <f t="shared" ref="H138:AJ138" si="8">SUM(H131:H135)</f>
        <v>0</v>
      </c>
      <c r="I138" s="115">
        <f t="shared" si="8"/>
        <v>0</v>
      </c>
      <c r="J138" s="115">
        <f t="shared" si="8"/>
        <v>0</v>
      </c>
      <c r="K138" s="115">
        <f t="shared" si="8"/>
        <v>0</v>
      </c>
      <c r="L138" s="115">
        <f t="shared" si="8"/>
        <v>0</v>
      </c>
      <c r="M138" s="115">
        <f t="shared" si="8"/>
        <v>0</v>
      </c>
      <c r="N138" s="115">
        <f t="shared" si="8"/>
        <v>0</v>
      </c>
      <c r="O138" s="115">
        <f t="shared" si="8"/>
        <v>0</v>
      </c>
      <c r="P138" s="115">
        <f t="shared" si="8"/>
        <v>0</v>
      </c>
      <c r="Q138" s="115">
        <f t="shared" si="8"/>
        <v>0</v>
      </c>
      <c r="R138" s="115">
        <f t="shared" si="8"/>
        <v>0</v>
      </c>
      <c r="S138" s="115">
        <f t="shared" si="8"/>
        <v>0</v>
      </c>
      <c r="T138" s="115">
        <f t="shared" si="8"/>
        <v>0</v>
      </c>
      <c r="U138" s="115">
        <f t="shared" si="8"/>
        <v>0</v>
      </c>
      <c r="V138" s="115">
        <f t="shared" si="8"/>
        <v>0</v>
      </c>
      <c r="W138" s="115">
        <f t="shared" si="8"/>
        <v>0</v>
      </c>
      <c r="X138" s="115">
        <f t="shared" si="8"/>
        <v>0</v>
      </c>
      <c r="Y138" s="115">
        <f t="shared" si="8"/>
        <v>0</v>
      </c>
      <c r="Z138" s="115">
        <f t="shared" si="8"/>
        <v>0</v>
      </c>
      <c r="AA138" s="115">
        <f t="shared" si="8"/>
        <v>0</v>
      </c>
      <c r="AB138" s="115">
        <f t="shared" si="8"/>
        <v>0</v>
      </c>
      <c r="AC138" s="115">
        <f t="shared" si="8"/>
        <v>0</v>
      </c>
      <c r="AD138" s="115">
        <f t="shared" si="8"/>
        <v>0</v>
      </c>
      <c r="AE138" s="115">
        <f t="shared" si="8"/>
        <v>0</v>
      </c>
      <c r="AF138" s="115">
        <f t="shared" si="8"/>
        <v>0</v>
      </c>
      <c r="AG138" s="115">
        <f t="shared" si="8"/>
        <v>0</v>
      </c>
      <c r="AH138" s="115">
        <f t="shared" si="8"/>
        <v>0</v>
      </c>
      <c r="AI138" s="115">
        <f t="shared" si="8"/>
        <v>0</v>
      </c>
      <c r="AJ138" s="115">
        <f t="shared" si="8"/>
        <v>0</v>
      </c>
      <c r="AK138" s="184"/>
      <c r="AL138" s="1"/>
    </row>
    <row r="139" spans="1:38" ht="14.25" customHeight="1" x14ac:dyDescent="0.45">
      <c r="A139" s="618"/>
      <c r="B139" s="106"/>
      <c r="C139" s="32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c r="AB139" s="183"/>
      <c r="AC139" s="183"/>
      <c r="AD139" s="183"/>
      <c r="AE139" s="183"/>
      <c r="AF139" s="183"/>
      <c r="AG139" s="183"/>
      <c r="AH139" s="183"/>
      <c r="AI139" s="183"/>
      <c r="AJ139" s="183"/>
      <c r="AK139" s="184"/>
      <c r="AL139" s="1"/>
    </row>
    <row r="140" spans="1:38" ht="14.25" customHeight="1" x14ac:dyDescent="0.45">
      <c r="A140" s="4"/>
      <c r="B140" s="160"/>
      <c r="C140" s="111" t="s">
        <v>90</v>
      </c>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c r="AA140" s="174"/>
      <c r="AB140" s="174"/>
      <c r="AC140" s="174"/>
      <c r="AD140" s="174"/>
      <c r="AE140" s="174"/>
      <c r="AF140" s="174"/>
      <c r="AG140" s="174"/>
      <c r="AH140" s="174"/>
      <c r="AI140" s="174"/>
      <c r="AJ140" s="174"/>
      <c r="AK140" s="431"/>
      <c r="AL140" s="1"/>
    </row>
    <row r="141" spans="1:38" ht="14.25" customHeight="1" x14ac:dyDescent="0.45">
      <c r="A141" s="618">
        <v>3</v>
      </c>
      <c r="B141" s="106"/>
      <c r="C141" s="115" t="s">
        <v>91</v>
      </c>
      <c r="D141" s="115">
        <v>70</v>
      </c>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84"/>
      <c r="AL141" s="1"/>
    </row>
    <row r="142" spans="1:38" ht="14.25" customHeight="1" x14ac:dyDescent="0.45">
      <c r="A142" s="618"/>
      <c r="B142" s="118"/>
      <c r="C142" s="18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c r="AA142" s="191"/>
      <c r="AB142" s="191"/>
      <c r="AC142" s="191"/>
      <c r="AD142" s="191"/>
      <c r="AE142" s="191"/>
      <c r="AF142" s="191"/>
      <c r="AG142" s="191"/>
      <c r="AH142" s="191"/>
      <c r="AI142" s="191"/>
      <c r="AJ142" s="191"/>
      <c r="AK142" s="192"/>
      <c r="AL142" s="1"/>
    </row>
    <row r="143" spans="1:38" ht="14.25" customHeight="1" x14ac:dyDescent="0.45">
      <c r="A143" s="618"/>
      <c r="B143" s="618"/>
      <c r="C143" s="5"/>
      <c r="D143" s="618"/>
      <c r="E143" s="618"/>
      <c r="F143" s="618"/>
      <c r="G143" s="618"/>
      <c r="H143" s="618"/>
      <c r="I143" s="618"/>
      <c r="J143" s="618"/>
      <c r="K143" s="618"/>
      <c r="L143" s="618"/>
      <c r="M143" s="618"/>
      <c r="N143" s="618"/>
      <c r="O143" s="618"/>
      <c r="P143" s="618"/>
      <c r="Q143" s="618"/>
      <c r="R143" s="618"/>
      <c r="S143" s="618"/>
      <c r="T143" s="618"/>
      <c r="U143" s="618"/>
      <c r="V143" s="618"/>
      <c r="W143" s="618"/>
      <c r="X143" s="618"/>
      <c r="Y143" s="618"/>
      <c r="Z143" s="618"/>
      <c r="AA143" s="618"/>
      <c r="AB143" s="618"/>
      <c r="AC143" s="618"/>
      <c r="AD143" s="618"/>
      <c r="AE143" s="618"/>
      <c r="AF143" s="618"/>
      <c r="AG143" s="618"/>
      <c r="AH143" s="618"/>
      <c r="AI143" s="618"/>
      <c r="AJ143" s="618"/>
      <c r="AK143" s="618"/>
      <c r="AL143" s="1"/>
    </row>
    <row r="144" spans="1:38" ht="14.25" customHeight="1" x14ac:dyDescent="0.45">
      <c r="A144" s="618"/>
      <c r="B144" s="7"/>
      <c r="C144" s="103"/>
      <c r="D144" s="158"/>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9"/>
      <c r="AL144" s="1"/>
    </row>
    <row r="145" spans="1:38" ht="14.25" customHeight="1" x14ac:dyDescent="0.45">
      <c r="A145" s="618"/>
      <c r="B145" s="106"/>
      <c r="C145" s="107" t="s">
        <v>92</v>
      </c>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c r="AA145" s="183"/>
      <c r="AB145" s="183"/>
      <c r="AC145" s="183"/>
      <c r="AD145" s="183"/>
      <c r="AE145" s="183"/>
      <c r="AF145" s="183"/>
      <c r="AG145" s="183"/>
      <c r="AH145" s="183"/>
      <c r="AI145" s="183"/>
      <c r="AJ145" s="183"/>
      <c r="AK145" s="184"/>
      <c r="AL145" s="1"/>
    </row>
    <row r="146" spans="1:38" ht="14.25" customHeight="1" x14ac:dyDescent="0.45">
      <c r="A146" s="618"/>
      <c r="B146" s="160"/>
      <c r="C146" s="111" t="s">
        <v>93</v>
      </c>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431"/>
      <c r="AL146" s="1"/>
    </row>
    <row r="147" spans="1:38" ht="14.25" customHeight="1" x14ac:dyDescent="0.45">
      <c r="A147" s="618">
        <v>2</v>
      </c>
      <c r="B147" s="106"/>
      <c r="C147" s="115" t="s">
        <v>866</v>
      </c>
      <c r="D147" s="116">
        <v>1743.0487278799999</v>
      </c>
      <c r="E147" s="116">
        <v>1689.3687004376</v>
      </c>
      <c r="F147" s="116">
        <v>1629.3440644463519</v>
      </c>
      <c r="G147" s="116">
        <v>1565.4419277352788</v>
      </c>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84"/>
      <c r="AL147" s="1"/>
    </row>
    <row r="148" spans="1:38" ht="14.25" customHeight="1" x14ac:dyDescent="0.45">
      <c r="A148" s="618">
        <v>2</v>
      </c>
      <c r="B148" s="106"/>
      <c r="C148" s="115" t="s">
        <v>867</v>
      </c>
      <c r="D148" s="116">
        <v>2094.687339223417</v>
      </c>
      <c r="E148" s="116">
        <v>2327.7090213259494</v>
      </c>
      <c r="F148" s="116">
        <v>2230.5056457740893</v>
      </c>
      <c r="G148" s="116">
        <v>2005.8714709716241</v>
      </c>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84"/>
      <c r="AL148" s="1"/>
    </row>
    <row r="149" spans="1:38" ht="14.25" customHeight="1" x14ac:dyDescent="0.45">
      <c r="A149" s="618"/>
      <c r="B149" s="106"/>
      <c r="C149" s="115" t="s">
        <v>868</v>
      </c>
      <c r="D149" s="116" t="s">
        <v>221</v>
      </c>
      <c r="E149" s="116" t="s">
        <v>221</v>
      </c>
      <c r="F149" s="116" t="s">
        <v>221</v>
      </c>
      <c r="G149" s="116" t="s">
        <v>221</v>
      </c>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84"/>
      <c r="AL149" s="1"/>
    </row>
    <row r="150" spans="1:38" ht="14.25" customHeight="1" x14ac:dyDescent="0.45">
      <c r="A150" s="618"/>
      <c r="B150" s="106"/>
      <c r="C150" s="115" t="s">
        <v>869</v>
      </c>
      <c r="D150" s="116" t="s">
        <v>221</v>
      </c>
      <c r="E150" s="116" t="s">
        <v>221</v>
      </c>
      <c r="F150" s="116" t="s">
        <v>221</v>
      </c>
      <c r="G150" s="116" t="s">
        <v>221</v>
      </c>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84"/>
      <c r="AL150" s="1"/>
    </row>
    <row r="151" spans="1:38" ht="14.25" customHeight="1" x14ac:dyDescent="0.45">
      <c r="A151" s="618"/>
      <c r="B151" s="106"/>
      <c r="C151" s="115" t="s">
        <v>98</v>
      </c>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84"/>
      <c r="AL151" s="1"/>
    </row>
    <row r="152" spans="1:38" ht="14.25" customHeight="1" x14ac:dyDescent="0.45">
      <c r="A152" s="618"/>
      <c r="B152" s="106"/>
      <c r="C152" s="115" t="s">
        <v>849</v>
      </c>
      <c r="D152" s="116">
        <f>SUM(D147:D150)</f>
        <v>3837.7360671034166</v>
      </c>
      <c r="E152" s="116">
        <f>SUM(E147:E150)</f>
        <v>4017.0777217635496</v>
      </c>
      <c r="F152" s="116">
        <f>SUM(F147:F150)</f>
        <v>3859.849710220441</v>
      </c>
      <c r="G152" s="116">
        <f>SUM(G147:G150)</f>
        <v>3571.3133987069032</v>
      </c>
      <c r="H152" s="162">
        <f t="shared" ref="H152:AJ152" si="9">SUM(H147)</f>
        <v>0</v>
      </c>
      <c r="I152" s="162">
        <f t="shared" si="9"/>
        <v>0</v>
      </c>
      <c r="J152" s="162">
        <f t="shared" si="9"/>
        <v>0</v>
      </c>
      <c r="K152" s="162">
        <f t="shared" si="9"/>
        <v>0</v>
      </c>
      <c r="L152" s="162">
        <f t="shared" si="9"/>
        <v>0</v>
      </c>
      <c r="M152" s="162">
        <f t="shared" si="9"/>
        <v>0</v>
      </c>
      <c r="N152" s="162">
        <f t="shared" si="9"/>
        <v>0</v>
      </c>
      <c r="O152" s="162">
        <f t="shared" si="9"/>
        <v>0</v>
      </c>
      <c r="P152" s="162">
        <f t="shared" si="9"/>
        <v>0</v>
      </c>
      <c r="Q152" s="162">
        <f t="shared" si="9"/>
        <v>0</v>
      </c>
      <c r="R152" s="162">
        <f t="shared" si="9"/>
        <v>0</v>
      </c>
      <c r="S152" s="162">
        <f t="shared" si="9"/>
        <v>0</v>
      </c>
      <c r="T152" s="162">
        <f t="shared" si="9"/>
        <v>0</v>
      </c>
      <c r="U152" s="162">
        <f t="shared" si="9"/>
        <v>0</v>
      </c>
      <c r="V152" s="162">
        <f t="shared" si="9"/>
        <v>0</v>
      </c>
      <c r="W152" s="162">
        <f t="shared" si="9"/>
        <v>0</v>
      </c>
      <c r="X152" s="162">
        <f t="shared" si="9"/>
        <v>0</v>
      </c>
      <c r="Y152" s="162">
        <f t="shared" si="9"/>
        <v>0</v>
      </c>
      <c r="Z152" s="162">
        <f t="shared" si="9"/>
        <v>0</v>
      </c>
      <c r="AA152" s="162">
        <f t="shared" si="9"/>
        <v>0</v>
      </c>
      <c r="AB152" s="162">
        <f t="shared" si="9"/>
        <v>0</v>
      </c>
      <c r="AC152" s="162">
        <f t="shared" si="9"/>
        <v>0</v>
      </c>
      <c r="AD152" s="162">
        <f t="shared" si="9"/>
        <v>0</v>
      </c>
      <c r="AE152" s="162">
        <f t="shared" si="9"/>
        <v>0</v>
      </c>
      <c r="AF152" s="162">
        <f t="shared" si="9"/>
        <v>0</v>
      </c>
      <c r="AG152" s="162">
        <f t="shared" si="9"/>
        <v>0</v>
      </c>
      <c r="AH152" s="162">
        <f t="shared" si="9"/>
        <v>0</v>
      </c>
      <c r="AI152" s="162">
        <f t="shared" si="9"/>
        <v>0</v>
      </c>
      <c r="AJ152" s="162">
        <f t="shared" si="9"/>
        <v>0</v>
      </c>
      <c r="AK152" s="184"/>
      <c r="AL152" s="1"/>
    </row>
    <row r="153" spans="1:38" ht="14.25" customHeight="1" x14ac:dyDescent="0.45">
      <c r="A153" s="618"/>
      <c r="B153" s="118"/>
      <c r="C153" s="18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c r="AB153" s="191"/>
      <c r="AC153" s="191"/>
      <c r="AD153" s="191"/>
      <c r="AE153" s="191"/>
      <c r="AF153" s="191"/>
      <c r="AG153" s="191"/>
      <c r="AH153" s="191"/>
      <c r="AI153" s="191"/>
      <c r="AJ153" s="191"/>
      <c r="AK153" s="192"/>
      <c r="AL153" s="1"/>
    </row>
    <row r="154" spans="1:38" ht="14.25" customHeight="1" x14ac:dyDescent="0.45">
      <c r="A154" s="618"/>
      <c r="B154" s="618"/>
      <c r="C154" s="5"/>
      <c r="D154" s="618"/>
      <c r="E154" s="618"/>
      <c r="F154" s="618"/>
      <c r="G154" s="618"/>
      <c r="H154" s="618"/>
      <c r="I154" s="618"/>
      <c r="J154" s="618"/>
      <c r="K154" s="618"/>
      <c r="L154" s="618"/>
      <c r="M154" s="618"/>
      <c r="N154" s="618"/>
      <c r="O154" s="618"/>
      <c r="P154" s="618"/>
      <c r="Q154" s="618"/>
      <c r="R154" s="618"/>
      <c r="S154" s="618"/>
      <c r="T154" s="618"/>
      <c r="U154" s="618"/>
      <c r="V154" s="618"/>
      <c r="W154" s="618"/>
      <c r="X154" s="618"/>
      <c r="Y154" s="618"/>
      <c r="Z154" s="618"/>
      <c r="AA154" s="618"/>
      <c r="AB154" s="618"/>
      <c r="AC154" s="618"/>
      <c r="AD154" s="618"/>
      <c r="AE154" s="618"/>
      <c r="AF154" s="618"/>
      <c r="AG154" s="618"/>
      <c r="AH154" s="618"/>
      <c r="AI154" s="618"/>
      <c r="AJ154" s="618"/>
      <c r="AK154" s="618"/>
      <c r="AL154" s="1"/>
    </row>
    <row r="155" spans="1:38" ht="14.25" customHeight="1" x14ac:dyDescent="0.45">
      <c r="A155" s="618"/>
      <c r="B155" s="7"/>
      <c r="C155" s="103"/>
      <c r="D155" s="158"/>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9"/>
      <c r="AL155" s="1"/>
    </row>
    <row r="156" spans="1:38" ht="14.25" customHeight="1" x14ac:dyDescent="0.45">
      <c r="A156" s="618"/>
      <c r="B156" s="106"/>
      <c r="C156" s="107" t="s">
        <v>124</v>
      </c>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c r="AB156" s="183"/>
      <c r="AC156" s="183"/>
      <c r="AD156" s="183"/>
      <c r="AE156" s="183"/>
      <c r="AF156" s="183"/>
      <c r="AG156" s="183"/>
      <c r="AH156" s="183"/>
      <c r="AI156" s="183"/>
      <c r="AJ156" s="183"/>
      <c r="AK156" s="184"/>
      <c r="AL156" s="1"/>
    </row>
    <row r="157" spans="1:38" ht="14.25" customHeight="1" x14ac:dyDescent="0.45">
      <c r="A157" s="618">
        <v>2</v>
      </c>
      <c r="B157" s="106"/>
      <c r="C157" s="111" t="s">
        <v>870</v>
      </c>
      <c r="D157" s="111">
        <v>2668</v>
      </c>
      <c r="E157" s="111">
        <v>2812</v>
      </c>
      <c r="F157" s="111">
        <v>2833</v>
      </c>
      <c r="G157" s="111">
        <v>2739</v>
      </c>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84"/>
      <c r="AL157" s="1"/>
    </row>
    <row r="158" spans="1:38" ht="14.25" customHeight="1" x14ac:dyDescent="0.45">
      <c r="A158" s="618">
        <v>2</v>
      </c>
      <c r="B158" s="106"/>
      <c r="C158" s="111" t="s">
        <v>871</v>
      </c>
      <c r="D158" s="111">
        <v>3423</v>
      </c>
      <c r="E158" s="111">
        <v>3059</v>
      </c>
      <c r="F158" s="111">
        <v>2642</v>
      </c>
      <c r="G158" s="111">
        <v>2632</v>
      </c>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84"/>
      <c r="AL158" s="1"/>
    </row>
    <row r="159" spans="1:38" ht="14.25" customHeight="1" x14ac:dyDescent="0.45">
      <c r="A159" s="618"/>
      <c r="B159" s="106"/>
      <c r="C159" s="111" t="s">
        <v>872</v>
      </c>
      <c r="D159" s="111">
        <v>470</v>
      </c>
      <c r="E159" s="111">
        <v>508</v>
      </c>
      <c r="F159" s="111">
        <v>524</v>
      </c>
      <c r="G159" s="111">
        <v>458</v>
      </c>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84"/>
      <c r="AL159" s="1"/>
    </row>
    <row r="160" spans="1:38" ht="14.25" customHeight="1" x14ac:dyDescent="0.45">
      <c r="A160" s="618"/>
      <c r="B160" s="106"/>
      <c r="C160" s="111" t="s">
        <v>873</v>
      </c>
      <c r="D160" s="111">
        <v>126</v>
      </c>
      <c r="E160" s="111">
        <v>101</v>
      </c>
      <c r="F160" s="111">
        <v>106</v>
      </c>
      <c r="G160" s="111">
        <v>99</v>
      </c>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84"/>
      <c r="AL160" s="1"/>
    </row>
    <row r="161" spans="1:38" ht="14.25" customHeight="1" x14ac:dyDescent="0.45">
      <c r="A161" s="618"/>
      <c r="B161" s="106"/>
      <c r="C161" s="111" t="s">
        <v>874</v>
      </c>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84"/>
      <c r="AL161" s="1"/>
    </row>
    <row r="162" spans="1:38" ht="14.25" customHeight="1" x14ac:dyDescent="0.45">
      <c r="A162" s="618"/>
      <c r="B162" s="106"/>
      <c r="C162" s="111" t="s">
        <v>875</v>
      </c>
      <c r="D162" s="111">
        <v>2726</v>
      </c>
      <c r="E162" s="111">
        <v>3035</v>
      </c>
      <c r="F162" s="111">
        <v>2875</v>
      </c>
      <c r="G162" s="111">
        <v>2993</v>
      </c>
      <c r="H162" s="111">
        <f t="shared" ref="H162:AJ162" si="10">SUM(H157)</f>
        <v>0</v>
      </c>
      <c r="I162" s="111">
        <f t="shared" si="10"/>
        <v>0</v>
      </c>
      <c r="J162" s="111">
        <f t="shared" si="10"/>
        <v>0</v>
      </c>
      <c r="K162" s="111">
        <f t="shared" si="10"/>
        <v>0</v>
      </c>
      <c r="L162" s="111">
        <f t="shared" si="10"/>
        <v>0</v>
      </c>
      <c r="M162" s="111">
        <f t="shared" si="10"/>
        <v>0</v>
      </c>
      <c r="N162" s="111">
        <f t="shared" si="10"/>
        <v>0</v>
      </c>
      <c r="O162" s="111">
        <f t="shared" si="10"/>
        <v>0</v>
      </c>
      <c r="P162" s="111">
        <f t="shared" si="10"/>
        <v>0</v>
      </c>
      <c r="Q162" s="111">
        <f t="shared" si="10"/>
        <v>0</v>
      </c>
      <c r="R162" s="111">
        <f t="shared" si="10"/>
        <v>0</v>
      </c>
      <c r="S162" s="111">
        <f t="shared" si="10"/>
        <v>0</v>
      </c>
      <c r="T162" s="111">
        <f t="shared" si="10"/>
        <v>0</v>
      </c>
      <c r="U162" s="111">
        <f t="shared" si="10"/>
        <v>0</v>
      </c>
      <c r="V162" s="111">
        <f t="shared" si="10"/>
        <v>0</v>
      </c>
      <c r="W162" s="111">
        <f t="shared" si="10"/>
        <v>0</v>
      </c>
      <c r="X162" s="111">
        <f t="shared" si="10"/>
        <v>0</v>
      </c>
      <c r="Y162" s="111">
        <f t="shared" si="10"/>
        <v>0</v>
      </c>
      <c r="Z162" s="111">
        <f t="shared" si="10"/>
        <v>0</v>
      </c>
      <c r="AA162" s="111">
        <f t="shared" si="10"/>
        <v>0</v>
      </c>
      <c r="AB162" s="111">
        <f t="shared" si="10"/>
        <v>0</v>
      </c>
      <c r="AC162" s="111">
        <f t="shared" si="10"/>
        <v>0</v>
      </c>
      <c r="AD162" s="111">
        <f t="shared" si="10"/>
        <v>0</v>
      </c>
      <c r="AE162" s="111">
        <f t="shared" si="10"/>
        <v>0</v>
      </c>
      <c r="AF162" s="111">
        <f t="shared" si="10"/>
        <v>0</v>
      </c>
      <c r="AG162" s="111">
        <f t="shared" si="10"/>
        <v>0</v>
      </c>
      <c r="AH162" s="111">
        <f t="shared" si="10"/>
        <v>0</v>
      </c>
      <c r="AI162" s="111">
        <f t="shared" si="10"/>
        <v>0</v>
      </c>
      <c r="AJ162" s="111">
        <f t="shared" si="10"/>
        <v>0</v>
      </c>
      <c r="AK162" s="184"/>
      <c r="AL162" s="1"/>
    </row>
    <row r="163" spans="1:38" ht="14.25" customHeight="1" x14ac:dyDescent="0.45">
      <c r="A163" s="618"/>
      <c r="B163" s="106"/>
      <c r="C163" s="111" t="s">
        <v>876</v>
      </c>
      <c r="D163" s="111">
        <v>4563</v>
      </c>
      <c r="E163" s="111">
        <v>3288</v>
      </c>
      <c r="F163" s="111">
        <v>2560</v>
      </c>
      <c r="G163" s="111">
        <v>2292</v>
      </c>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84"/>
      <c r="AL163" s="1"/>
    </row>
    <row r="164" spans="1:38" ht="14.25" customHeight="1" x14ac:dyDescent="0.45">
      <c r="A164" s="618"/>
      <c r="B164" s="106"/>
      <c r="C164" s="111" t="s">
        <v>877</v>
      </c>
      <c r="D164" s="111">
        <v>702</v>
      </c>
      <c r="E164" s="111">
        <v>383</v>
      </c>
      <c r="F164" s="111">
        <v>235</v>
      </c>
      <c r="G164" s="111">
        <v>292</v>
      </c>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84"/>
      <c r="AL164" s="1"/>
    </row>
    <row r="165" spans="1:38" ht="14.25" customHeight="1" x14ac:dyDescent="0.45">
      <c r="A165" s="618"/>
      <c r="B165" s="106"/>
      <c r="C165" s="111" t="s">
        <v>136</v>
      </c>
      <c r="D165" s="111">
        <v>159</v>
      </c>
      <c r="E165" s="111">
        <v>149</v>
      </c>
      <c r="F165" s="111">
        <v>160</v>
      </c>
      <c r="G165" s="111">
        <v>152</v>
      </c>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84"/>
      <c r="AL165" s="1"/>
    </row>
    <row r="166" spans="1:38" ht="14.25" customHeight="1" x14ac:dyDescent="0.45">
      <c r="A166" s="618"/>
      <c r="B166" s="106"/>
      <c r="C166" s="111" t="s">
        <v>878</v>
      </c>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84"/>
      <c r="AL166" s="1"/>
    </row>
    <row r="167" spans="1:38" ht="14.25" customHeight="1" x14ac:dyDescent="0.45">
      <c r="A167" s="618"/>
      <c r="B167" s="106"/>
      <c r="C167" s="111" t="s">
        <v>59</v>
      </c>
      <c r="D167" s="111">
        <f>SUM(D157:D165)</f>
        <v>14837</v>
      </c>
      <c r="E167" s="111">
        <f>SUM(E157:E165)</f>
        <v>13335</v>
      </c>
      <c r="F167" s="111">
        <f>SUM(F157:F165)</f>
        <v>11935</v>
      </c>
      <c r="G167" s="111">
        <f>SUM(G157:G165)</f>
        <v>11657</v>
      </c>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84"/>
      <c r="AL167" s="1"/>
    </row>
    <row r="168" spans="1:38" ht="14.25" customHeight="1" x14ac:dyDescent="0.45">
      <c r="A168" s="618"/>
      <c r="B168" s="118"/>
      <c r="C168" s="18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c r="AA168" s="191"/>
      <c r="AB168" s="191"/>
      <c r="AC168" s="191"/>
      <c r="AD168" s="191"/>
      <c r="AE168" s="191"/>
      <c r="AF168" s="191"/>
      <c r="AG168" s="191"/>
      <c r="AH168" s="191"/>
      <c r="AI168" s="191"/>
      <c r="AJ168" s="191"/>
      <c r="AK168" s="192"/>
      <c r="AL168" s="1"/>
    </row>
    <row r="169" spans="1:38" ht="14.25" customHeight="1" x14ac:dyDescent="0.45">
      <c r="A169" s="618"/>
      <c r="B169" s="618"/>
      <c r="C169" s="5"/>
      <c r="D169" s="618"/>
      <c r="E169" s="618"/>
      <c r="F169" s="618"/>
      <c r="G169" s="618"/>
      <c r="H169" s="618"/>
      <c r="I169" s="618"/>
      <c r="J169" s="618"/>
      <c r="K169" s="618"/>
      <c r="L169" s="618"/>
      <c r="M169" s="618"/>
      <c r="N169" s="618"/>
      <c r="O169" s="618"/>
      <c r="P169" s="618"/>
      <c r="Q169" s="618"/>
      <c r="R169" s="618"/>
      <c r="S169" s="618"/>
      <c r="T169" s="618"/>
      <c r="U169" s="618"/>
      <c r="V169" s="618"/>
      <c r="W169" s="618"/>
      <c r="X169" s="618"/>
      <c r="Y169" s="618"/>
      <c r="Z169" s="618"/>
      <c r="AA169" s="618"/>
      <c r="AB169" s="618"/>
      <c r="AC169" s="618"/>
      <c r="AD169" s="618"/>
      <c r="AE169" s="618"/>
      <c r="AF169" s="618"/>
      <c r="AG169" s="618"/>
      <c r="AH169" s="618"/>
      <c r="AI169" s="618"/>
      <c r="AJ169" s="618"/>
      <c r="AK169" s="618"/>
      <c r="AL169" s="1"/>
    </row>
    <row r="170" spans="1:38" ht="14.25" customHeight="1" x14ac:dyDescent="0.45">
      <c r="A170" s="618"/>
      <c r="B170" s="7"/>
      <c r="C170" s="103"/>
      <c r="D170" s="158"/>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9"/>
      <c r="AL170" s="1"/>
    </row>
    <row r="171" spans="1:38" ht="23.25" customHeight="1" x14ac:dyDescent="0.45">
      <c r="A171" s="618"/>
      <c r="B171" s="106"/>
      <c r="C171" s="107" t="s">
        <v>99</v>
      </c>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c r="AB171" s="183"/>
      <c r="AC171" s="183"/>
      <c r="AD171" s="183"/>
      <c r="AE171" s="183"/>
      <c r="AF171" s="183"/>
      <c r="AG171" s="183"/>
      <c r="AH171" s="183"/>
      <c r="AI171" s="183"/>
      <c r="AJ171" s="183"/>
      <c r="AK171" s="184"/>
      <c r="AL171" s="1"/>
    </row>
    <row r="172" spans="1:38" ht="14.25" customHeight="1" x14ac:dyDescent="0.45">
      <c r="A172" s="618"/>
      <c r="B172" s="106"/>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84"/>
      <c r="AL172" s="1"/>
    </row>
    <row r="173" spans="1:38" ht="14.25" customHeight="1" x14ac:dyDescent="0.45">
      <c r="A173" s="618"/>
      <c r="B173" s="106"/>
      <c r="C173" s="115" t="s">
        <v>879</v>
      </c>
      <c r="D173" s="493">
        <v>698965</v>
      </c>
      <c r="E173" s="493">
        <v>722358</v>
      </c>
      <c r="F173" s="493">
        <v>674839</v>
      </c>
      <c r="G173" s="493">
        <v>635493</v>
      </c>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84"/>
      <c r="AL173" s="1"/>
    </row>
    <row r="174" spans="1:38" ht="14.25" customHeight="1" x14ac:dyDescent="0.45">
      <c r="A174" s="618"/>
      <c r="B174" s="106"/>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84"/>
      <c r="AL174" s="1"/>
    </row>
    <row r="175" spans="1:38" ht="15.75" customHeight="1" x14ac:dyDescent="0.45">
      <c r="A175" s="618"/>
      <c r="B175" s="106"/>
      <c r="C175" s="188" t="s">
        <v>880</v>
      </c>
      <c r="D175" s="493">
        <v>186735227</v>
      </c>
      <c r="E175" s="493">
        <v>192734509</v>
      </c>
      <c r="F175" s="493">
        <v>172286041</v>
      </c>
      <c r="G175" s="493">
        <v>164985608</v>
      </c>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84"/>
      <c r="AL175" s="1"/>
    </row>
    <row r="176" spans="1:38" ht="14.25" customHeight="1" x14ac:dyDescent="0.45">
      <c r="A176" s="618"/>
      <c r="B176" s="106"/>
      <c r="C176" s="115"/>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84"/>
      <c r="AL176" s="1"/>
    </row>
    <row r="177" spans="1:38" ht="15.75" customHeight="1" x14ac:dyDescent="0.45">
      <c r="A177" s="618"/>
      <c r="B177" s="106"/>
      <c r="C177" s="188" t="s">
        <v>102</v>
      </c>
      <c r="D177" s="493">
        <v>101150</v>
      </c>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84"/>
      <c r="AL177" s="1"/>
    </row>
    <row r="178" spans="1:38" ht="14.25" customHeight="1" x14ac:dyDescent="0.45">
      <c r="A178" s="618"/>
      <c r="B178" s="106"/>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84"/>
      <c r="AL178" s="1"/>
    </row>
    <row r="179" spans="1:38" ht="14.25" customHeight="1" x14ac:dyDescent="0.45">
      <c r="A179" s="618"/>
      <c r="B179" s="118"/>
      <c r="C179" s="18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c r="AA179" s="191"/>
      <c r="AB179" s="191"/>
      <c r="AC179" s="191"/>
      <c r="AD179" s="191"/>
      <c r="AE179" s="191"/>
      <c r="AF179" s="191"/>
      <c r="AG179" s="191"/>
      <c r="AH179" s="191"/>
      <c r="AI179" s="191"/>
      <c r="AJ179" s="191"/>
      <c r="AK179" s="192"/>
      <c r="AL179" s="1"/>
    </row>
    <row r="180" spans="1:38" ht="14.25" customHeight="1" x14ac:dyDescent="0.45">
      <c r="A180" s="618"/>
      <c r="B180" s="618"/>
      <c r="C180" s="5"/>
      <c r="D180" s="618"/>
      <c r="E180" s="618"/>
      <c r="F180" s="618"/>
      <c r="G180" s="618"/>
      <c r="H180" s="618"/>
      <c r="I180" s="618"/>
      <c r="J180" s="618"/>
      <c r="K180" s="618"/>
      <c r="L180" s="618"/>
      <c r="M180" s="618"/>
      <c r="N180" s="618"/>
      <c r="O180" s="618"/>
      <c r="P180" s="618"/>
      <c r="Q180" s="618"/>
      <c r="R180" s="618"/>
      <c r="S180" s="618"/>
      <c r="T180" s="618"/>
      <c r="U180" s="618"/>
      <c r="V180" s="618"/>
      <c r="W180" s="618"/>
      <c r="X180" s="618"/>
      <c r="Y180" s="618"/>
      <c r="Z180" s="618"/>
      <c r="AA180" s="618"/>
      <c r="AB180" s="618"/>
      <c r="AC180" s="618"/>
      <c r="AD180" s="618"/>
      <c r="AE180" s="618"/>
      <c r="AF180" s="618"/>
      <c r="AG180" s="618"/>
      <c r="AH180" s="618"/>
      <c r="AI180" s="618"/>
      <c r="AJ180" s="618"/>
      <c r="AK180" s="618"/>
      <c r="AL180" s="1"/>
    </row>
    <row r="181" spans="1:38" ht="14.25" customHeight="1" x14ac:dyDescent="0.45">
      <c r="A181" s="618"/>
      <c r="B181" s="618"/>
      <c r="C181" s="5"/>
      <c r="D181" s="618"/>
      <c r="E181" s="618"/>
      <c r="F181" s="618"/>
      <c r="G181" s="618"/>
      <c r="H181" s="618"/>
      <c r="I181" s="618"/>
      <c r="J181" s="618"/>
      <c r="K181" s="618"/>
      <c r="L181" s="618"/>
      <c r="M181" s="618"/>
      <c r="N181" s="618"/>
      <c r="O181" s="618"/>
      <c r="P181" s="618"/>
      <c r="Q181" s="618"/>
      <c r="R181" s="618"/>
      <c r="S181" s="618"/>
      <c r="T181" s="618"/>
      <c r="U181" s="618"/>
      <c r="V181" s="618"/>
      <c r="W181" s="618"/>
      <c r="X181" s="618"/>
      <c r="Y181" s="618"/>
      <c r="Z181" s="618"/>
      <c r="AA181" s="618"/>
      <c r="AB181" s="618"/>
      <c r="AC181" s="618"/>
      <c r="AD181" s="618"/>
      <c r="AE181" s="618"/>
      <c r="AF181" s="618"/>
      <c r="AG181" s="618"/>
      <c r="AH181" s="618"/>
      <c r="AI181" s="618"/>
      <c r="AJ181" s="618"/>
      <c r="AK181" s="618"/>
      <c r="AL181" s="1"/>
    </row>
    <row r="182" spans="1:38" ht="14.25" customHeight="1" x14ac:dyDescent="0.45">
      <c r="A182" s="618"/>
      <c r="B182" s="618"/>
      <c r="C182" s="5" t="s">
        <v>881</v>
      </c>
      <c r="D182" s="618"/>
      <c r="E182" s="618"/>
      <c r="F182" s="618"/>
      <c r="G182" s="618"/>
      <c r="H182" s="618"/>
      <c r="I182" s="618"/>
      <c r="J182" s="618"/>
      <c r="K182" s="618"/>
      <c r="L182" s="618"/>
      <c r="M182" s="618"/>
      <c r="N182" s="618"/>
      <c r="O182" s="618"/>
      <c r="P182" s="618"/>
      <c r="Q182" s="618"/>
      <c r="R182" s="618"/>
      <c r="S182" s="618"/>
      <c r="T182" s="618"/>
      <c r="U182" s="618"/>
      <c r="V182" s="618"/>
      <c r="W182" s="618"/>
      <c r="X182" s="618"/>
      <c r="Y182" s="618"/>
      <c r="Z182" s="618"/>
      <c r="AA182" s="618"/>
      <c r="AB182" s="618"/>
      <c r="AC182" s="618"/>
      <c r="AD182" s="618"/>
      <c r="AE182" s="618"/>
      <c r="AF182" s="618"/>
      <c r="AG182" s="618"/>
      <c r="AH182" s="618"/>
      <c r="AI182" s="618"/>
      <c r="AJ182" s="618"/>
      <c r="AK182" s="618"/>
      <c r="AL182" s="1"/>
    </row>
    <row r="183" spans="1:38" ht="14.25" customHeight="1" x14ac:dyDescent="0.45">
      <c r="A183" s="618"/>
      <c r="B183" s="618"/>
      <c r="C183" s="5" t="s">
        <v>882</v>
      </c>
      <c r="D183" s="618"/>
      <c r="E183" s="618"/>
      <c r="F183" s="618"/>
      <c r="G183" s="618"/>
      <c r="H183" s="618"/>
      <c r="I183" s="618"/>
      <c r="J183" s="618"/>
      <c r="K183" s="618"/>
      <c r="L183" s="618"/>
      <c r="M183" s="618"/>
      <c r="N183" s="618"/>
      <c r="O183" s="618"/>
      <c r="P183" s="618"/>
      <c r="Q183" s="618"/>
      <c r="R183" s="618"/>
      <c r="S183" s="618"/>
      <c r="T183" s="618"/>
      <c r="U183" s="618"/>
      <c r="V183" s="618"/>
      <c r="W183" s="618"/>
      <c r="X183" s="618"/>
      <c r="Y183" s="618"/>
      <c r="Z183" s="618"/>
      <c r="AA183" s="618"/>
      <c r="AB183" s="618"/>
      <c r="AC183" s="618"/>
      <c r="AD183" s="618"/>
      <c r="AE183" s="618"/>
      <c r="AF183" s="618"/>
      <c r="AG183" s="618"/>
      <c r="AH183" s="618"/>
      <c r="AI183" s="618"/>
      <c r="AJ183" s="618"/>
      <c r="AK183" s="618"/>
      <c r="AL183" s="1"/>
    </row>
    <row r="184" spans="1:38" ht="14.25" customHeight="1" x14ac:dyDescent="0.45">
      <c r="A184" s="618"/>
      <c r="B184" s="618"/>
      <c r="C184" s="5"/>
      <c r="D184" s="618"/>
      <c r="E184" s="618"/>
      <c r="F184" s="618"/>
      <c r="G184" s="618"/>
      <c r="H184" s="618"/>
      <c r="I184" s="618"/>
      <c r="J184" s="618"/>
      <c r="K184" s="618"/>
      <c r="L184" s="618"/>
      <c r="M184" s="618"/>
      <c r="N184" s="618"/>
      <c r="O184" s="618"/>
      <c r="P184" s="618"/>
      <c r="Q184" s="618"/>
      <c r="R184" s="618"/>
      <c r="S184" s="618"/>
      <c r="T184" s="618"/>
      <c r="U184" s="618"/>
      <c r="V184" s="618"/>
      <c r="W184" s="618"/>
      <c r="X184" s="618"/>
      <c r="Y184" s="618"/>
      <c r="Z184" s="618"/>
      <c r="AA184" s="618"/>
      <c r="AB184" s="618"/>
      <c r="AC184" s="618"/>
      <c r="AD184" s="618"/>
      <c r="AE184" s="618"/>
      <c r="AF184" s="618"/>
      <c r="AG184" s="618"/>
      <c r="AH184" s="618"/>
      <c r="AI184" s="618"/>
      <c r="AJ184" s="618"/>
      <c r="AK184" s="618"/>
      <c r="AL184" s="1"/>
    </row>
    <row r="185" spans="1:38" ht="14.25" customHeight="1" x14ac:dyDescent="0.45">
      <c r="A185" s="618"/>
      <c r="B185" s="618"/>
      <c r="C185" s="14" t="s">
        <v>814</v>
      </c>
      <c r="D185" s="618"/>
      <c r="E185" s="618"/>
      <c r="F185" s="618"/>
      <c r="G185" s="618"/>
      <c r="H185" s="618"/>
      <c r="I185" s="618"/>
      <c r="J185" s="618"/>
      <c r="K185" s="618"/>
      <c r="L185" s="618"/>
      <c r="M185" s="618"/>
      <c r="N185" s="618"/>
      <c r="O185" s="618"/>
      <c r="P185" s="618"/>
      <c r="Q185" s="618"/>
      <c r="R185" s="618"/>
      <c r="S185" s="618"/>
      <c r="T185" s="618"/>
      <c r="U185" s="618"/>
      <c r="V185" s="618"/>
      <c r="W185" s="618"/>
      <c r="X185" s="618"/>
      <c r="Y185" s="618"/>
      <c r="Z185" s="618"/>
      <c r="AA185" s="618"/>
      <c r="AB185" s="618"/>
      <c r="AC185" s="618"/>
      <c r="AD185" s="618"/>
      <c r="AE185" s="618"/>
      <c r="AF185" s="618"/>
      <c r="AG185" s="618"/>
      <c r="AH185" s="618"/>
      <c r="AI185" s="618"/>
      <c r="AJ185" s="618"/>
      <c r="AK185" s="618"/>
      <c r="AL185" s="1"/>
    </row>
    <row r="186" spans="1:38" ht="14.25" customHeight="1" x14ac:dyDescent="0.45">
      <c r="A186" s="618"/>
      <c r="B186" s="618">
        <v>1</v>
      </c>
      <c r="C186" s="5" t="s">
        <v>883</v>
      </c>
      <c r="D186" s="17">
        <v>2018</v>
      </c>
      <c r="E186" s="494">
        <v>2019</v>
      </c>
      <c r="F186" s="494">
        <v>2020</v>
      </c>
      <c r="G186" s="1"/>
      <c r="H186" s="618"/>
      <c r="I186" s="618"/>
      <c r="J186" s="618"/>
      <c r="K186" s="618"/>
      <c r="L186" s="618"/>
      <c r="M186" s="618"/>
      <c r="N186" s="618"/>
      <c r="O186" s="618"/>
      <c r="P186" s="618"/>
      <c r="Q186" s="618"/>
      <c r="R186" s="618"/>
      <c r="S186" s="618"/>
      <c r="T186" s="618"/>
      <c r="U186" s="618"/>
      <c r="V186" s="618"/>
      <c r="W186" s="618"/>
      <c r="X186" s="618"/>
      <c r="Y186" s="618"/>
      <c r="Z186" s="618"/>
      <c r="AA186" s="618"/>
      <c r="AB186" s="618"/>
      <c r="AC186" s="618"/>
      <c r="AD186" s="618"/>
      <c r="AE186" s="618"/>
      <c r="AF186" s="618"/>
      <c r="AG186" s="618"/>
      <c r="AH186" s="618"/>
      <c r="AI186" s="618"/>
      <c r="AJ186" s="618"/>
      <c r="AK186" s="618"/>
      <c r="AL186" s="1"/>
    </row>
    <row r="187" spans="1:38" ht="14.25" customHeight="1" x14ac:dyDescent="0.45">
      <c r="A187" s="618"/>
      <c r="B187" s="618">
        <v>2</v>
      </c>
      <c r="C187" s="495" t="s">
        <v>884</v>
      </c>
      <c r="D187" s="618"/>
      <c r="E187" s="618"/>
      <c r="F187" s="618"/>
      <c r="G187" s="618"/>
      <c r="H187" s="618"/>
      <c r="I187" s="618"/>
      <c r="J187" s="618"/>
      <c r="K187" s="618"/>
      <c r="L187" s="618"/>
      <c r="M187" s="618"/>
      <c r="N187" s="618"/>
      <c r="O187" s="618"/>
      <c r="P187" s="618"/>
      <c r="Q187" s="618"/>
      <c r="R187" s="618"/>
      <c r="S187" s="618"/>
      <c r="T187" s="618"/>
      <c r="U187" s="618"/>
      <c r="V187" s="618"/>
      <c r="W187" s="618"/>
      <c r="X187" s="618"/>
      <c r="Y187" s="618"/>
      <c r="Z187" s="618"/>
      <c r="AA187" s="618"/>
      <c r="AB187" s="618"/>
      <c r="AC187" s="618"/>
      <c r="AD187" s="618"/>
      <c r="AE187" s="618"/>
      <c r="AF187" s="618"/>
      <c r="AG187" s="618"/>
      <c r="AH187" s="618"/>
      <c r="AI187" s="618"/>
      <c r="AJ187" s="618"/>
      <c r="AK187" s="618"/>
      <c r="AL187" s="1"/>
    </row>
    <row r="188" spans="1:38" ht="15.75" customHeight="1" x14ac:dyDescent="0.45">
      <c r="A188" s="618"/>
      <c r="B188" s="618">
        <v>3</v>
      </c>
      <c r="C188" s="496" t="s">
        <v>885</v>
      </c>
      <c r="D188" s="618"/>
      <c r="E188" s="618"/>
      <c r="F188" s="618"/>
      <c r="G188" s="618"/>
      <c r="H188" s="618"/>
      <c r="I188" s="618"/>
      <c r="J188" s="618"/>
      <c r="K188" s="618"/>
      <c r="L188" s="618"/>
      <c r="M188" s="618"/>
      <c r="N188" s="618"/>
      <c r="O188" s="618"/>
      <c r="P188" s="618"/>
      <c r="Q188" s="618"/>
      <c r="R188" s="618"/>
      <c r="S188" s="618"/>
      <c r="T188" s="618"/>
      <c r="U188" s="618"/>
      <c r="V188" s="618"/>
      <c r="W188" s="618"/>
      <c r="X188" s="618"/>
      <c r="Y188" s="618"/>
      <c r="Z188" s="618"/>
      <c r="AA188" s="618"/>
      <c r="AB188" s="618"/>
      <c r="AC188" s="618"/>
      <c r="AD188" s="618"/>
      <c r="AE188" s="618"/>
      <c r="AF188" s="618"/>
      <c r="AG188" s="618"/>
      <c r="AH188" s="618"/>
      <c r="AI188" s="618"/>
      <c r="AJ188" s="618"/>
      <c r="AK188" s="618"/>
      <c r="AL188" s="1"/>
    </row>
    <row r="189" spans="1:38" ht="14.25" customHeight="1" x14ac:dyDescent="0.45">
      <c r="A189" s="618"/>
      <c r="B189" s="618"/>
      <c r="C189" s="5"/>
      <c r="D189" s="618"/>
      <c r="E189" s="618"/>
      <c r="F189" s="618"/>
      <c r="G189" s="618"/>
      <c r="H189" s="618"/>
      <c r="I189" s="618"/>
      <c r="J189" s="618"/>
      <c r="K189" s="618"/>
      <c r="L189" s="618"/>
      <c r="M189" s="618"/>
      <c r="N189" s="618"/>
      <c r="O189" s="618"/>
      <c r="P189" s="618"/>
      <c r="Q189" s="618"/>
      <c r="R189" s="618"/>
      <c r="S189" s="618"/>
      <c r="T189" s="618"/>
      <c r="U189" s="618"/>
      <c r="V189" s="618"/>
      <c r="W189" s="618"/>
      <c r="X189" s="618"/>
      <c r="Y189" s="618"/>
      <c r="Z189" s="618"/>
      <c r="AA189" s="618"/>
      <c r="AB189" s="618"/>
      <c r="AC189" s="618"/>
      <c r="AD189" s="618"/>
      <c r="AE189" s="618"/>
      <c r="AF189" s="618"/>
      <c r="AG189" s="618"/>
      <c r="AH189" s="618"/>
      <c r="AI189" s="618"/>
      <c r="AJ189" s="618"/>
      <c r="AK189" s="618"/>
      <c r="AL189" s="1"/>
    </row>
    <row r="190" spans="1:38" ht="14.25" customHeight="1" x14ac:dyDescent="0.45">
      <c r="A190" s="618"/>
      <c r="B190" s="618"/>
      <c r="C190" s="5"/>
      <c r="D190" s="618"/>
      <c r="E190" s="618"/>
      <c r="F190" s="618"/>
      <c r="G190" s="618"/>
      <c r="H190" s="618"/>
      <c r="I190" s="618"/>
      <c r="J190" s="618"/>
      <c r="K190" s="618"/>
      <c r="L190" s="618"/>
      <c r="M190" s="618"/>
      <c r="N190" s="618"/>
      <c r="O190" s="618"/>
      <c r="P190" s="618"/>
      <c r="Q190" s="618"/>
      <c r="R190" s="618"/>
      <c r="S190" s="618"/>
      <c r="T190" s="618"/>
      <c r="U190" s="618"/>
      <c r="V190" s="618"/>
      <c r="W190" s="618"/>
      <c r="X190" s="618"/>
      <c r="Y190" s="618"/>
      <c r="Z190" s="618"/>
      <c r="AA190" s="618"/>
      <c r="AB190" s="618"/>
      <c r="AC190" s="618"/>
      <c r="AD190" s="618"/>
      <c r="AE190" s="618"/>
      <c r="AF190" s="618"/>
      <c r="AG190" s="618"/>
      <c r="AH190" s="618"/>
      <c r="AI190" s="618"/>
      <c r="AJ190" s="618"/>
      <c r="AK190" s="618"/>
      <c r="AL190" s="1"/>
    </row>
    <row r="191" spans="1:38" ht="14.25" customHeight="1" x14ac:dyDescent="0.45">
      <c r="A191" s="618"/>
      <c r="B191" s="618"/>
      <c r="C191" s="5"/>
      <c r="D191" s="618"/>
      <c r="E191" s="618"/>
      <c r="F191" s="618"/>
      <c r="G191" s="618"/>
      <c r="H191" s="618"/>
      <c r="I191" s="618"/>
      <c r="J191" s="618"/>
      <c r="K191" s="618"/>
      <c r="L191" s="618"/>
      <c r="M191" s="618"/>
      <c r="N191" s="618"/>
      <c r="O191" s="618"/>
      <c r="P191" s="618"/>
      <c r="Q191" s="618"/>
      <c r="R191" s="618"/>
      <c r="S191" s="618"/>
      <c r="T191" s="618"/>
      <c r="U191" s="618"/>
      <c r="V191" s="618"/>
      <c r="W191" s="618"/>
      <c r="X191" s="618"/>
      <c r="Y191" s="618"/>
      <c r="Z191" s="618"/>
      <c r="AA191" s="618"/>
      <c r="AB191" s="618"/>
      <c r="AC191" s="618"/>
      <c r="AD191" s="618"/>
      <c r="AE191" s="618"/>
      <c r="AF191" s="618"/>
      <c r="AG191" s="618"/>
      <c r="AH191" s="618"/>
      <c r="AI191" s="618"/>
      <c r="AJ191" s="618"/>
      <c r="AK191" s="618"/>
      <c r="AL191" s="1"/>
    </row>
    <row r="192" spans="1:38" ht="14.25" customHeight="1" x14ac:dyDescent="0.45">
      <c r="A192" s="618"/>
      <c r="B192" s="618"/>
      <c r="C192" s="5"/>
      <c r="D192" s="618"/>
      <c r="E192" s="618"/>
      <c r="F192" s="618"/>
      <c r="G192" s="618"/>
      <c r="H192" s="618"/>
      <c r="I192" s="618"/>
      <c r="J192" s="618"/>
      <c r="K192" s="618"/>
      <c r="L192" s="618"/>
      <c r="M192" s="618"/>
      <c r="N192" s="618"/>
      <c r="O192" s="618"/>
      <c r="P192" s="618"/>
      <c r="Q192" s="618"/>
      <c r="R192" s="618"/>
      <c r="S192" s="618"/>
      <c r="T192" s="618"/>
      <c r="U192" s="618"/>
      <c r="V192" s="618"/>
      <c r="W192" s="618"/>
      <c r="X192" s="618"/>
      <c r="Y192" s="618"/>
      <c r="Z192" s="618"/>
      <c r="AA192" s="618"/>
      <c r="AB192" s="618"/>
      <c r="AC192" s="618"/>
      <c r="AD192" s="618"/>
      <c r="AE192" s="618"/>
      <c r="AF192" s="618"/>
      <c r="AG192" s="618"/>
      <c r="AH192" s="618"/>
      <c r="AI192" s="618"/>
      <c r="AJ192" s="618"/>
      <c r="AK192" s="618"/>
      <c r="AL192" s="1"/>
    </row>
    <row r="193" spans="1:38" ht="14.25" customHeight="1" x14ac:dyDescent="0.45">
      <c r="A193" s="618"/>
      <c r="B193" s="618"/>
      <c r="C193" s="5"/>
      <c r="D193" s="618"/>
      <c r="E193" s="618"/>
      <c r="F193" s="618"/>
      <c r="G193" s="618"/>
      <c r="H193" s="618"/>
      <c r="I193" s="618"/>
      <c r="J193" s="618"/>
      <c r="K193" s="618"/>
      <c r="L193" s="618"/>
      <c r="M193" s="618"/>
      <c r="N193" s="618"/>
      <c r="O193" s="618"/>
      <c r="P193" s="618"/>
      <c r="Q193" s="618"/>
      <c r="R193" s="618"/>
      <c r="S193" s="618"/>
      <c r="T193" s="618"/>
      <c r="U193" s="618"/>
      <c r="V193" s="618"/>
      <c r="W193" s="618"/>
      <c r="X193" s="618"/>
      <c r="Y193" s="618"/>
      <c r="Z193" s="618"/>
      <c r="AA193" s="618"/>
      <c r="AB193" s="618"/>
      <c r="AC193" s="618"/>
      <c r="AD193" s="618"/>
      <c r="AE193" s="618"/>
      <c r="AF193" s="618"/>
      <c r="AG193" s="618"/>
      <c r="AH193" s="618"/>
      <c r="AI193" s="618"/>
      <c r="AJ193" s="618"/>
      <c r="AK193" s="618"/>
      <c r="AL193" s="1"/>
    </row>
    <row r="194" spans="1:38" ht="14.25" customHeight="1" x14ac:dyDescent="0.45">
      <c r="A194" s="618"/>
      <c r="B194" s="524"/>
      <c r="C194" s="515"/>
      <c r="D194" s="524"/>
      <c r="E194" s="524"/>
      <c r="F194" s="524"/>
      <c r="G194" s="524"/>
      <c r="H194" s="618"/>
      <c r="I194" s="618"/>
      <c r="J194" s="618"/>
      <c r="K194" s="618"/>
      <c r="L194" s="618"/>
      <c r="M194" s="618"/>
      <c r="N194" s="618"/>
      <c r="O194" s="618"/>
      <c r="P194" s="618"/>
      <c r="Q194" s="618"/>
      <c r="R194" s="618"/>
      <c r="S194" s="618"/>
      <c r="T194" s="618"/>
      <c r="U194" s="618"/>
      <c r="V194" s="618"/>
      <c r="W194" s="618"/>
      <c r="X194" s="618"/>
      <c r="Y194" s="618"/>
      <c r="Z194" s="618"/>
      <c r="AA194" s="618"/>
      <c r="AB194" s="618"/>
      <c r="AC194" s="618"/>
      <c r="AD194" s="618"/>
      <c r="AE194" s="618"/>
      <c r="AF194" s="618"/>
      <c r="AG194" s="618"/>
      <c r="AH194" s="618"/>
      <c r="AI194" s="618"/>
      <c r="AJ194" s="618"/>
      <c r="AK194" s="618"/>
      <c r="AL194" s="1"/>
    </row>
    <row r="195" spans="1:38" ht="14.25" customHeight="1" x14ac:dyDescent="0.45">
      <c r="A195" s="524"/>
      <c r="B195" s="7"/>
      <c r="C195" s="103"/>
      <c r="D195" s="193" t="s">
        <v>886</v>
      </c>
      <c r="E195" s="158"/>
      <c r="F195" s="158"/>
      <c r="G195" s="159"/>
      <c r="H195" s="524"/>
      <c r="I195" s="618"/>
      <c r="J195" s="618"/>
      <c r="K195" s="618"/>
      <c r="L195" s="618"/>
      <c r="M195" s="618"/>
      <c r="N195" s="618"/>
      <c r="O195" s="618"/>
      <c r="P195" s="618"/>
      <c r="Q195" s="618"/>
      <c r="R195" s="618"/>
      <c r="S195" s="618"/>
      <c r="T195" s="618"/>
      <c r="U195" s="618"/>
      <c r="V195" s="618"/>
      <c r="W195" s="618"/>
      <c r="X195" s="618"/>
      <c r="Y195" s="618"/>
      <c r="Z195" s="618"/>
      <c r="AA195" s="618"/>
      <c r="AB195" s="618"/>
      <c r="AC195" s="618"/>
      <c r="AD195" s="618"/>
      <c r="AE195" s="618"/>
      <c r="AF195" s="618"/>
      <c r="AG195" s="618"/>
      <c r="AH195" s="618"/>
      <c r="AI195" s="618"/>
      <c r="AJ195" s="618"/>
      <c r="AK195" s="618"/>
      <c r="AL195" s="1"/>
    </row>
    <row r="196" spans="1:38" ht="14.25" customHeight="1" x14ac:dyDescent="0.45">
      <c r="A196" s="524"/>
      <c r="B196" s="106"/>
      <c r="C196" s="107" t="s">
        <v>887</v>
      </c>
      <c r="D196" s="112">
        <v>2018</v>
      </c>
      <c r="E196" s="112">
        <v>2019</v>
      </c>
      <c r="F196" s="112">
        <v>2020</v>
      </c>
      <c r="G196" s="113">
        <v>2021</v>
      </c>
      <c r="H196" s="524"/>
      <c r="I196" s="618"/>
      <c r="J196" s="618"/>
      <c r="K196" s="618"/>
      <c r="L196" s="618"/>
      <c r="M196" s="618"/>
      <c r="N196" s="618"/>
      <c r="O196" s="618"/>
      <c r="P196" s="618"/>
      <c r="Q196" s="618"/>
      <c r="R196" s="618"/>
      <c r="S196" s="618"/>
      <c r="T196" s="618"/>
      <c r="U196" s="618"/>
      <c r="V196" s="618"/>
      <c r="W196" s="618"/>
      <c r="X196" s="618"/>
      <c r="Y196" s="618"/>
      <c r="Z196" s="618"/>
      <c r="AA196" s="618"/>
      <c r="AB196" s="618"/>
      <c r="AC196" s="618"/>
      <c r="AD196" s="618"/>
      <c r="AE196" s="618"/>
      <c r="AF196" s="618"/>
      <c r="AG196" s="618"/>
      <c r="AH196" s="618"/>
      <c r="AI196" s="618"/>
      <c r="AJ196" s="618"/>
      <c r="AK196" s="618"/>
      <c r="AL196" s="1"/>
    </row>
    <row r="197" spans="1:38" ht="14.25" customHeight="1" x14ac:dyDescent="0.45">
      <c r="A197" s="524"/>
      <c r="B197" s="106"/>
      <c r="C197" s="115" t="s">
        <v>888</v>
      </c>
      <c r="D197" s="116">
        <v>1046.5</v>
      </c>
      <c r="E197" s="116">
        <v>1136.7</v>
      </c>
      <c r="F197" s="116">
        <v>1064.5999999999999</v>
      </c>
      <c r="G197" s="117">
        <v>1024.5999999999999</v>
      </c>
      <c r="H197" s="524"/>
      <c r="I197" s="618"/>
      <c r="J197" s="618"/>
      <c r="K197" s="618"/>
      <c r="L197" s="618"/>
      <c r="M197" s="618"/>
      <c r="N197" s="618"/>
      <c r="O197" s="618"/>
      <c r="P197" s="618"/>
      <c r="Q197" s="618"/>
      <c r="R197" s="618"/>
      <c r="S197" s="618"/>
      <c r="T197" s="618"/>
      <c r="U197" s="618"/>
      <c r="V197" s="618"/>
      <c r="W197" s="618"/>
      <c r="X197" s="618"/>
      <c r="Y197" s="618"/>
      <c r="Z197" s="618"/>
      <c r="AA197" s="618"/>
      <c r="AB197" s="618"/>
      <c r="AC197" s="618"/>
      <c r="AD197" s="618"/>
      <c r="AE197" s="618"/>
      <c r="AF197" s="618"/>
      <c r="AG197" s="618"/>
      <c r="AH197" s="618"/>
      <c r="AI197" s="618"/>
      <c r="AJ197" s="618"/>
      <c r="AK197" s="618"/>
      <c r="AL197" s="1"/>
    </row>
    <row r="198" spans="1:38" ht="14.25" customHeight="1" x14ac:dyDescent="0.45">
      <c r="A198" s="524"/>
      <c r="B198" s="106"/>
      <c r="C198" s="115" t="s">
        <v>889</v>
      </c>
      <c r="D198" s="116" t="s">
        <v>221</v>
      </c>
      <c r="E198" s="116" t="s">
        <v>221</v>
      </c>
      <c r="F198" s="116" t="s">
        <v>221</v>
      </c>
      <c r="G198" s="117" t="s">
        <v>221</v>
      </c>
      <c r="H198" s="524"/>
      <c r="I198" s="618"/>
      <c r="J198" s="618"/>
      <c r="K198" s="618"/>
      <c r="L198" s="618"/>
      <c r="M198" s="618"/>
      <c r="N198" s="618"/>
      <c r="O198" s="618"/>
      <c r="P198" s="618"/>
      <c r="Q198" s="618"/>
      <c r="R198" s="618"/>
      <c r="S198" s="618"/>
      <c r="T198" s="618"/>
      <c r="U198" s="618"/>
      <c r="V198" s="618"/>
      <c r="W198" s="618"/>
      <c r="X198" s="618"/>
      <c r="Y198" s="618"/>
      <c r="Z198" s="618"/>
      <c r="AA198" s="618"/>
      <c r="AB198" s="618"/>
      <c r="AC198" s="618"/>
      <c r="AD198" s="618"/>
      <c r="AE198" s="618"/>
      <c r="AF198" s="618"/>
      <c r="AG198" s="618"/>
      <c r="AH198" s="618"/>
      <c r="AI198" s="618"/>
      <c r="AJ198" s="618"/>
      <c r="AK198" s="618"/>
      <c r="AL198" s="1"/>
    </row>
    <row r="199" spans="1:38" ht="14.25" customHeight="1" x14ac:dyDescent="0.45">
      <c r="A199" s="524"/>
      <c r="B199" s="106"/>
      <c r="C199" s="115" t="s">
        <v>890</v>
      </c>
      <c r="D199" s="116" t="s">
        <v>221</v>
      </c>
      <c r="E199" s="116" t="s">
        <v>221</v>
      </c>
      <c r="F199" s="116" t="s">
        <v>221</v>
      </c>
      <c r="G199" s="117" t="s">
        <v>221</v>
      </c>
      <c r="H199" s="524"/>
      <c r="I199" s="618"/>
      <c r="J199" s="618"/>
      <c r="K199" s="618"/>
      <c r="L199" s="618"/>
      <c r="M199" s="618"/>
      <c r="N199" s="618"/>
      <c r="O199" s="618"/>
      <c r="P199" s="618"/>
      <c r="Q199" s="618"/>
      <c r="R199" s="618"/>
      <c r="S199" s="618"/>
      <c r="T199" s="618"/>
      <c r="U199" s="618"/>
      <c r="V199" s="618"/>
      <c r="W199" s="618"/>
      <c r="X199" s="618"/>
      <c r="Y199" s="618"/>
      <c r="Z199" s="618"/>
      <c r="AA199" s="618"/>
      <c r="AB199" s="618"/>
      <c r="AC199" s="618"/>
      <c r="AD199" s="618"/>
      <c r="AE199" s="618"/>
      <c r="AF199" s="618"/>
      <c r="AG199" s="618"/>
      <c r="AH199" s="618"/>
      <c r="AI199" s="618"/>
      <c r="AJ199" s="618"/>
      <c r="AK199" s="618"/>
      <c r="AL199" s="1"/>
    </row>
    <row r="200" spans="1:38" ht="14.25" customHeight="1" x14ac:dyDescent="0.45">
      <c r="A200" s="524"/>
      <c r="B200" s="106"/>
      <c r="C200" s="115" t="s">
        <v>891</v>
      </c>
      <c r="D200" s="116">
        <v>134.80000000000001</v>
      </c>
      <c r="E200" s="116">
        <v>111</v>
      </c>
      <c r="F200" s="116">
        <v>113.8</v>
      </c>
      <c r="G200" s="117">
        <v>108.2</v>
      </c>
      <c r="H200" s="524"/>
      <c r="I200" s="618"/>
      <c r="J200" s="618"/>
      <c r="K200" s="618"/>
      <c r="L200" s="618"/>
      <c r="M200" s="618"/>
      <c r="N200" s="618"/>
      <c r="O200" s="618"/>
      <c r="P200" s="618"/>
      <c r="Q200" s="618"/>
      <c r="R200" s="618"/>
      <c r="S200" s="618"/>
      <c r="T200" s="618"/>
      <c r="U200" s="618"/>
      <c r="V200" s="618"/>
      <c r="W200" s="618"/>
      <c r="X200" s="618"/>
      <c r="Y200" s="618"/>
      <c r="Z200" s="618"/>
      <c r="AA200" s="618"/>
      <c r="AB200" s="618"/>
      <c r="AC200" s="618"/>
      <c r="AD200" s="618"/>
      <c r="AE200" s="618"/>
      <c r="AF200" s="618"/>
      <c r="AG200" s="618"/>
      <c r="AH200" s="618"/>
      <c r="AI200" s="618"/>
      <c r="AJ200" s="618"/>
      <c r="AK200" s="618"/>
      <c r="AL200" s="1"/>
    </row>
    <row r="201" spans="1:38" ht="14.25" customHeight="1" x14ac:dyDescent="0.45">
      <c r="A201" s="524"/>
      <c r="B201" s="106"/>
      <c r="C201" s="115" t="s">
        <v>874</v>
      </c>
      <c r="D201" s="116">
        <v>114.7</v>
      </c>
      <c r="E201" s="116">
        <v>127.2</v>
      </c>
      <c r="F201" s="116">
        <v>108.1</v>
      </c>
      <c r="G201" s="117">
        <v>121.5</v>
      </c>
      <c r="H201" s="524"/>
      <c r="I201" s="618"/>
      <c r="J201" s="618"/>
      <c r="K201" s="618"/>
      <c r="L201" s="618"/>
      <c r="M201" s="618"/>
      <c r="N201" s="618"/>
      <c r="O201" s="618"/>
      <c r="P201" s="618"/>
      <c r="Q201" s="618"/>
      <c r="R201" s="618"/>
      <c r="S201" s="618"/>
      <c r="T201" s="618"/>
      <c r="U201" s="618"/>
      <c r="V201" s="618"/>
      <c r="W201" s="618"/>
      <c r="X201" s="618"/>
      <c r="Y201" s="618"/>
      <c r="Z201" s="618"/>
      <c r="AA201" s="618"/>
      <c r="AB201" s="618"/>
      <c r="AC201" s="618"/>
      <c r="AD201" s="618"/>
      <c r="AE201" s="618"/>
      <c r="AF201" s="618"/>
      <c r="AG201" s="618"/>
      <c r="AH201" s="618"/>
      <c r="AI201" s="618"/>
      <c r="AJ201" s="618"/>
      <c r="AK201" s="618"/>
      <c r="AL201" s="1"/>
    </row>
    <row r="202" spans="1:38" ht="14.25" customHeight="1" x14ac:dyDescent="0.45">
      <c r="A202" s="524"/>
      <c r="B202" s="106"/>
      <c r="C202" s="115" t="s">
        <v>892</v>
      </c>
      <c r="D202" s="116">
        <v>21.4</v>
      </c>
      <c r="E202" s="116">
        <v>24.6</v>
      </c>
      <c r="F202" s="116">
        <v>22.3</v>
      </c>
      <c r="G202" s="117">
        <v>24.1</v>
      </c>
      <c r="H202" s="524"/>
      <c r="I202" s="618"/>
      <c r="J202" s="618"/>
      <c r="K202" s="618"/>
      <c r="L202" s="618"/>
      <c r="M202" s="618"/>
      <c r="N202" s="618"/>
      <c r="O202" s="618"/>
      <c r="P202" s="618"/>
      <c r="Q202" s="618"/>
      <c r="R202" s="618"/>
      <c r="S202" s="618"/>
      <c r="T202" s="618"/>
      <c r="U202" s="618"/>
      <c r="V202" s="618"/>
      <c r="W202" s="618"/>
      <c r="X202" s="618"/>
      <c r="Y202" s="618"/>
      <c r="Z202" s="618"/>
      <c r="AA202" s="618"/>
      <c r="AB202" s="618"/>
      <c r="AC202" s="618"/>
      <c r="AD202" s="618"/>
      <c r="AE202" s="618"/>
      <c r="AF202" s="618"/>
      <c r="AG202" s="618"/>
      <c r="AH202" s="618"/>
      <c r="AI202" s="618"/>
      <c r="AJ202" s="618"/>
      <c r="AK202" s="618"/>
      <c r="AL202" s="1"/>
    </row>
    <row r="203" spans="1:38" ht="14.25" customHeight="1" x14ac:dyDescent="0.45">
      <c r="A203" s="524"/>
      <c r="B203" s="106"/>
      <c r="C203" s="115" t="s">
        <v>875</v>
      </c>
      <c r="D203" s="116">
        <v>820.1</v>
      </c>
      <c r="E203" s="116">
        <v>839.8</v>
      </c>
      <c r="F203" s="116">
        <v>725</v>
      </c>
      <c r="G203" s="117">
        <v>758.4</v>
      </c>
      <c r="H203" s="524"/>
      <c r="I203" s="618"/>
      <c r="J203" s="618"/>
      <c r="K203" s="618"/>
      <c r="L203" s="618"/>
      <c r="M203" s="618"/>
      <c r="N203" s="618"/>
      <c r="O203" s="618"/>
      <c r="P203" s="618"/>
      <c r="Q203" s="618"/>
      <c r="R203" s="618"/>
      <c r="S203" s="618"/>
      <c r="T203" s="618"/>
      <c r="U203" s="618"/>
      <c r="V203" s="618"/>
      <c r="W203" s="618"/>
      <c r="X203" s="618"/>
      <c r="Y203" s="618"/>
      <c r="Z203" s="618"/>
      <c r="AA203" s="618"/>
      <c r="AB203" s="618"/>
      <c r="AC203" s="618"/>
      <c r="AD203" s="618"/>
      <c r="AE203" s="618"/>
      <c r="AF203" s="618"/>
      <c r="AG203" s="618"/>
      <c r="AH203" s="618"/>
      <c r="AI203" s="618"/>
      <c r="AJ203" s="618"/>
      <c r="AK203" s="618"/>
      <c r="AL203" s="1"/>
    </row>
    <row r="204" spans="1:38" ht="14.25" customHeight="1" x14ac:dyDescent="0.45">
      <c r="A204" s="524"/>
      <c r="B204" s="106"/>
      <c r="C204" s="115" t="s">
        <v>876</v>
      </c>
      <c r="D204" s="116">
        <v>1426.4</v>
      </c>
      <c r="E204" s="116">
        <v>1298.7</v>
      </c>
      <c r="F204" s="116">
        <v>1090.9000000000001</v>
      </c>
      <c r="G204" s="117">
        <v>1295.2</v>
      </c>
      <c r="H204" s="524"/>
      <c r="I204" s="618"/>
      <c r="J204" s="618"/>
      <c r="K204" s="618"/>
      <c r="L204" s="618"/>
      <c r="M204" s="618"/>
      <c r="N204" s="618"/>
      <c r="O204" s="618"/>
      <c r="P204" s="618"/>
      <c r="Q204" s="618"/>
      <c r="R204" s="618"/>
      <c r="S204" s="618"/>
      <c r="T204" s="618"/>
      <c r="U204" s="618"/>
      <c r="V204" s="618"/>
      <c r="W204" s="618"/>
      <c r="X204" s="618"/>
      <c r="Y204" s="618"/>
      <c r="Z204" s="618"/>
      <c r="AA204" s="618"/>
      <c r="AB204" s="618"/>
      <c r="AC204" s="618"/>
      <c r="AD204" s="618"/>
      <c r="AE204" s="618"/>
      <c r="AF204" s="618"/>
      <c r="AG204" s="618"/>
      <c r="AH204" s="618"/>
      <c r="AI204" s="618"/>
      <c r="AJ204" s="618"/>
      <c r="AK204" s="618"/>
      <c r="AL204" s="1"/>
    </row>
    <row r="205" spans="1:38" ht="14.25" customHeight="1" x14ac:dyDescent="0.45">
      <c r="A205" s="524"/>
      <c r="B205" s="106"/>
      <c r="C205" s="115" t="s">
        <v>893</v>
      </c>
      <c r="D205" s="116">
        <v>691.3</v>
      </c>
      <c r="E205" s="116">
        <v>667.3</v>
      </c>
      <c r="F205" s="116">
        <v>573.5</v>
      </c>
      <c r="G205" s="117">
        <v>612.20000000000005</v>
      </c>
      <c r="H205" s="524"/>
      <c r="I205" s="618"/>
      <c r="J205" s="618"/>
      <c r="K205" s="618"/>
      <c r="L205" s="618"/>
      <c r="M205" s="618"/>
      <c r="N205" s="618"/>
      <c r="O205" s="618"/>
      <c r="P205" s="618"/>
      <c r="Q205" s="618"/>
      <c r="R205" s="618"/>
      <c r="S205" s="618"/>
      <c r="T205" s="618"/>
      <c r="U205" s="618"/>
      <c r="V205" s="618"/>
      <c r="W205" s="618"/>
      <c r="X205" s="618"/>
      <c r="Y205" s="618"/>
      <c r="Z205" s="618"/>
      <c r="AA205" s="618"/>
      <c r="AB205" s="618"/>
      <c r="AC205" s="618"/>
      <c r="AD205" s="618"/>
      <c r="AE205" s="618"/>
      <c r="AF205" s="618"/>
      <c r="AG205" s="618"/>
      <c r="AH205" s="618"/>
      <c r="AI205" s="618"/>
      <c r="AJ205" s="618"/>
      <c r="AK205" s="618"/>
      <c r="AL205" s="1"/>
    </row>
    <row r="206" spans="1:38" ht="14.25" customHeight="1" x14ac:dyDescent="0.45">
      <c r="A206" s="524"/>
      <c r="B206" s="106"/>
      <c r="C206" s="115" t="s">
        <v>877</v>
      </c>
      <c r="D206" s="116" t="s">
        <v>221</v>
      </c>
      <c r="E206" s="116" t="s">
        <v>221</v>
      </c>
      <c r="F206" s="116" t="s">
        <v>221</v>
      </c>
      <c r="G206" s="117" t="s">
        <v>221</v>
      </c>
      <c r="H206" s="524"/>
      <c r="I206" s="618"/>
      <c r="J206" s="618"/>
      <c r="K206" s="618"/>
      <c r="L206" s="618"/>
      <c r="M206" s="618"/>
      <c r="N206" s="618"/>
      <c r="O206" s="618"/>
      <c r="P206" s="618"/>
      <c r="Q206" s="618"/>
      <c r="R206" s="618"/>
      <c r="S206" s="618"/>
      <c r="T206" s="618"/>
      <c r="U206" s="618"/>
      <c r="V206" s="618"/>
      <c r="W206" s="618"/>
      <c r="X206" s="618"/>
      <c r="Y206" s="618"/>
      <c r="Z206" s="618"/>
      <c r="AA206" s="618"/>
      <c r="AB206" s="618"/>
      <c r="AC206" s="618"/>
      <c r="AD206" s="618"/>
      <c r="AE206" s="618"/>
      <c r="AF206" s="618"/>
      <c r="AG206" s="618"/>
      <c r="AH206" s="618"/>
      <c r="AI206" s="618"/>
      <c r="AJ206" s="618"/>
      <c r="AK206" s="618"/>
      <c r="AL206" s="1"/>
    </row>
    <row r="207" spans="1:38" ht="14.25" customHeight="1" x14ac:dyDescent="0.45">
      <c r="A207" s="524"/>
      <c r="B207" s="106"/>
      <c r="C207" s="115" t="s">
        <v>136</v>
      </c>
      <c r="D207" s="116" t="s">
        <v>221</v>
      </c>
      <c r="E207" s="116" t="s">
        <v>221</v>
      </c>
      <c r="F207" s="116" t="s">
        <v>221</v>
      </c>
      <c r="G207" s="117" t="s">
        <v>221</v>
      </c>
      <c r="H207" s="524"/>
      <c r="I207" s="618"/>
      <c r="J207" s="618"/>
      <c r="K207" s="618"/>
      <c r="L207" s="618"/>
      <c r="M207" s="618"/>
      <c r="N207" s="618"/>
      <c r="O207" s="618"/>
      <c r="P207" s="618"/>
      <c r="Q207" s="618"/>
      <c r="R207" s="618"/>
      <c r="S207" s="618"/>
      <c r="T207" s="618"/>
      <c r="U207" s="618"/>
      <c r="V207" s="618"/>
      <c r="W207" s="618"/>
      <c r="X207" s="618"/>
      <c r="Y207" s="618"/>
      <c r="Z207" s="618"/>
      <c r="AA207" s="618"/>
      <c r="AB207" s="618"/>
      <c r="AC207" s="618"/>
      <c r="AD207" s="618"/>
      <c r="AE207" s="618"/>
      <c r="AF207" s="618"/>
      <c r="AG207" s="618"/>
      <c r="AH207" s="618"/>
      <c r="AI207" s="618"/>
      <c r="AJ207" s="618"/>
      <c r="AK207" s="618"/>
      <c r="AL207" s="1"/>
    </row>
    <row r="208" spans="1:38" ht="14.25" customHeight="1" x14ac:dyDescent="0.45">
      <c r="A208" s="524"/>
      <c r="B208" s="106"/>
      <c r="C208" s="115" t="s">
        <v>116</v>
      </c>
      <c r="D208" s="116" t="s">
        <v>221</v>
      </c>
      <c r="E208" s="116" t="s">
        <v>221</v>
      </c>
      <c r="F208" s="116" t="s">
        <v>221</v>
      </c>
      <c r="G208" s="117" t="s">
        <v>221</v>
      </c>
      <c r="H208" s="524"/>
      <c r="I208" s="618"/>
      <c r="J208" s="618"/>
      <c r="K208" s="618"/>
      <c r="L208" s="618"/>
      <c r="M208" s="618"/>
      <c r="N208" s="618"/>
      <c r="O208" s="618"/>
      <c r="P208" s="618"/>
      <c r="Q208" s="618"/>
      <c r="R208" s="618"/>
      <c r="S208" s="618"/>
      <c r="T208" s="618"/>
      <c r="U208" s="618"/>
      <c r="V208" s="618"/>
      <c r="W208" s="618"/>
      <c r="X208" s="618"/>
      <c r="Y208" s="618"/>
      <c r="Z208" s="618"/>
      <c r="AA208" s="618"/>
      <c r="AB208" s="618"/>
      <c r="AC208" s="618"/>
      <c r="AD208" s="618"/>
      <c r="AE208" s="618"/>
      <c r="AF208" s="618"/>
      <c r="AG208" s="618"/>
      <c r="AH208" s="618"/>
      <c r="AI208" s="618"/>
      <c r="AJ208" s="618"/>
      <c r="AK208" s="618"/>
      <c r="AL208" s="1"/>
    </row>
    <row r="209" spans="1:38" ht="14.25" customHeight="1" x14ac:dyDescent="0.45">
      <c r="A209" s="524"/>
      <c r="B209" s="106"/>
      <c r="C209" s="115" t="s">
        <v>59</v>
      </c>
      <c r="D209" s="439">
        <f>SUM(D197:D208)</f>
        <v>4255.2</v>
      </c>
      <c r="E209" s="439">
        <f>SUM(E197:E208)</f>
        <v>4205.3</v>
      </c>
      <c r="F209" s="439">
        <f>SUM(F197:F208)</f>
        <v>3698.2</v>
      </c>
      <c r="G209" s="523">
        <f>SUM(G197:G208)</f>
        <v>3944.2</v>
      </c>
      <c r="H209" s="524"/>
      <c r="I209" s="618"/>
      <c r="J209" s="618"/>
      <c r="K209" s="618"/>
      <c r="L209" s="618"/>
      <c r="M209" s="618"/>
      <c r="N209" s="618"/>
      <c r="O209" s="618"/>
      <c r="P209" s="618"/>
      <c r="Q209" s="618"/>
      <c r="R209" s="618"/>
      <c r="S209" s="618"/>
      <c r="T209" s="618"/>
      <c r="U209" s="618"/>
      <c r="V209" s="618"/>
      <c r="W209" s="618"/>
      <c r="X209" s="618"/>
      <c r="Y209" s="618"/>
      <c r="Z209" s="618"/>
      <c r="AA209" s="618"/>
      <c r="AB209" s="618"/>
      <c r="AC209" s="618"/>
      <c r="AD209" s="618"/>
      <c r="AE209" s="618"/>
      <c r="AF209" s="618"/>
      <c r="AG209" s="618"/>
      <c r="AH209" s="618"/>
      <c r="AI209" s="618"/>
      <c r="AJ209" s="618"/>
      <c r="AK209" s="618"/>
      <c r="AL209" s="1"/>
    </row>
    <row r="210" spans="1:38" ht="14.25" customHeight="1" x14ac:dyDescent="0.45">
      <c r="A210" s="524"/>
      <c r="B210" s="118"/>
      <c r="C210" s="181"/>
      <c r="D210" s="191"/>
      <c r="E210" s="191"/>
      <c r="F210" s="191"/>
      <c r="G210" s="192"/>
      <c r="H210" s="524"/>
      <c r="I210" s="618"/>
      <c r="J210" s="618"/>
      <c r="K210" s="618"/>
      <c r="L210" s="618"/>
      <c r="M210" s="618"/>
      <c r="N210" s="618"/>
      <c r="O210" s="618"/>
      <c r="P210" s="618"/>
      <c r="Q210" s="618"/>
      <c r="R210" s="618"/>
      <c r="S210" s="618"/>
      <c r="T210" s="618"/>
      <c r="U210" s="618"/>
      <c r="V210" s="618"/>
      <c r="W210" s="618"/>
      <c r="X210" s="618"/>
      <c r="Y210" s="618"/>
      <c r="Z210" s="618"/>
      <c r="AA210" s="618"/>
      <c r="AB210" s="618"/>
      <c r="AC210" s="618"/>
      <c r="AD210" s="618"/>
      <c r="AE210" s="618"/>
      <c r="AF210" s="618"/>
      <c r="AG210" s="618"/>
      <c r="AH210" s="618"/>
      <c r="AI210" s="618"/>
      <c r="AJ210" s="618"/>
      <c r="AK210" s="618"/>
      <c r="AL210" s="1"/>
    </row>
    <row r="211" spans="1:38" ht="14.25" customHeight="1" x14ac:dyDescent="0.45">
      <c r="A211" s="618"/>
      <c r="B211" s="524"/>
      <c r="C211" s="515"/>
      <c r="D211" s="524"/>
      <c r="E211" s="524"/>
      <c r="F211" s="524"/>
      <c r="G211" s="524"/>
      <c r="H211" s="618"/>
      <c r="I211" s="618"/>
      <c r="J211" s="618"/>
      <c r="K211" s="618"/>
      <c r="L211" s="618"/>
      <c r="M211" s="618"/>
      <c r="N211" s="618"/>
      <c r="O211" s="618"/>
      <c r="P211" s="618"/>
      <c r="Q211" s="618"/>
      <c r="R211" s="618"/>
      <c r="S211" s="618"/>
      <c r="T211" s="618"/>
      <c r="U211" s="618"/>
      <c r="V211" s="618"/>
      <c r="W211" s="618"/>
      <c r="X211" s="618"/>
      <c r="Y211" s="618"/>
      <c r="Z211" s="618"/>
      <c r="AA211" s="618"/>
      <c r="AB211" s="618"/>
      <c r="AC211" s="618"/>
      <c r="AD211" s="618"/>
      <c r="AE211" s="618"/>
      <c r="AF211" s="618"/>
      <c r="AG211" s="618"/>
      <c r="AH211" s="618"/>
      <c r="AI211" s="618"/>
      <c r="AJ211" s="618"/>
      <c r="AK211" s="618"/>
      <c r="AL211" s="1"/>
    </row>
    <row r="212" spans="1:38" ht="14.25" customHeight="1" x14ac:dyDescent="0.45">
      <c r="A212" s="618"/>
      <c r="B212" s="618"/>
      <c r="C212" s="5"/>
      <c r="D212" s="618"/>
      <c r="E212" s="618"/>
      <c r="F212" s="618"/>
      <c r="G212" s="618"/>
      <c r="H212" s="618"/>
      <c r="I212" s="618"/>
      <c r="J212" s="618"/>
      <c r="K212" s="618"/>
      <c r="L212" s="618"/>
      <c r="M212" s="618"/>
      <c r="N212" s="618"/>
      <c r="O212" s="618"/>
      <c r="P212" s="618"/>
      <c r="Q212" s="618"/>
      <c r="R212" s="618"/>
      <c r="S212" s="618"/>
      <c r="T212" s="618"/>
      <c r="U212" s="618"/>
      <c r="V212" s="618"/>
      <c r="W212" s="618"/>
      <c r="X212" s="618"/>
      <c r="Y212" s="618"/>
      <c r="Z212" s="618"/>
      <c r="AA212" s="618"/>
      <c r="AB212" s="618"/>
      <c r="AC212" s="618"/>
      <c r="AD212" s="618"/>
      <c r="AE212" s="618"/>
      <c r="AF212" s="618"/>
      <c r="AG212" s="618"/>
      <c r="AH212" s="618"/>
      <c r="AI212" s="618"/>
      <c r="AJ212" s="618"/>
      <c r="AK212" s="618"/>
      <c r="AL212" s="1"/>
    </row>
    <row r="213" spans="1:38" ht="14.25" customHeight="1" x14ac:dyDescent="0.45">
      <c r="A213" s="618"/>
      <c r="B213" s="618"/>
      <c r="C213" s="5"/>
      <c r="D213" s="618"/>
      <c r="E213" s="618"/>
      <c r="F213" s="618"/>
      <c r="G213" s="618"/>
      <c r="H213" s="618"/>
      <c r="I213" s="618"/>
      <c r="J213" s="618"/>
      <c r="K213" s="618"/>
      <c r="L213" s="618"/>
      <c r="M213" s="618"/>
      <c r="N213" s="618"/>
      <c r="O213" s="618"/>
      <c r="P213" s="618"/>
      <c r="Q213" s="618"/>
      <c r="R213" s="618"/>
      <c r="S213" s="618"/>
      <c r="T213" s="618"/>
      <c r="U213" s="618"/>
      <c r="V213" s="618"/>
      <c r="W213" s="618"/>
      <c r="X213" s="618"/>
      <c r="Y213" s="618"/>
      <c r="Z213" s="618"/>
      <c r="AA213" s="618"/>
      <c r="AB213" s="618"/>
      <c r="AC213" s="618"/>
      <c r="AD213" s="618"/>
      <c r="AE213" s="618"/>
      <c r="AF213" s="618"/>
      <c r="AG213" s="618"/>
      <c r="AH213" s="618"/>
      <c r="AI213" s="618"/>
      <c r="AJ213" s="618"/>
      <c r="AK213" s="618"/>
      <c r="AL213" s="1"/>
    </row>
    <row r="214" spans="1:38" ht="14.25" customHeight="1" x14ac:dyDescent="0.45">
      <c r="A214" s="618"/>
      <c r="B214" s="618"/>
      <c r="C214" s="5"/>
      <c r="D214" s="618"/>
      <c r="E214" s="618"/>
      <c r="F214" s="618"/>
      <c r="G214" s="618"/>
      <c r="H214" s="618"/>
      <c r="I214" s="618"/>
      <c r="J214" s="618"/>
      <c r="K214" s="618"/>
      <c r="L214" s="618"/>
      <c r="M214" s="618"/>
      <c r="N214" s="618"/>
      <c r="O214" s="618"/>
      <c r="P214" s="618"/>
      <c r="Q214" s="618"/>
      <c r="R214" s="618"/>
      <c r="S214" s="618"/>
      <c r="T214" s="618"/>
      <c r="U214" s="618"/>
      <c r="V214" s="618"/>
      <c r="W214" s="618"/>
      <c r="X214" s="618"/>
      <c r="Y214" s="618"/>
      <c r="Z214" s="618"/>
      <c r="AA214" s="618"/>
      <c r="AB214" s="618"/>
      <c r="AC214" s="618"/>
      <c r="AD214" s="618"/>
      <c r="AE214" s="618"/>
      <c r="AF214" s="618"/>
      <c r="AG214" s="618"/>
      <c r="AH214" s="618"/>
      <c r="AI214" s="618"/>
      <c r="AJ214" s="618"/>
      <c r="AK214" s="618"/>
      <c r="AL214" s="1"/>
    </row>
    <row r="215" spans="1:38" ht="14.25" customHeight="1" x14ac:dyDescent="0.45">
      <c r="A215" s="618"/>
      <c r="B215" s="618"/>
      <c r="C215" s="5"/>
      <c r="D215" s="618"/>
      <c r="E215" s="618"/>
      <c r="F215" s="618"/>
      <c r="G215" s="618"/>
      <c r="H215" s="618"/>
      <c r="I215" s="618"/>
      <c r="J215" s="618"/>
      <c r="K215" s="618"/>
      <c r="L215" s="618"/>
      <c r="M215" s="618"/>
      <c r="N215" s="618"/>
      <c r="O215" s="618"/>
      <c r="P215" s="618"/>
      <c r="Q215" s="618"/>
      <c r="R215" s="618"/>
      <c r="S215" s="618"/>
      <c r="T215" s="618"/>
      <c r="U215" s="618"/>
      <c r="V215" s="618"/>
      <c r="W215" s="618"/>
      <c r="X215" s="618"/>
      <c r="Y215" s="618"/>
      <c r="Z215" s="618"/>
      <c r="AA215" s="618"/>
      <c r="AB215" s="618"/>
      <c r="AC215" s="618"/>
      <c r="AD215" s="618"/>
      <c r="AE215" s="618"/>
      <c r="AF215" s="618"/>
      <c r="AG215" s="618"/>
      <c r="AH215" s="618"/>
      <c r="AI215" s="618"/>
      <c r="AJ215" s="618"/>
      <c r="AK215" s="618"/>
      <c r="AL215" s="1"/>
    </row>
    <row r="216" spans="1:38" ht="14.25" customHeight="1" x14ac:dyDescent="0.45">
      <c r="A216" s="618"/>
      <c r="B216" s="618"/>
      <c r="C216" s="5"/>
      <c r="D216" s="618"/>
      <c r="E216" s="618"/>
      <c r="F216" s="618"/>
      <c r="G216" s="618"/>
      <c r="H216" s="618"/>
      <c r="I216" s="618"/>
      <c r="J216" s="618"/>
      <c r="K216" s="618"/>
      <c r="L216" s="618"/>
      <c r="M216" s="618"/>
      <c r="N216" s="618"/>
      <c r="O216" s="618"/>
      <c r="P216" s="618"/>
      <c r="Q216" s="618"/>
      <c r="R216" s="618"/>
      <c r="S216" s="618"/>
      <c r="T216" s="618"/>
      <c r="U216" s="618"/>
      <c r="V216" s="618"/>
      <c r="W216" s="618"/>
      <c r="X216" s="618"/>
      <c r="Y216" s="618"/>
      <c r="Z216" s="618"/>
      <c r="AA216" s="618"/>
      <c r="AB216" s="618"/>
      <c r="AC216" s="618"/>
      <c r="AD216" s="618"/>
      <c r="AE216" s="618"/>
      <c r="AF216" s="618"/>
      <c r="AG216" s="618"/>
      <c r="AH216" s="618"/>
      <c r="AI216" s="618"/>
      <c r="AJ216" s="618"/>
      <c r="AK216" s="618"/>
      <c r="AL216" s="1"/>
    </row>
    <row r="217" spans="1:38" ht="14.25" customHeight="1" x14ac:dyDescent="0.45">
      <c r="A217" s="618"/>
      <c r="B217" s="618"/>
      <c r="C217" s="5"/>
      <c r="D217" s="618"/>
      <c r="E217" s="618"/>
      <c r="F217" s="618"/>
      <c r="G217" s="618"/>
      <c r="H217" s="618"/>
      <c r="I217" s="618"/>
      <c r="J217" s="618"/>
      <c r="K217" s="618"/>
      <c r="L217" s="618"/>
      <c r="M217" s="618"/>
      <c r="N217" s="618"/>
      <c r="O217" s="618"/>
      <c r="P217" s="618"/>
      <c r="Q217" s="618"/>
      <c r="R217" s="618"/>
      <c r="S217" s="618"/>
      <c r="T217" s="618"/>
      <c r="U217" s="618"/>
      <c r="V217" s="618"/>
      <c r="W217" s="618"/>
      <c r="X217" s="618"/>
      <c r="Y217" s="618"/>
      <c r="Z217" s="618"/>
      <c r="AA217" s="618"/>
      <c r="AB217" s="618"/>
      <c r="AC217" s="618"/>
      <c r="AD217" s="618"/>
      <c r="AE217" s="618"/>
      <c r="AF217" s="618"/>
      <c r="AG217" s="618"/>
      <c r="AH217" s="618"/>
      <c r="AI217" s="618"/>
      <c r="AJ217" s="618"/>
      <c r="AK217" s="618"/>
      <c r="AL217" s="1"/>
    </row>
    <row r="218" spans="1:38" ht="14.25" customHeight="1" x14ac:dyDescent="0.45">
      <c r="A218" s="618"/>
      <c r="B218" s="618"/>
      <c r="C218" s="5"/>
      <c r="D218" s="618"/>
      <c r="E218" s="618"/>
      <c r="F218" s="618"/>
      <c r="G218" s="618"/>
      <c r="H218" s="618"/>
      <c r="I218" s="618"/>
      <c r="J218" s="618"/>
      <c r="K218" s="618"/>
      <c r="L218" s="618"/>
      <c r="M218" s="618"/>
      <c r="N218" s="618"/>
      <c r="O218" s="618"/>
      <c r="P218" s="618"/>
      <c r="Q218" s="618"/>
      <c r="R218" s="618"/>
      <c r="S218" s="618"/>
      <c r="T218" s="618"/>
      <c r="U218" s="618"/>
      <c r="V218" s="618"/>
      <c r="W218" s="618"/>
      <c r="X218" s="618"/>
      <c r="Y218" s="618"/>
      <c r="Z218" s="618"/>
      <c r="AA218" s="618"/>
      <c r="AB218" s="618"/>
      <c r="AC218" s="618"/>
      <c r="AD218" s="618"/>
      <c r="AE218" s="618"/>
      <c r="AF218" s="618"/>
      <c r="AG218" s="618"/>
      <c r="AH218" s="618"/>
      <c r="AI218" s="618"/>
      <c r="AJ218" s="618"/>
      <c r="AK218" s="618"/>
      <c r="AL218" s="1"/>
    </row>
    <row r="219" spans="1:38" ht="14.25" customHeight="1" x14ac:dyDescent="0.45">
      <c r="A219" s="618"/>
      <c r="B219" s="618"/>
      <c r="C219" s="5"/>
      <c r="D219" s="618"/>
      <c r="E219" s="618"/>
      <c r="F219" s="618"/>
      <c r="G219" s="618"/>
      <c r="H219" s="618"/>
      <c r="I219" s="618"/>
      <c r="J219" s="618"/>
      <c r="K219" s="618"/>
      <c r="L219" s="618"/>
      <c r="M219" s="618"/>
      <c r="N219" s="618"/>
      <c r="O219" s="618"/>
      <c r="P219" s="618"/>
      <c r="Q219" s="618"/>
      <c r="R219" s="618"/>
      <c r="S219" s="618"/>
      <c r="T219" s="618"/>
      <c r="U219" s="618"/>
      <c r="V219" s="618"/>
      <c r="W219" s="618"/>
      <c r="X219" s="618"/>
      <c r="Y219" s="618"/>
      <c r="Z219" s="618"/>
      <c r="AA219" s="618"/>
      <c r="AB219" s="618"/>
      <c r="AC219" s="618"/>
      <c r="AD219" s="618"/>
      <c r="AE219" s="618"/>
      <c r="AF219" s="618"/>
      <c r="AG219" s="618"/>
      <c r="AH219" s="618"/>
      <c r="AI219" s="618"/>
      <c r="AJ219" s="618"/>
      <c r="AK219" s="618"/>
      <c r="AL219" s="1"/>
    </row>
    <row r="220" spans="1:38" ht="14.25" customHeight="1" x14ac:dyDescent="0.45">
      <c r="A220" s="618"/>
      <c r="B220" s="618"/>
      <c r="C220" s="5"/>
      <c r="D220" s="618"/>
      <c r="E220" s="618"/>
      <c r="F220" s="618"/>
      <c r="G220" s="618"/>
      <c r="H220" s="618"/>
      <c r="I220" s="618"/>
      <c r="J220" s="618"/>
      <c r="K220" s="618"/>
      <c r="L220" s="618"/>
      <c r="M220" s="618"/>
      <c r="N220" s="618"/>
      <c r="O220" s="618"/>
      <c r="P220" s="618"/>
      <c r="Q220" s="618"/>
      <c r="R220" s="618"/>
      <c r="S220" s="618"/>
      <c r="T220" s="618"/>
      <c r="U220" s="618"/>
      <c r="V220" s="618"/>
      <c r="W220" s="618"/>
      <c r="X220" s="618"/>
      <c r="Y220" s="618"/>
      <c r="Z220" s="618"/>
      <c r="AA220" s="618"/>
      <c r="AB220" s="618"/>
      <c r="AC220" s="618"/>
      <c r="AD220" s="618"/>
      <c r="AE220" s="618"/>
      <c r="AF220" s="618"/>
      <c r="AG220" s="618"/>
      <c r="AH220" s="618"/>
      <c r="AI220" s="618"/>
      <c r="AJ220" s="618"/>
      <c r="AK220" s="618"/>
      <c r="AL220" s="1"/>
    </row>
    <row r="221" spans="1:38" ht="14.25" customHeight="1" x14ac:dyDescent="0.45">
      <c r="A221" s="618"/>
      <c r="B221" s="618"/>
      <c r="C221" s="5"/>
      <c r="D221" s="618"/>
      <c r="E221" s="618"/>
      <c r="F221" s="618"/>
      <c r="G221" s="618"/>
      <c r="H221" s="618"/>
      <c r="I221" s="618"/>
      <c r="J221" s="618"/>
      <c r="K221" s="618"/>
      <c r="L221" s="618"/>
      <c r="M221" s="618"/>
      <c r="N221" s="618"/>
      <c r="O221" s="618"/>
      <c r="P221" s="618"/>
      <c r="Q221" s="618"/>
      <c r="R221" s="618"/>
      <c r="S221" s="618"/>
      <c r="T221" s="618"/>
      <c r="U221" s="618"/>
      <c r="V221" s="618"/>
      <c r="W221" s="618"/>
      <c r="X221" s="618"/>
      <c r="Y221" s="618"/>
      <c r="Z221" s="618"/>
      <c r="AA221" s="618"/>
      <c r="AB221" s="618"/>
      <c r="AC221" s="618"/>
      <c r="AD221" s="618"/>
      <c r="AE221" s="618"/>
      <c r="AF221" s="618"/>
      <c r="AG221" s="618"/>
      <c r="AH221" s="618"/>
      <c r="AI221" s="618"/>
      <c r="AJ221" s="618"/>
      <c r="AK221" s="618"/>
      <c r="AL221" s="1"/>
    </row>
    <row r="222" spans="1:38" ht="14.25" customHeight="1" x14ac:dyDescent="0.45">
      <c r="A222" s="618"/>
      <c r="B222" s="618"/>
      <c r="C222" s="5"/>
      <c r="D222" s="618"/>
      <c r="E222" s="618"/>
      <c r="F222" s="618"/>
      <c r="G222" s="618"/>
      <c r="H222" s="618"/>
      <c r="I222" s="618"/>
      <c r="J222" s="618"/>
      <c r="K222" s="618"/>
      <c r="L222" s="618"/>
      <c r="M222" s="618"/>
      <c r="N222" s="618"/>
      <c r="O222" s="618"/>
      <c r="P222" s="618"/>
      <c r="Q222" s="618"/>
      <c r="R222" s="618"/>
      <c r="S222" s="618"/>
      <c r="T222" s="618"/>
      <c r="U222" s="618"/>
      <c r="V222" s="618"/>
      <c r="W222" s="618"/>
      <c r="X222" s="618"/>
      <c r="Y222" s="618"/>
      <c r="Z222" s="618"/>
      <c r="AA222" s="618"/>
      <c r="AB222" s="618"/>
      <c r="AC222" s="618"/>
      <c r="AD222" s="618"/>
      <c r="AE222" s="618"/>
      <c r="AF222" s="618"/>
      <c r="AG222" s="618"/>
      <c r="AH222" s="618"/>
      <c r="AI222" s="618"/>
      <c r="AJ222" s="618"/>
      <c r="AK222" s="618"/>
      <c r="AL222" s="1"/>
    </row>
    <row r="223" spans="1:38" ht="14.25" customHeight="1" x14ac:dyDescent="0.45">
      <c r="A223" s="618"/>
      <c r="B223" s="618"/>
      <c r="C223" s="5"/>
      <c r="D223" s="618"/>
      <c r="E223" s="618"/>
      <c r="F223" s="618"/>
      <c r="G223" s="618"/>
      <c r="H223" s="618"/>
      <c r="I223" s="618"/>
      <c r="J223" s="618"/>
      <c r="K223" s="618"/>
      <c r="L223" s="618"/>
      <c r="M223" s="618"/>
      <c r="N223" s="618"/>
      <c r="O223" s="618"/>
      <c r="P223" s="618"/>
      <c r="Q223" s="618"/>
      <c r="R223" s="618"/>
      <c r="S223" s="618"/>
      <c r="T223" s="618"/>
      <c r="U223" s="618"/>
      <c r="V223" s="618"/>
      <c r="W223" s="618"/>
      <c r="X223" s="618"/>
      <c r="Y223" s="618"/>
      <c r="Z223" s="618"/>
      <c r="AA223" s="618"/>
      <c r="AB223" s="618"/>
      <c r="AC223" s="618"/>
      <c r="AD223" s="618"/>
      <c r="AE223" s="618"/>
      <c r="AF223" s="618"/>
      <c r="AG223" s="618"/>
      <c r="AH223" s="618"/>
      <c r="AI223" s="618"/>
      <c r="AJ223" s="618"/>
      <c r="AK223" s="618"/>
      <c r="AL223" s="1"/>
    </row>
    <row r="224" spans="1:38" ht="14.25" customHeight="1" x14ac:dyDescent="0.45">
      <c r="A224" s="618"/>
      <c r="B224" s="618"/>
      <c r="C224" s="5"/>
      <c r="D224" s="618"/>
      <c r="E224" s="618"/>
      <c r="F224" s="618"/>
      <c r="G224" s="618"/>
      <c r="H224" s="618"/>
      <c r="I224" s="618"/>
      <c r="J224" s="618"/>
      <c r="K224" s="618"/>
      <c r="L224" s="618"/>
      <c r="M224" s="618"/>
      <c r="N224" s="618"/>
      <c r="O224" s="618"/>
      <c r="P224" s="618"/>
      <c r="Q224" s="618"/>
      <c r="R224" s="618"/>
      <c r="S224" s="618"/>
      <c r="T224" s="618"/>
      <c r="U224" s="618"/>
      <c r="V224" s="618"/>
      <c r="W224" s="618"/>
      <c r="X224" s="618"/>
      <c r="Y224" s="618"/>
      <c r="Z224" s="618"/>
      <c r="AA224" s="618"/>
      <c r="AB224" s="618"/>
      <c r="AC224" s="618"/>
      <c r="AD224" s="618"/>
      <c r="AE224" s="618"/>
      <c r="AF224" s="618"/>
      <c r="AG224" s="618"/>
      <c r="AH224" s="618"/>
      <c r="AI224" s="618"/>
      <c r="AJ224" s="618"/>
      <c r="AK224" s="618"/>
      <c r="AL224" s="1"/>
    </row>
    <row r="225" spans="1:38" ht="14.25" customHeight="1" x14ac:dyDescent="0.45">
      <c r="A225" s="618"/>
      <c r="B225" s="618"/>
      <c r="C225" s="5"/>
      <c r="D225" s="618"/>
      <c r="E225" s="618"/>
      <c r="F225" s="618"/>
      <c r="G225" s="618"/>
      <c r="H225" s="618"/>
      <c r="I225" s="618"/>
      <c r="J225" s="618"/>
      <c r="K225" s="618"/>
      <c r="L225" s="618"/>
      <c r="M225" s="618"/>
      <c r="N225" s="618"/>
      <c r="O225" s="618"/>
      <c r="P225" s="618"/>
      <c r="Q225" s="618"/>
      <c r="R225" s="618"/>
      <c r="S225" s="618"/>
      <c r="T225" s="618"/>
      <c r="U225" s="618"/>
      <c r="V225" s="618"/>
      <c r="W225" s="618"/>
      <c r="X225" s="618"/>
      <c r="Y225" s="618"/>
      <c r="Z225" s="618"/>
      <c r="AA225" s="618"/>
      <c r="AB225" s="618"/>
      <c r="AC225" s="618"/>
      <c r="AD225" s="618"/>
      <c r="AE225" s="618"/>
      <c r="AF225" s="618"/>
      <c r="AG225" s="618"/>
      <c r="AH225" s="618"/>
      <c r="AI225" s="618"/>
      <c r="AJ225" s="618"/>
      <c r="AK225" s="618"/>
      <c r="AL225" s="1"/>
    </row>
    <row r="226" spans="1:38" ht="14.25" customHeight="1" x14ac:dyDescent="0.45">
      <c r="A226" s="618"/>
      <c r="B226" s="618"/>
      <c r="C226" s="5"/>
      <c r="D226" s="618"/>
      <c r="E226" s="618"/>
      <c r="F226" s="618"/>
      <c r="G226" s="618"/>
      <c r="H226" s="618"/>
      <c r="I226" s="618"/>
      <c r="J226" s="618"/>
      <c r="K226" s="618"/>
      <c r="L226" s="618"/>
      <c r="M226" s="618"/>
      <c r="N226" s="618"/>
      <c r="O226" s="618"/>
      <c r="P226" s="618"/>
      <c r="Q226" s="618"/>
      <c r="R226" s="618"/>
      <c r="S226" s="618"/>
      <c r="T226" s="618"/>
      <c r="U226" s="618"/>
      <c r="V226" s="618"/>
      <c r="W226" s="618"/>
      <c r="X226" s="618"/>
      <c r="Y226" s="618"/>
      <c r="Z226" s="618"/>
      <c r="AA226" s="618"/>
      <c r="AB226" s="618"/>
      <c r="AC226" s="618"/>
      <c r="AD226" s="618"/>
      <c r="AE226" s="618"/>
      <c r="AF226" s="618"/>
      <c r="AG226" s="618"/>
      <c r="AH226" s="618"/>
      <c r="AI226" s="618"/>
      <c r="AJ226" s="618"/>
      <c r="AK226" s="618"/>
      <c r="AL226" s="1"/>
    </row>
    <row r="227" spans="1:38" ht="14.25" customHeight="1" x14ac:dyDescent="0.45">
      <c r="A227" s="618"/>
      <c r="B227" s="618"/>
      <c r="C227" s="5"/>
      <c r="D227" s="618"/>
      <c r="E227" s="618"/>
      <c r="F227" s="618"/>
      <c r="G227" s="618"/>
      <c r="H227" s="618"/>
      <c r="I227" s="618"/>
      <c r="J227" s="618"/>
      <c r="K227" s="618"/>
      <c r="L227" s="618"/>
      <c r="M227" s="618"/>
      <c r="N227" s="618"/>
      <c r="O227" s="618"/>
      <c r="P227" s="618"/>
      <c r="Q227" s="618"/>
      <c r="R227" s="618"/>
      <c r="S227" s="618"/>
      <c r="T227" s="618"/>
      <c r="U227" s="618"/>
      <c r="V227" s="618"/>
      <c r="W227" s="618"/>
      <c r="X227" s="618"/>
      <c r="Y227" s="618"/>
      <c r="Z227" s="618"/>
      <c r="AA227" s="618"/>
      <c r="AB227" s="618"/>
      <c r="AC227" s="618"/>
      <c r="AD227" s="618"/>
      <c r="AE227" s="618"/>
      <c r="AF227" s="618"/>
      <c r="AG227" s="618"/>
      <c r="AH227" s="618"/>
      <c r="AI227" s="618"/>
      <c r="AJ227" s="618"/>
      <c r="AK227" s="618"/>
      <c r="AL227" s="1"/>
    </row>
    <row r="228" spans="1:38" ht="14.25" customHeight="1" x14ac:dyDescent="0.45">
      <c r="A228" s="618"/>
      <c r="B228" s="618"/>
      <c r="C228" s="5"/>
      <c r="D228" s="618"/>
      <c r="E228" s="618"/>
      <c r="F228" s="618"/>
      <c r="G228" s="618"/>
      <c r="H228" s="618"/>
      <c r="I228" s="618"/>
      <c r="J228" s="618"/>
      <c r="K228" s="618"/>
      <c r="L228" s="618"/>
      <c r="M228" s="618"/>
      <c r="N228" s="618"/>
      <c r="O228" s="618"/>
      <c r="P228" s="618"/>
      <c r="Q228" s="618"/>
      <c r="R228" s="618"/>
      <c r="S228" s="618"/>
      <c r="T228" s="618"/>
      <c r="U228" s="618"/>
      <c r="V228" s="618"/>
      <c r="W228" s="618"/>
      <c r="X228" s="618"/>
      <c r="Y228" s="618"/>
      <c r="Z228" s="618"/>
      <c r="AA228" s="618"/>
      <c r="AB228" s="618"/>
      <c r="AC228" s="618"/>
      <c r="AD228" s="618"/>
      <c r="AE228" s="618"/>
      <c r="AF228" s="618"/>
      <c r="AG228" s="618"/>
      <c r="AH228" s="618"/>
      <c r="AI228" s="618"/>
      <c r="AJ228" s="618"/>
      <c r="AK228" s="618"/>
      <c r="AL228" s="1"/>
    </row>
    <row r="229" spans="1:38" ht="14.25" customHeight="1" x14ac:dyDescent="0.45">
      <c r="A229" s="618"/>
      <c r="B229" s="618"/>
      <c r="C229" s="5"/>
      <c r="D229" s="618"/>
      <c r="E229" s="618"/>
      <c r="F229" s="618"/>
      <c r="G229" s="618"/>
      <c r="H229" s="618"/>
      <c r="I229" s="618"/>
      <c r="J229" s="618"/>
      <c r="K229" s="618"/>
      <c r="L229" s="618"/>
      <c r="M229" s="618"/>
      <c r="N229" s="618"/>
      <c r="O229" s="618"/>
      <c r="P229" s="618"/>
      <c r="Q229" s="618"/>
      <c r="R229" s="618"/>
      <c r="S229" s="618"/>
      <c r="T229" s="618"/>
      <c r="U229" s="618"/>
      <c r="V229" s="618"/>
      <c r="W229" s="618"/>
      <c r="X229" s="618"/>
      <c r="Y229" s="618"/>
      <c r="Z229" s="618"/>
      <c r="AA229" s="618"/>
      <c r="AB229" s="618"/>
      <c r="AC229" s="618"/>
      <c r="AD229" s="618"/>
      <c r="AE229" s="618"/>
      <c r="AF229" s="618"/>
      <c r="AG229" s="618"/>
      <c r="AH229" s="618"/>
      <c r="AI229" s="618"/>
      <c r="AJ229" s="618"/>
      <c r="AK229" s="618"/>
      <c r="AL229" s="1"/>
    </row>
    <row r="230" spans="1:38" ht="14.25" customHeight="1" x14ac:dyDescent="0.45">
      <c r="A230" s="618"/>
      <c r="B230" s="618"/>
      <c r="C230" s="5"/>
      <c r="D230" s="618"/>
      <c r="E230" s="618"/>
      <c r="F230" s="618"/>
      <c r="G230" s="618"/>
      <c r="H230" s="618"/>
      <c r="I230" s="618"/>
      <c r="J230" s="618"/>
      <c r="K230" s="618"/>
      <c r="L230" s="618"/>
      <c r="M230" s="618"/>
      <c r="N230" s="618"/>
      <c r="O230" s="618"/>
      <c r="P230" s="618"/>
      <c r="Q230" s="618"/>
      <c r="R230" s="618"/>
      <c r="S230" s="618"/>
      <c r="T230" s="618"/>
      <c r="U230" s="618"/>
      <c r="V230" s="618"/>
      <c r="W230" s="618"/>
      <c r="X230" s="618"/>
      <c r="Y230" s="618"/>
      <c r="Z230" s="618"/>
      <c r="AA230" s="618"/>
      <c r="AB230" s="618"/>
      <c r="AC230" s="618"/>
      <c r="AD230" s="618"/>
      <c r="AE230" s="618"/>
      <c r="AF230" s="618"/>
      <c r="AG230" s="618"/>
      <c r="AH230" s="618"/>
      <c r="AI230" s="618"/>
      <c r="AJ230" s="618"/>
      <c r="AK230" s="618"/>
      <c r="AL230" s="1"/>
    </row>
    <row r="231" spans="1:38" ht="14.25" customHeight="1" x14ac:dyDescent="0.45">
      <c r="A231" s="618"/>
      <c r="B231" s="618"/>
      <c r="C231" s="5"/>
      <c r="D231" s="618"/>
      <c r="E231" s="618"/>
      <c r="F231" s="618"/>
      <c r="G231" s="618"/>
      <c r="H231" s="618"/>
      <c r="I231" s="618"/>
      <c r="J231" s="618"/>
      <c r="K231" s="618"/>
      <c r="L231" s="618"/>
      <c r="M231" s="618"/>
      <c r="N231" s="618"/>
      <c r="O231" s="618"/>
      <c r="P231" s="618"/>
      <c r="Q231" s="618"/>
      <c r="R231" s="618"/>
      <c r="S231" s="618"/>
      <c r="T231" s="618"/>
      <c r="U231" s="618"/>
      <c r="V231" s="618"/>
      <c r="W231" s="618"/>
      <c r="X231" s="618"/>
      <c r="Y231" s="618"/>
      <c r="Z231" s="618"/>
      <c r="AA231" s="618"/>
      <c r="AB231" s="618"/>
      <c r="AC231" s="618"/>
      <c r="AD231" s="618"/>
      <c r="AE231" s="618"/>
      <c r="AF231" s="618"/>
      <c r="AG231" s="618"/>
      <c r="AH231" s="618"/>
      <c r="AI231" s="618"/>
      <c r="AJ231" s="618"/>
      <c r="AK231" s="618"/>
      <c r="AL231" s="1"/>
    </row>
    <row r="232" spans="1:38" ht="14.25" customHeight="1" x14ac:dyDescent="0.45">
      <c r="A232" s="618"/>
      <c r="B232" s="618"/>
      <c r="C232" s="5"/>
      <c r="D232" s="618"/>
      <c r="E232" s="618"/>
      <c r="F232" s="618"/>
      <c r="G232" s="618"/>
      <c r="H232" s="618"/>
      <c r="I232" s="618"/>
      <c r="J232" s="618"/>
      <c r="K232" s="618"/>
      <c r="L232" s="618"/>
      <c r="M232" s="618"/>
      <c r="N232" s="618"/>
      <c r="O232" s="618"/>
      <c r="P232" s="618"/>
      <c r="Q232" s="618"/>
      <c r="R232" s="618"/>
      <c r="S232" s="618"/>
      <c r="T232" s="618"/>
      <c r="U232" s="618"/>
      <c r="V232" s="618"/>
      <c r="W232" s="618"/>
      <c r="X232" s="618"/>
      <c r="Y232" s="618"/>
      <c r="Z232" s="618"/>
      <c r="AA232" s="618"/>
      <c r="AB232" s="618"/>
      <c r="AC232" s="618"/>
      <c r="AD232" s="618"/>
      <c r="AE232" s="618"/>
      <c r="AF232" s="618"/>
      <c r="AG232" s="618"/>
      <c r="AH232" s="618"/>
      <c r="AI232" s="618"/>
      <c r="AJ232" s="618"/>
      <c r="AK232" s="618"/>
      <c r="AL232" s="1"/>
    </row>
    <row r="233" spans="1:38" ht="14.25" customHeight="1" x14ac:dyDescent="0.45">
      <c r="A233" s="618"/>
      <c r="B233" s="618"/>
      <c r="C233" s="5"/>
      <c r="D233" s="618"/>
      <c r="E233" s="618"/>
      <c r="F233" s="618"/>
      <c r="G233" s="618"/>
      <c r="H233" s="618"/>
      <c r="I233" s="618"/>
      <c r="J233" s="618"/>
      <c r="K233" s="618"/>
      <c r="L233" s="618"/>
      <c r="M233" s="618"/>
      <c r="N233" s="618"/>
      <c r="O233" s="618"/>
      <c r="P233" s="618"/>
      <c r="Q233" s="618"/>
      <c r="R233" s="618"/>
      <c r="S233" s="618"/>
      <c r="T233" s="618"/>
      <c r="U233" s="618"/>
      <c r="V233" s="618"/>
      <c r="W233" s="618"/>
      <c r="X233" s="618"/>
      <c r="Y233" s="618"/>
      <c r="Z233" s="618"/>
      <c r="AA233" s="618"/>
      <c r="AB233" s="618"/>
      <c r="AC233" s="618"/>
      <c r="AD233" s="618"/>
      <c r="AE233" s="618"/>
      <c r="AF233" s="618"/>
      <c r="AG233" s="618"/>
      <c r="AH233" s="618"/>
      <c r="AI233" s="618"/>
      <c r="AJ233" s="618"/>
      <c r="AK233" s="618"/>
      <c r="AL233" s="1"/>
    </row>
    <row r="234" spans="1:38" ht="14.25" customHeight="1" x14ac:dyDescent="0.45">
      <c r="A234" s="618"/>
      <c r="B234" s="618"/>
      <c r="C234" s="5"/>
      <c r="D234" s="618"/>
      <c r="E234" s="618"/>
      <c r="F234" s="618"/>
      <c r="G234" s="618"/>
      <c r="H234" s="618"/>
      <c r="I234" s="618"/>
      <c r="J234" s="618"/>
      <c r="K234" s="618"/>
      <c r="L234" s="618"/>
      <c r="M234" s="618"/>
      <c r="N234" s="618"/>
      <c r="O234" s="618"/>
      <c r="P234" s="618"/>
      <c r="Q234" s="618"/>
      <c r="R234" s="618"/>
      <c r="S234" s="618"/>
      <c r="T234" s="618"/>
      <c r="U234" s="618"/>
      <c r="V234" s="618"/>
      <c r="W234" s="618"/>
      <c r="X234" s="618"/>
      <c r="Y234" s="618"/>
      <c r="Z234" s="618"/>
      <c r="AA234" s="618"/>
      <c r="AB234" s="618"/>
      <c r="AC234" s="618"/>
      <c r="AD234" s="618"/>
      <c r="AE234" s="618"/>
      <c r="AF234" s="618"/>
      <c r="AG234" s="618"/>
      <c r="AH234" s="618"/>
      <c r="AI234" s="618"/>
      <c r="AJ234" s="618"/>
      <c r="AK234" s="618"/>
      <c r="AL234" s="1"/>
    </row>
    <row r="235" spans="1:38" ht="14.25" customHeight="1" x14ac:dyDescent="0.45">
      <c r="A235" s="618"/>
      <c r="B235" s="618"/>
      <c r="C235" s="5"/>
      <c r="D235" s="618"/>
      <c r="E235" s="618"/>
      <c r="F235" s="618"/>
      <c r="G235" s="618"/>
      <c r="H235" s="618"/>
      <c r="I235" s="618"/>
      <c r="J235" s="618"/>
      <c r="K235" s="618"/>
      <c r="L235" s="618"/>
      <c r="M235" s="618"/>
      <c r="N235" s="618"/>
      <c r="O235" s="618"/>
      <c r="P235" s="618"/>
      <c r="Q235" s="618"/>
      <c r="R235" s="618"/>
      <c r="S235" s="618"/>
      <c r="T235" s="618"/>
      <c r="U235" s="618"/>
      <c r="V235" s="618"/>
      <c r="W235" s="618"/>
      <c r="X235" s="618"/>
      <c r="Y235" s="618"/>
      <c r="Z235" s="618"/>
      <c r="AA235" s="618"/>
      <c r="AB235" s="618"/>
      <c r="AC235" s="618"/>
      <c r="AD235" s="618"/>
      <c r="AE235" s="618"/>
      <c r="AF235" s="618"/>
      <c r="AG235" s="618"/>
      <c r="AH235" s="618"/>
      <c r="AI235" s="618"/>
      <c r="AJ235" s="618"/>
      <c r="AK235" s="618"/>
      <c r="AL235" s="1"/>
    </row>
    <row r="236" spans="1:38" ht="14.25" customHeight="1" x14ac:dyDescent="0.45">
      <c r="A236" s="618"/>
      <c r="B236" s="618"/>
      <c r="C236" s="5"/>
      <c r="D236" s="618"/>
      <c r="E236" s="618"/>
      <c r="F236" s="618"/>
      <c r="G236" s="618"/>
      <c r="H236" s="618"/>
      <c r="I236" s="618"/>
      <c r="J236" s="618"/>
      <c r="K236" s="618"/>
      <c r="L236" s="618"/>
      <c r="M236" s="618"/>
      <c r="N236" s="618"/>
      <c r="O236" s="618"/>
      <c r="P236" s="618"/>
      <c r="Q236" s="618"/>
      <c r="R236" s="618"/>
      <c r="S236" s="618"/>
      <c r="T236" s="618"/>
      <c r="U236" s="618"/>
      <c r="V236" s="618"/>
      <c r="W236" s="618"/>
      <c r="X236" s="618"/>
      <c r="Y236" s="618"/>
      <c r="Z236" s="618"/>
      <c r="AA236" s="618"/>
      <c r="AB236" s="618"/>
      <c r="AC236" s="618"/>
      <c r="AD236" s="618"/>
      <c r="AE236" s="618"/>
      <c r="AF236" s="618"/>
      <c r="AG236" s="618"/>
      <c r="AH236" s="618"/>
      <c r="AI236" s="618"/>
      <c r="AJ236" s="618"/>
      <c r="AK236" s="618"/>
      <c r="AL236" s="1"/>
    </row>
    <row r="237" spans="1:38" ht="14.25" customHeight="1" x14ac:dyDescent="0.45">
      <c r="A237" s="618"/>
      <c r="B237" s="618"/>
      <c r="C237" s="5"/>
      <c r="D237" s="618"/>
      <c r="E237" s="618"/>
      <c r="F237" s="618"/>
      <c r="G237" s="618"/>
      <c r="H237" s="618"/>
      <c r="I237" s="618"/>
      <c r="J237" s="618"/>
      <c r="K237" s="618"/>
      <c r="L237" s="618"/>
      <c r="M237" s="618"/>
      <c r="N237" s="618"/>
      <c r="O237" s="618"/>
      <c r="P237" s="618"/>
      <c r="Q237" s="618"/>
      <c r="R237" s="618"/>
      <c r="S237" s="618"/>
      <c r="T237" s="618"/>
      <c r="U237" s="618"/>
      <c r="V237" s="618"/>
      <c r="W237" s="618"/>
      <c r="X237" s="618"/>
      <c r="Y237" s="618"/>
      <c r="Z237" s="618"/>
      <c r="AA237" s="618"/>
      <c r="AB237" s="618"/>
      <c r="AC237" s="618"/>
      <c r="AD237" s="618"/>
      <c r="AE237" s="618"/>
      <c r="AF237" s="618"/>
      <c r="AG237" s="618"/>
      <c r="AH237" s="618"/>
      <c r="AI237" s="618"/>
      <c r="AJ237" s="618"/>
      <c r="AK237" s="618"/>
      <c r="AL237" s="1"/>
    </row>
    <row r="238" spans="1:38" ht="14.25" customHeight="1" x14ac:dyDescent="0.45">
      <c r="A238" s="618"/>
      <c r="B238" s="618"/>
      <c r="C238" s="5"/>
      <c r="D238" s="618"/>
      <c r="E238" s="618"/>
      <c r="F238" s="618"/>
      <c r="G238" s="618"/>
      <c r="H238" s="618"/>
      <c r="I238" s="618"/>
      <c r="J238" s="618"/>
      <c r="K238" s="618"/>
      <c r="L238" s="618"/>
      <c r="M238" s="618"/>
      <c r="N238" s="618"/>
      <c r="O238" s="618"/>
      <c r="P238" s="618"/>
      <c r="Q238" s="618"/>
      <c r="R238" s="618"/>
      <c r="S238" s="618"/>
      <c r="T238" s="618"/>
      <c r="U238" s="618"/>
      <c r="V238" s="618"/>
      <c r="W238" s="618"/>
      <c r="X238" s="618"/>
      <c r="Y238" s="618"/>
      <c r="Z238" s="618"/>
      <c r="AA238" s="618"/>
      <c r="AB238" s="618"/>
      <c r="AC238" s="618"/>
      <c r="AD238" s="618"/>
      <c r="AE238" s="618"/>
      <c r="AF238" s="618"/>
      <c r="AG238" s="618"/>
      <c r="AH238" s="618"/>
      <c r="AI238" s="618"/>
      <c r="AJ238" s="618"/>
      <c r="AK238" s="618"/>
      <c r="AL238" s="1"/>
    </row>
    <row r="239" spans="1:38" ht="14.25" customHeight="1" x14ac:dyDescent="0.45">
      <c r="A239" s="618"/>
      <c r="B239" s="618"/>
      <c r="C239" s="5"/>
      <c r="D239" s="618"/>
      <c r="E239" s="618"/>
      <c r="F239" s="618"/>
      <c r="G239" s="618"/>
      <c r="H239" s="618"/>
      <c r="I239" s="618"/>
      <c r="J239" s="618"/>
      <c r="K239" s="618"/>
      <c r="L239" s="618"/>
      <c r="M239" s="618"/>
      <c r="N239" s="618"/>
      <c r="O239" s="618"/>
      <c r="P239" s="618"/>
      <c r="Q239" s="618"/>
      <c r="R239" s="618"/>
      <c r="S239" s="618"/>
      <c r="T239" s="618"/>
      <c r="U239" s="618"/>
      <c r="V239" s="618"/>
      <c r="W239" s="618"/>
      <c r="X239" s="618"/>
      <c r="Y239" s="618"/>
      <c r="Z239" s="618"/>
      <c r="AA239" s="618"/>
      <c r="AB239" s="618"/>
      <c r="AC239" s="618"/>
      <c r="AD239" s="618"/>
      <c r="AE239" s="618"/>
      <c r="AF239" s="618"/>
      <c r="AG239" s="618"/>
      <c r="AH239" s="618"/>
      <c r="AI239" s="618"/>
      <c r="AJ239" s="618"/>
      <c r="AK239" s="618"/>
      <c r="AL239" s="1"/>
    </row>
    <row r="240" spans="1:38" ht="14.25" customHeight="1" x14ac:dyDescent="0.45">
      <c r="A240" s="618"/>
      <c r="B240" s="618"/>
      <c r="C240" s="5"/>
      <c r="D240" s="618"/>
      <c r="E240" s="618"/>
      <c r="F240" s="618"/>
      <c r="G240" s="618"/>
      <c r="H240" s="618"/>
      <c r="I240" s="618"/>
      <c r="J240" s="618"/>
      <c r="K240" s="618"/>
      <c r="L240" s="618"/>
      <c r="M240" s="618"/>
      <c r="N240" s="618"/>
      <c r="O240" s="618"/>
      <c r="P240" s="618"/>
      <c r="Q240" s="618"/>
      <c r="R240" s="618"/>
      <c r="S240" s="618"/>
      <c r="T240" s="618"/>
      <c r="U240" s="618"/>
      <c r="V240" s="618"/>
      <c r="W240" s="618"/>
      <c r="X240" s="618"/>
      <c r="Y240" s="618"/>
      <c r="Z240" s="618"/>
      <c r="AA240" s="618"/>
      <c r="AB240" s="618"/>
      <c r="AC240" s="618"/>
      <c r="AD240" s="618"/>
      <c r="AE240" s="618"/>
      <c r="AF240" s="618"/>
      <c r="AG240" s="618"/>
      <c r="AH240" s="618"/>
      <c r="AI240" s="618"/>
      <c r="AJ240" s="618"/>
      <c r="AK240" s="618"/>
      <c r="AL240" s="1"/>
    </row>
    <row r="241" spans="1:38" ht="14.25" customHeight="1" x14ac:dyDescent="0.45">
      <c r="A241" s="618"/>
      <c r="B241" s="618"/>
      <c r="C241" s="5"/>
      <c r="D241" s="618"/>
      <c r="E241" s="618"/>
      <c r="F241" s="618"/>
      <c r="G241" s="618"/>
      <c r="H241" s="618"/>
      <c r="I241" s="618"/>
      <c r="J241" s="618"/>
      <c r="K241" s="618"/>
      <c r="L241" s="618"/>
      <c r="M241" s="618"/>
      <c r="N241" s="618"/>
      <c r="O241" s="618"/>
      <c r="P241" s="618"/>
      <c r="Q241" s="618"/>
      <c r="R241" s="618"/>
      <c r="S241" s="618"/>
      <c r="T241" s="618"/>
      <c r="U241" s="618"/>
      <c r="V241" s="618"/>
      <c r="W241" s="618"/>
      <c r="X241" s="618"/>
      <c r="Y241" s="618"/>
      <c r="Z241" s="618"/>
      <c r="AA241" s="618"/>
      <c r="AB241" s="618"/>
      <c r="AC241" s="618"/>
      <c r="AD241" s="618"/>
      <c r="AE241" s="618"/>
      <c r="AF241" s="618"/>
      <c r="AG241" s="618"/>
      <c r="AH241" s="618"/>
      <c r="AI241" s="618"/>
      <c r="AJ241" s="618"/>
      <c r="AK241" s="618"/>
      <c r="AL241" s="1"/>
    </row>
    <row r="242" spans="1:38" ht="14.25" customHeight="1" x14ac:dyDescent="0.45">
      <c r="A242" s="618"/>
      <c r="B242" s="618"/>
      <c r="C242" s="5"/>
      <c r="D242" s="618"/>
      <c r="E242" s="618"/>
      <c r="F242" s="618"/>
      <c r="G242" s="618"/>
      <c r="H242" s="618"/>
      <c r="I242" s="618"/>
      <c r="J242" s="618"/>
      <c r="K242" s="618"/>
      <c r="L242" s="618"/>
      <c r="M242" s="618"/>
      <c r="N242" s="618"/>
      <c r="O242" s="618"/>
      <c r="P242" s="618"/>
      <c r="Q242" s="618"/>
      <c r="R242" s="618"/>
      <c r="S242" s="618"/>
      <c r="T242" s="618"/>
      <c r="U242" s="618"/>
      <c r="V242" s="618"/>
      <c r="W242" s="618"/>
      <c r="X242" s="618"/>
      <c r="Y242" s="618"/>
      <c r="Z242" s="618"/>
      <c r="AA242" s="618"/>
      <c r="AB242" s="618"/>
      <c r="AC242" s="618"/>
      <c r="AD242" s="618"/>
      <c r="AE242" s="618"/>
      <c r="AF242" s="618"/>
      <c r="AG242" s="618"/>
      <c r="AH242" s="618"/>
      <c r="AI242" s="618"/>
      <c r="AJ242" s="618"/>
      <c r="AK242" s="618"/>
      <c r="AL242" s="1"/>
    </row>
    <row r="243" spans="1:38" ht="14.25" customHeight="1" x14ac:dyDescent="0.45">
      <c r="A243" s="618"/>
      <c r="B243" s="618"/>
      <c r="C243" s="5"/>
      <c r="D243" s="618"/>
      <c r="E243" s="618"/>
      <c r="F243" s="618"/>
      <c r="G243" s="618"/>
      <c r="H243" s="618"/>
      <c r="I243" s="618"/>
      <c r="J243" s="618"/>
      <c r="K243" s="618"/>
      <c r="L243" s="618"/>
      <c r="M243" s="618"/>
      <c r="N243" s="618"/>
      <c r="O243" s="618"/>
      <c r="P243" s="618"/>
      <c r="Q243" s="618"/>
      <c r="R243" s="618"/>
      <c r="S243" s="618"/>
      <c r="T243" s="618"/>
      <c r="U243" s="618"/>
      <c r="V243" s="618"/>
      <c r="W243" s="618"/>
      <c r="X243" s="618"/>
      <c r="Y243" s="618"/>
      <c r="Z243" s="618"/>
      <c r="AA243" s="618"/>
      <c r="AB243" s="618"/>
      <c r="AC243" s="618"/>
      <c r="AD243" s="618"/>
      <c r="AE243" s="618"/>
      <c r="AF243" s="618"/>
      <c r="AG243" s="618"/>
      <c r="AH243" s="618"/>
      <c r="AI243" s="618"/>
      <c r="AJ243" s="618"/>
      <c r="AK243" s="618"/>
      <c r="AL243" s="1"/>
    </row>
    <row r="244" spans="1:38" ht="14.25" customHeight="1" x14ac:dyDescent="0.45">
      <c r="A244" s="618"/>
      <c r="B244" s="618"/>
      <c r="C244" s="5"/>
      <c r="D244" s="618"/>
      <c r="E244" s="618"/>
      <c r="F244" s="618"/>
      <c r="G244" s="618"/>
      <c r="H244" s="618"/>
      <c r="I244" s="618"/>
      <c r="J244" s="618"/>
      <c r="K244" s="618"/>
      <c r="L244" s="618"/>
      <c r="M244" s="618"/>
      <c r="N244" s="618"/>
      <c r="O244" s="618"/>
      <c r="P244" s="618"/>
      <c r="Q244" s="618"/>
      <c r="R244" s="618"/>
      <c r="S244" s="618"/>
      <c r="T244" s="618"/>
      <c r="U244" s="618"/>
      <c r="V244" s="618"/>
      <c r="W244" s="618"/>
      <c r="X244" s="618"/>
      <c r="Y244" s="618"/>
      <c r="Z244" s="618"/>
      <c r="AA244" s="618"/>
      <c r="AB244" s="618"/>
      <c r="AC244" s="618"/>
      <c r="AD244" s="618"/>
      <c r="AE244" s="618"/>
      <c r="AF244" s="618"/>
      <c r="AG244" s="618"/>
      <c r="AH244" s="618"/>
      <c r="AI244" s="618"/>
      <c r="AJ244" s="618"/>
      <c r="AK244" s="618"/>
      <c r="AL244" s="1"/>
    </row>
    <row r="245" spans="1:38" ht="14.25" customHeight="1" x14ac:dyDescent="0.45">
      <c r="A245" s="618"/>
      <c r="B245" s="618"/>
      <c r="C245" s="5"/>
      <c r="D245" s="618"/>
      <c r="E245" s="618"/>
      <c r="F245" s="618"/>
      <c r="G245" s="618"/>
      <c r="H245" s="618"/>
      <c r="I245" s="618"/>
      <c r="J245" s="618"/>
      <c r="K245" s="618"/>
      <c r="L245" s="618"/>
      <c r="M245" s="618"/>
      <c r="N245" s="618"/>
      <c r="O245" s="618"/>
      <c r="P245" s="618"/>
      <c r="Q245" s="618"/>
      <c r="R245" s="618"/>
      <c r="S245" s="618"/>
      <c r="T245" s="618"/>
      <c r="U245" s="618"/>
      <c r="V245" s="618"/>
      <c r="W245" s="618"/>
      <c r="X245" s="618"/>
      <c r="Y245" s="618"/>
      <c r="Z245" s="618"/>
      <c r="AA245" s="618"/>
      <c r="AB245" s="618"/>
      <c r="AC245" s="618"/>
      <c r="AD245" s="618"/>
      <c r="AE245" s="618"/>
      <c r="AF245" s="618"/>
      <c r="AG245" s="618"/>
      <c r="AH245" s="618"/>
      <c r="AI245" s="618"/>
      <c r="AJ245" s="618"/>
      <c r="AK245" s="618"/>
      <c r="AL245" s="1"/>
    </row>
    <row r="246" spans="1:38" ht="14.25" customHeight="1" x14ac:dyDescent="0.45">
      <c r="A246" s="618"/>
      <c r="B246" s="618"/>
      <c r="C246" s="5"/>
      <c r="D246" s="618"/>
      <c r="E246" s="618"/>
      <c r="F246" s="618"/>
      <c r="G246" s="618"/>
      <c r="H246" s="618"/>
      <c r="I246" s="618"/>
      <c r="J246" s="618"/>
      <c r="K246" s="618"/>
      <c r="L246" s="618"/>
      <c r="M246" s="618"/>
      <c r="N246" s="618"/>
      <c r="O246" s="618"/>
      <c r="P246" s="618"/>
      <c r="Q246" s="618"/>
      <c r="R246" s="618"/>
      <c r="S246" s="618"/>
      <c r="T246" s="618"/>
      <c r="U246" s="618"/>
      <c r="V246" s="618"/>
      <c r="W246" s="618"/>
      <c r="X246" s="618"/>
      <c r="Y246" s="618"/>
      <c r="Z246" s="618"/>
      <c r="AA246" s="618"/>
      <c r="AB246" s="618"/>
      <c r="AC246" s="618"/>
      <c r="AD246" s="618"/>
      <c r="AE246" s="618"/>
      <c r="AF246" s="618"/>
      <c r="AG246" s="618"/>
      <c r="AH246" s="618"/>
      <c r="AI246" s="618"/>
      <c r="AJ246" s="618"/>
      <c r="AK246" s="618"/>
      <c r="AL246" s="1"/>
    </row>
    <row r="247" spans="1:38" ht="14.25" customHeight="1" x14ac:dyDescent="0.45">
      <c r="A247" s="618"/>
      <c r="B247" s="618"/>
      <c r="C247" s="5"/>
      <c r="D247" s="618"/>
      <c r="E247" s="618"/>
      <c r="F247" s="618"/>
      <c r="G247" s="618"/>
      <c r="H247" s="618"/>
      <c r="I247" s="618"/>
      <c r="J247" s="618"/>
      <c r="K247" s="618"/>
      <c r="L247" s="618"/>
      <c r="M247" s="618"/>
      <c r="N247" s="618"/>
      <c r="O247" s="618"/>
      <c r="P247" s="618"/>
      <c r="Q247" s="618"/>
      <c r="R247" s="618"/>
      <c r="S247" s="618"/>
      <c r="T247" s="618"/>
      <c r="U247" s="618"/>
      <c r="V247" s="618"/>
      <c r="W247" s="618"/>
      <c r="X247" s="618"/>
      <c r="Y247" s="618"/>
      <c r="Z247" s="618"/>
      <c r="AA247" s="618"/>
      <c r="AB247" s="618"/>
      <c r="AC247" s="618"/>
      <c r="AD247" s="618"/>
      <c r="AE247" s="618"/>
      <c r="AF247" s="618"/>
      <c r="AG247" s="618"/>
      <c r="AH247" s="618"/>
      <c r="AI247" s="618"/>
      <c r="AJ247" s="618"/>
      <c r="AK247" s="618"/>
      <c r="AL247" s="1"/>
    </row>
    <row r="248" spans="1:38" ht="14.25" customHeight="1" x14ac:dyDescent="0.45">
      <c r="A248" s="618"/>
      <c r="B248" s="618"/>
      <c r="C248" s="5"/>
      <c r="D248" s="618"/>
      <c r="E248" s="618"/>
      <c r="F248" s="618"/>
      <c r="G248" s="618"/>
      <c r="H248" s="618"/>
      <c r="I248" s="618"/>
      <c r="J248" s="618"/>
      <c r="K248" s="618"/>
      <c r="L248" s="618"/>
      <c r="M248" s="618"/>
      <c r="N248" s="618"/>
      <c r="O248" s="618"/>
      <c r="P248" s="618"/>
      <c r="Q248" s="618"/>
      <c r="R248" s="618"/>
      <c r="S248" s="618"/>
      <c r="T248" s="618"/>
      <c r="U248" s="618"/>
      <c r="V248" s="618"/>
      <c r="W248" s="618"/>
      <c r="X248" s="618"/>
      <c r="Y248" s="618"/>
      <c r="Z248" s="618"/>
      <c r="AA248" s="618"/>
      <c r="AB248" s="618"/>
      <c r="AC248" s="618"/>
      <c r="AD248" s="618"/>
      <c r="AE248" s="618"/>
      <c r="AF248" s="618"/>
      <c r="AG248" s="618"/>
      <c r="AH248" s="618"/>
      <c r="AI248" s="618"/>
      <c r="AJ248" s="618"/>
      <c r="AK248" s="618"/>
      <c r="AL248" s="1"/>
    </row>
    <row r="249" spans="1:38" ht="14.25" customHeight="1" x14ac:dyDescent="0.45">
      <c r="A249" s="618"/>
      <c r="B249" s="618"/>
      <c r="C249" s="5"/>
      <c r="D249" s="618"/>
      <c r="E249" s="618"/>
      <c r="F249" s="618"/>
      <c r="G249" s="618"/>
      <c r="H249" s="618"/>
      <c r="I249" s="618"/>
      <c r="J249" s="618"/>
      <c r="K249" s="618"/>
      <c r="L249" s="618"/>
      <c r="M249" s="618"/>
      <c r="N249" s="618"/>
      <c r="O249" s="618"/>
      <c r="P249" s="618"/>
      <c r="Q249" s="618"/>
      <c r="R249" s="618"/>
      <c r="S249" s="618"/>
      <c r="T249" s="618"/>
      <c r="U249" s="618"/>
      <c r="V249" s="618"/>
      <c r="W249" s="618"/>
      <c r="X249" s="618"/>
      <c r="Y249" s="618"/>
      <c r="Z249" s="618"/>
      <c r="AA249" s="618"/>
      <c r="AB249" s="618"/>
      <c r="AC249" s="618"/>
      <c r="AD249" s="618"/>
      <c r="AE249" s="618"/>
      <c r="AF249" s="618"/>
      <c r="AG249" s="618"/>
      <c r="AH249" s="618"/>
      <c r="AI249" s="618"/>
      <c r="AJ249" s="618"/>
      <c r="AK249" s="618"/>
      <c r="AL249" s="1"/>
    </row>
    <row r="250" spans="1:38" ht="14.25" customHeight="1" x14ac:dyDescent="0.45">
      <c r="A250" s="618"/>
      <c r="B250" s="618"/>
      <c r="C250" s="5"/>
      <c r="D250" s="618"/>
      <c r="E250" s="618"/>
      <c r="F250" s="618"/>
      <c r="G250" s="618"/>
      <c r="H250" s="618"/>
      <c r="I250" s="618"/>
      <c r="J250" s="618"/>
      <c r="K250" s="618"/>
      <c r="L250" s="618"/>
      <c r="M250" s="618"/>
      <c r="N250" s="618"/>
      <c r="O250" s="618"/>
      <c r="P250" s="618"/>
      <c r="Q250" s="618"/>
      <c r="R250" s="618"/>
      <c r="S250" s="618"/>
      <c r="T250" s="618"/>
      <c r="U250" s="618"/>
      <c r="V250" s="618"/>
      <c r="W250" s="618"/>
      <c r="X250" s="618"/>
      <c r="Y250" s="618"/>
      <c r="Z250" s="618"/>
      <c r="AA250" s="618"/>
      <c r="AB250" s="618"/>
      <c r="AC250" s="618"/>
      <c r="AD250" s="618"/>
      <c r="AE250" s="618"/>
      <c r="AF250" s="618"/>
      <c r="AG250" s="618"/>
      <c r="AH250" s="618"/>
      <c r="AI250" s="618"/>
      <c r="AJ250" s="618"/>
      <c r="AK250" s="618"/>
      <c r="AL250" s="1"/>
    </row>
    <row r="251" spans="1:38" ht="14.25" customHeight="1" x14ac:dyDescent="0.45">
      <c r="A251" s="618"/>
      <c r="B251" s="618"/>
      <c r="C251" s="5"/>
      <c r="D251" s="618"/>
      <c r="E251" s="618"/>
      <c r="F251" s="618"/>
      <c r="G251" s="618"/>
      <c r="H251" s="618"/>
      <c r="I251" s="618"/>
      <c r="J251" s="618"/>
      <c r="K251" s="618"/>
      <c r="L251" s="618"/>
      <c r="M251" s="618"/>
      <c r="N251" s="618"/>
      <c r="O251" s="618"/>
      <c r="P251" s="618"/>
      <c r="Q251" s="618"/>
      <c r="R251" s="618"/>
      <c r="S251" s="618"/>
      <c r="T251" s="618"/>
      <c r="U251" s="618"/>
      <c r="V251" s="618"/>
      <c r="W251" s="618"/>
      <c r="X251" s="618"/>
      <c r="Y251" s="618"/>
      <c r="Z251" s="618"/>
      <c r="AA251" s="618"/>
      <c r="AB251" s="618"/>
      <c r="AC251" s="618"/>
      <c r="AD251" s="618"/>
      <c r="AE251" s="618"/>
      <c r="AF251" s="618"/>
      <c r="AG251" s="618"/>
      <c r="AH251" s="618"/>
      <c r="AI251" s="618"/>
      <c r="AJ251" s="618"/>
      <c r="AK251" s="618"/>
      <c r="AL251" s="1"/>
    </row>
    <row r="252" spans="1:38" ht="14.25" customHeight="1" x14ac:dyDescent="0.45">
      <c r="A252" s="618"/>
      <c r="B252" s="618"/>
      <c r="C252" s="5"/>
      <c r="D252" s="618"/>
      <c r="E252" s="618"/>
      <c r="F252" s="618"/>
      <c r="G252" s="618"/>
      <c r="H252" s="618"/>
      <c r="I252" s="618"/>
      <c r="J252" s="618"/>
      <c r="K252" s="618"/>
      <c r="L252" s="618"/>
      <c r="M252" s="618"/>
      <c r="N252" s="618"/>
      <c r="O252" s="618"/>
      <c r="P252" s="618"/>
      <c r="Q252" s="618"/>
      <c r="R252" s="618"/>
      <c r="S252" s="618"/>
      <c r="T252" s="618"/>
      <c r="U252" s="618"/>
      <c r="V252" s="618"/>
      <c r="W252" s="618"/>
      <c r="X252" s="618"/>
      <c r="Y252" s="618"/>
      <c r="Z252" s="618"/>
      <c r="AA252" s="618"/>
      <c r="AB252" s="618"/>
      <c r="AC252" s="618"/>
      <c r="AD252" s="618"/>
      <c r="AE252" s="618"/>
      <c r="AF252" s="618"/>
      <c r="AG252" s="618"/>
      <c r="AH252" s="618"/>
      <c r="AI252" s="618"/>
      <c r="AJ252" s="618"/>
      <c r="AK252" s="618"/>
      <c r="AL252" s="1"/>
    </row>
    <row r="253" spans="1:38" ht="14.25" customHeight="1" x14ac:dyDescent="0.45">
      <c r="A253" s="618"/>
      <c r="B253" s="618"/>
      <c r="C253" s="5"/>
      <c r="D253" s="618"/>
      <c r="E253" s="618"/>
      <c r="F253" s="618"/>
      <c r="G253" s="618"/>
      <c r="H253" s="618"/>
      <c r="I253" s="618"/>
      <c r="J253" s="618"/>
      <c r="K253" s="618"/>
      <c r="L253" s="618"/>
      <c r="M253" s="618"/>
      <c r="N253" s="618"/>
      <c r="O253" s="618"/>
      <c r="P253" s="618"/>
      <c r="Q253" s="618"/>
      <c r="R253" s="618"/>
      <c r="S253" s="618"/>
      <c r="T253" s="618"/>
      <c r="U253" s="618"/>
      <c r="V253" s="618"/>
      <c r="W253" s="618"/>
      <c r="X253" s="618"/>
      <c r="Y253" s="618"/>
      <c r="Z253" s="618"/>
      <c r="AA253" s="618"/>
      <c r="AB253" s="618"/>
      <c r="AC253" s="618"/>
      <c r="AD253" s="618"/>
      <c r="AE253" s="618"/>
      <c r="AF253" s="618"/>
      <c r="AG253" s="618"/>
      <c r="AH253" s="618"/>
      <c r="AI253" s="618"/>
      <c r="AJ253" s="618"/>
      <c r="AK253" s="618"/>
      <c r="AL253" s="1"/>
    </row>
    <row r="254" spans="1:38" ht="14.25" customHeight="1" x14ac:dyDescent="0.45">
      <c r="A254" s="618"/>
      <c r="B254" s="618"/>
      <c r="C254" s="5"/>
      <c r="D254" s="618"/>
      <c r="E254" s="618"/>
      <c r="F254" s="618"/>
      <c r="G254" s="618"/>
      <c r="H254" s="618"/>
      <c r="I254" s="618"/>
      <c r="J254" s="618"/>
      <c r="K254" s="618"/>
      <c r="L254" s="618"/>
      <c r="M254" s="618"/>
      <c r="N254" s="618"/>
      <c r="O254" s="618"/>
      <c r="P254" s="618"/>
      <c r="Q254" s="618"/>
      <c r="R254" s="618"/>
      <c r="S254" s="618"/>
      <c r="T254" s="618"/>
      <c r="U254" s="618"/>
      <c r="V254" s="618"/>
      <c r="W254" s="618"/>
      <c r="X254" s="618"/>
      <c r="Y254" s="618"/>
      <c r="Z254" s="618"/>
      <c r="AA254" s="618"/>
      <c r="AB254" s="618"/>
      <c r="AC254" s="618"/>
      <c r="AD254" s="618"/>
      <c r="AE254" s="618"/>
      <c r="AF254" s="618"/>
      <c r="AG254" s="618"/>
      <c r="AH254" s="618"/>
      <c r="AI254" s="618"/>
      <c r="AJ254" s="618"/>
      <c r="AK254" s="618"/>
      <c r="AL254" s="1"/>
    </row>
    <row r="255" spans="1:38" ht="14.25" customHeight="1" x14ac:dyDescent="0.45">
      <c r="A255" s="618"/>
      <c r="B255" s="618"/>
      <c r="C255" s="5"/>
      <c r="D255" s="618"/>
      <c r="E255" s="618"/>
      <c r="F255" s="618"/>
      <c r="G255" s="618"/>
      <c r="H255" s="618"/>
      <c r="I255" s="618"/>
      <c r="J255" s="618"/>
      <c r="K255" s="618"/>
      <c r="L255" s="618"/>
      <c r="M255" s="618"/>
      <c r="N255" s="618"/>
      <c r="O255" s="618"/>
      <c r="P255" s="618"/>
      <c r="Q255" s="618"/>
      <c r="R255" s="618"/>
      <c r="S255" s="618"/>
      <c r="T255" s="618"/>
      <c r="U255" s="618"/>
      <c r="V255" s="618"/>
      <c r="W255" s="618"/>
      <c r="X255" s="618"/>
      <c r="Y255" s="618"/>
      <c r="Z255" s="618"/>
      <c r="AA255" s="618"/>
      <c r="AB255" s="618"/>
      <c r="AC255" s="618"/>
      <c r="AD255" s="618"/>
      <c r="AE255" s="618"/>
      <c r="AF255" s="618"/>
      <c r="AG255" s="618"/>
      <c r="AH255" s="618"/>
      <c r="AI255" s="618"/>
      <c r="AJ255" s="618"/>
      <c r="AK255" s="618"/>
      <c r="AL255" s="1"/>
    </row>
    <row r="256" spans="1:38" ht="14.25" customHeight="1" x14ac:dyDescent="0.45">
      <c r="A256" s="618"/>
      <c r="B256" s="618"/>
      <c r="C256" s="5"/>
      <c r="D256" s="618"/>
      <c r="E256" s="618"/>
      <c r="F256" s="618"/>
      <c r="G256" s="618"/>
      <c r="H256" s="618"/>
      <c r="I256" s="618"/>
      <c r="J256" s="618"/>
      <c r="K256" s="618"/>
      <c r="L256" s="618"/>
      <c r="M256" s="618"/>
      <c r="N256" s="618"/>
      <c r="O256" s="618"/>
      <c r="P256" s="618"/>
      <c r="Q256" s="618"/>
      <c r="R256" s="618"/>
      <c r="S256" s="618"/>
      <c r="T256" s="618"/>
      <c r="U256" s="618"/>
      <c r="V256" s="618"/>
      <c r="W256" s="618"/>
      <c r="X256" s="618"/>
      <c r="Y256" s="618"/>
      <c r="Z256" s="618"/>
      <c r="AA256" s="618"/>
      <c r="AB256" s="618"/>
      <c r="AC256" s="618"/>
      <c r="AD256" s="618"/>
      <c r="AE256" s="618"/>
      <c r="AF256" s="618"/>
      <c r="AG256" s="618"/>
      <c r="AH256" s="618"/>
      <c r="AI256" s="618"/>
      <c r="AJ256" s="618"/>
      <c r="AK256" s="618"/>
      <c r="AL256" s="1"/>
    </row>
    <row r="257" spans="1:38" ht="14.25" customHeight="1" x14ac:dyDescent="0.45">
      <c r="A257" s="618"/>
      <c r="B257" s="618"/>
      <c r="C257" s="5"/>
      <c r="D257" s="618"/>
      <c r="E257" s="618"/>
      <c r="F257" s="618"/>
      <c r="G257" s="618"/>
      <c r="H257" s="618"/>
      <c r="I257" s="618"/>
      <c r="J257" s="618"/>
      <c r="K257" s="618"/>
      <c r="L257" s="618"/>
      <c r="M257" s="618"/>
      <c r="N257" s="618"/>
      <c r="O257" s="618"/>
      <c r="P257" s="618"/>
      <c r="Q257" s="618"/>
      <c r="R257" s="618"/>
      <c r="S257" s="618"/>
      <c r="T257" s="618"/>
      <c r="U257" s="618"/>
      <c r="V257" s="618"/>
      <c r="W257" s="618"/>
      <c r="X257" s="618"/>
      <c r="Y257" s="618"/>
      <c r="Z257" s="618"/>
      <c r="AA257" s="618"/>
      <c r="AB257" s="618"/>
      <c r="AC257" s="618"/>
      <c r="AD257" s="618"/>
      <c r="AE257" s="618"/>
      <c r="AF257" s="618"/>
      <c r="AG257" s="618"/>
      <c r="AH257" s="618"/>
      <c r="AI257" s="618"/>
      <c r="AJ257" s="618"/>
      <c r="AK257" s="618"/>
      <c r="AL257" s="1"/>
    </row>
    <row r="258" spans="1:38" ht="14.25" customHeight="1" x14ac:dyDescent="0.45">
      <c r="A258" s="618"/>
      <c r="B258" s="618"/>
      <c r="C258" s="5"/>
      <c r="D258" s="618"/>
      <c r="E258" s="618"/>
      <c r="F258" s="618"/>
      <c r="G258" s="618"/>
      <c r="H258" s="618"/>
      <c r="I258" s="618"/>
      <c r="J258" s="618"/>
      <c r="K258" s="618"/>
      <c r="L258" s="618"/>
      <c r="M258" s="618"/>
      <c r="N258" s="618"/>
      <c r="O258" s="618"/>
      <c r="P258" s="618"/>
      <c r="Q258" s="618"/>
      <c r="R258" s="618"/>
      <c r="S258" s="618"/>
      <c r="T258" s="618"/>
      <c r="U258" s="618"/>
      <c r="V258" s="618"/>
      <c r="W258" s="618"/>
      <c r="X258" s="618"/>
      <c r="Y258" s="618"/>
      <c r="Z258" s="618"/>
      <c r="AA258" s="618"/>
      <c r="AB258" s="618"/>
      <c r="AC258" s="618"/>
      <c r="AD258" s="618"/>
      <c r="AE258" s="618"/>
      <c r="AF258" s="618"/>
      <c r="AG258" s="618"/>
      <c r="AH258" s="618"/>
      <c r="AI258" s="618"/>
      <c r="AJ258" s="618"/>
      <c r="AK258" s="618"/>
      <c r="AL258" s="1"/>
    </row>
    <row r="259" spans="1:38" ht="14.25" customHeight="1" x14ac:dyDescent="0.45">
      <c r="A259" s="618"/>
      <c r="B259" s="618"/>
      <c r="C259" s="5"/>
      <c r="D259" s="618"/>
      <c r="E259" s="618"/>
      <c r="F259" s="618"/>
      <c r="G259" s="618"/>
      <c r="H259" s="618"/>
      <c r="I259" s="618"/>
      <c r="J259" s="618"/>
      <c r="K259" s="618"/>
      <c r="L259" s="618"/>
      <c r="M259" s="618"/>
      <c r="N259" s="618"/>
      <c r="O259" s="618"/>
      <c r="P259" s="618"/>
      <c r="Q259" s="618"/>
      <c r="R259" s="618"/>
      <c r="S259" s="618"/>
      <c r="T259" s="618"/>
      <c r="U259" s="618"/>
      <c r="V259" s="618"/>
      <c r="W259" s="618"/>
      <c r="X259" s="618"/>
      <c r="Y259" s="618"/>
      <c r="Z259" s="618"/>
      <c r="AA259" s="618"/>
      <c r="AB259" s="618"/>
      <c r="AC259" s="618"/>
      <c r="AD259" s="618"/>
      <c r="AE259" s="618"/>
      <c r="AF259" s="618"/>
      <c r="AG259" s="618"/>
      <c r="AH259" s="618"/>
      <c r="AI259" s="618"/>
      <c r="AJ259" s="618"/>
      <c r="AK259" s="618"/>
      <c r="AL259" s="1"/>
    </row>
    <row r="260" spans="1:38" ht="14.25" customHeight="1" x14ac:dyDescent="0.45">
      <c r="A260" s="618"/>
      <c r="B260" s="618"/>
      <c r="C260" s="5"/>
      <c r="D260" s="618"/>
      <c r="E260" s="618"/>
      <c r="F260" s="618"/>
      <c r="G260" s="618"/>
      <c r="H260" s="618"/>
      <c r="I260" s="618"/>
      <c r="J260" s="618"/>
      <c r="K260" s="618"/>
      <c r="L260" s="618"/>
      <c r="M260" s="618"/>
      <c r="N260" s="618"/>
      <c r="O260" s="618"/>
      <c r="P260" s="618"/>
      <c r="Q260" s="618"/>
      <c r="R260" s="618"/>
      <c r="S260" s="618"/>
      <c r="T260" s="618"/>
      <c r="U260" s="618"/>
      <c r="V260" s="618"/>
      <c r="W260" s="618"/>
      <c r="X260" s="618"/>
      <c r="Y260" s="618"/>
      <c r="Z260" s="618"/>
      <c r="AA260" s="618"/>
      <c r="AB260" s="618"/>
      <c r="AC260" s="618"/>
      <c r="AD260" s="618"/>
      <c r="AE260" s="618"/>
      <c r="AF260" s="618"/>
      <c r="AG260" s="618"/>
      <c r="AH260" s="618"/>
      <c r="AI260" s="618"/>
      <c r="AJ260" s="618"/>
      <c r="AK260" s="618"/>
      <c r="AL260" s="1"/>
    </row>
    <row r="261" spans="1:38" ht="14.25" customHeight="1" x14ac:dyDescent="0.45">
      <c r="A261" s="618"/>
      <c r="B261" s="618"/>
      <c r="C261" s="5"/>
      <c r="D261" s="618"/>
      <c r="E261" s="618"/>
      <c r="F261" s="618"/>
      <c r="G261" s="618"/>
      <c r="H261" s="618"/>
      <c r="I261" s="618"/>
      <c r="J261" s="618"/>
      <c r="K261" s="618"/>
      <c r="L261" s="618"/>
      <c r="M261" s="618"/>
      <c r="N261" s="618"/>
      <c r="O261" s="618"/>
      <c r="P261" s="618"/>
      <c r="Q261" s="618"/>
      <c r="R261" s="618"/>
      <c r="S261" s="618"/>
      <c r="T261" s="618"/>
      <c r="U261" s="618"/>
      <c r="V261" s="618"/>
      <c r="W261" s="618"/>
      <c r="X261" s="618"/>
      <c r="Y261" s="618"/>
      <c r="Z261" s="618"/>
      <c r="AA261" s="618"/>
      <c r="AB261" s="618"/>
      <c r="AC261" s="618"/>
      <c r="AD261" s="618"/>
      <c r="AE261" s="618"/>
      <c r="AF261" s="618"/>
      <c r="AG261" s="618"/>
      <c r="AH261" s="618"/>
      <c r="AI261" s="618"/>
      <c r="AJ261" s="618"/>
      <c r="AK261" s="618"/>
      <c r="AL261" s="1"/>
    </row>
    <row r="262" spans="1:38" ht="14.25" customHeight="1" x14ac:dyDescent="0.45">
      <c r="A262" s="618"/>
      <c r="B262" s="618"/>
      <c r="C262" s="5"/>
      <c r="D262" s="618"/>
      <c r="E262" s="618"/>
      <c r="F262" s="618"/>
      <c r="G262" s="618"/>
      <c r="H262" s="618"/>
      <c r="I262" s="618"/>
      <c r="J262" s="618"/>
      <c r="K262" s="618"/>
      <c r="L262" s="618"/>
      <c r="M262" s="618"/>
      <c r="N262" s="618"/>
      <c r="O262" s="618"/>
      <c r="P262" s="618"/>
      <c r="Q262" s="618"/>
      <c r="R262" s="618"/>
      <c r="S262" s="618"/>
      <c r="T262" s="618"/>
      <c r="U262" s="618"/>
      <c r="V262" s="618"/>
      <c r="W262" s="618"/>
      <c r="X262" s="618"/>
      <c r="Y262" s="618"/>
      <c r="Z262" s="618"/>
      <c r="AA262" s="618"/>
      <c r="AB262" s="618"/>
      <c r="AC262" s="618"/>
      <c r="AD262" s="618"/>
      <c r="AE262" s="618"/>
      <c r="AF262" s="618"/>
      <c r="AG262" s="618"/>
      <c r="AH262" s="618"/>
      <c r="AI262" s="618"/>
      <c r="AJ262" s="618"/>
      <c r="AK262" s="618"/>
      <c r="AL262" s="1"/>
    </row>
    <row r="263" spans="1:38" ht="14.25" customHeight="1" x14ac:dyDescent="0.45">
      <c r="A263" s="618"/>
      <c r="B263" s="618"/>
      <c r="C263" s="5"/>
      <c r="D263" s="618"/>
      <c r="E263" s="618"/>
      <c r="F263" s="618"/>
      <c r="G263" s="618"/>
      <c r="H263" s="618"/>
      <c r="I263" s="618"/>
      <c r="J263" s="618"/>
      <c r="K263" s="618"/>
      <c r="L263" s="618"/>
      <c r="M263" s="618"/>
      <c r="N263" s="618"/>
      <c r="O263" s="618"/>
      <c r="P263" s="618"/>
      <c r="Q263" s="618"/>
      <c r="R263" s="618"/>
      <c r="S263" s="618"/>
      <c r="T263" s="618"/>
      <c r="U263" s="618"/>
      <c r="V263" s="618"/>
      <c r="W263" s="618"/>
      <c r="X263" s="618"/>
      <c r="Y263" s="618"/>
      <c r="Z263" s="618"/>
      <c r="AA263" s="618"/>
      <c r="AB263" s="618"/>
      <c r="AC263" s="618"/>
      <c r="AD263" s="618"/>
      <c r="AE263" s="618"/>
      <c r="AF263" s="618"/>
      <c r="AG263" s="618"/>
      <c r="AH263" s="618"/>
      <c r="AI263" s="618"/>
      <c r="AJ263" s="618"/>
      <c r="AK263" s="618"/>
      <c r="AL263" s="1"/>
    </row>
    <row r="264" spans="1:38" ht="14.25" customHeight="1" x14ac:dyDescent="0.45">
      <c r="A264" s="618"/>
      <c r="B264" s="618"/>
      <c r="C264" s="5"/>
      <c r="D264" s="618"/>
      <c r="E264" s="618"/>
      <c r="F264" s="618"/>
      <c r="G264" s="618"/>
      <c r="H264" s="618"/>
      <c r="I264" s="618"/>
      <c r="J264" s="618"/>
      <c r="K264" s="618"/>
      <c r="L264" s="618"/>
      <c r="M264" s="618"/>
      <c r="N264" s="618"/>
      <c r="O264" s="618"/>
      <c r="P264" s="618"/>
      <c r="Q264" s="618"/>
      <c r="R264" s="618"/>
      <c r="S264" s="618"/>
      <c r="T264" s="618"/>
      <c r="U264" s="618"/>
      <c r="V264" s="618"/>
      <c r="W264" s="618"/>
      <c r="X264" s="618"/>
      <c r="Y264" s="618"/>
      <c r="Z264" s="618"/>
      <c r="AA264" s="618"/>
      <c r="AB264" s="618"/>
      <c r="AC264" s="618"/>
      <c r="AD264" s="618"/>
      <c r="AE264" s="618"/>
      <c r="AF264" s="618"/>
      <c r="AG264" s="618"/>
      <c r="AH264" s="618"/>
      <c r="AI264" s="618"/>
      <c r="AJ264" s="618"/>
      <c r="AK264" s="618"/>
      <c r="AL264" s="1"/>
    </row>
    <row r="265" spans="1:38" ht="14.25" customHeight="1" x14ac:dyDescent="0.45">
      <c r="A265" s="618"/>
      <c r="B265" s="618"/>
      <c r="C265" s="5"/>
      <c r="D265" s="618"/>
      <c r="E265" s="618"/>
      <c r="F265" s="618"/>
      <c r="G265" s="618"/>
      <c r="H265" s="618"/>
      <c r="I265" s="618"/>
      <c r="J265" s="618"/>
      <c r="K265" s="618"/>
      <c r="L265" s="618"/>
      <c r="M265" s="618"/>
      <c r="N265" s="618"/>
      <c r="O265" s="618"/>
      <c r="P265" s="618"/>
      <c r="Q265" s="618"/>
      <c r="R265" s="618"/>
      <c r="S265" s="618"/>
      <c r="T265" s="618"/>
      <c r="U265" s="618"/>
      <c r="V265" s="618"/>
      <c r="W265" s="618"/>
      <c r="X265" s="618"/>
      <c r="Y265" s="618"/>
      <c r="Z265" s="618"/>
      <c r="AA265" s="618"/>
      <c r="AB265" s="618"/>
      <c r="AC265" s="618"/>
      <c r="AD265" s="618"/>
      <c r="AE265" s="618"/>
      <c r="AF265" s="618"/>
      <c r="AG265" s="618"/>
      <c r="AH265" s="618"/>
      <c r="AI265" s="618"/>
      <c r="AJ265" s="618"/>
      <c r="AK265" s="618"/>
      <c r="AL265" s="1"/>
    </row>
    <row r="266" spans="1:38" ht="14.25" customHeight="1" x14ac:dyDescent="0.45">
      <c r="A266" s="618"/>
      <c r="B266" s="618"/>
      <c r="C266" s="5"/>
      <c r="D266" s="618"/>
      <c r="E266" s="618"/>
      <c r="F266" s="618"/>
      <c r="G266" s="618"/>
      <c r="H266" s="618"/>
      <c r="I266" s="618"/>
      <c r="J266" s="618"/>
      <c r="K266" s="618"/>
      <c r="L266" s="618"/>
      <c r="M266" s="618"/>
      <c r="N266" s="618"/>
      <c r="O266" s="618"/>
      <c r="P266" s="618"/>
      <c r="Q266" s="618"/>
      <c r="R266" s="618"/>
      <c r="S266" s="618"/>
      <c r="T266" s="618"/>
      <c r="U266" s="618"/>
      <c r="V266" s="618"/>
      <c r="W266" s="618"/>
      <c r="X266" s="618"/>
      <c r="Y266" s="618"/>
      <c r="Z266" s="618"/>
      <c r="AA266" s="618"/>
      <c r="AB266" s="618"/>
      <c r="AC266" s="618"/>
      <c r="AD266" s="618"/>
      <c r="AE266" s="618"/>
      <c r="AF266" s="618"/>
      <c r="AG266" s="618"/>
      <c r="AH266" s="618"/>
      <c r="AI266" s="618"/>
      <c r="AJ266" s="618"/>
      <c r="AK266" s="618"/>
      <c r="AL266" s="1"/>
    </row>
    <row r="267" spans="1:38" ht="14.25" customHeight="1" x14ac:dyDescent="0.45">
      <c r="A267" s="618"/>
      <c r="B267" s="618"/>
      <c r="C267" s="5"/>
      <c r="D267" s="618"/>
      <c r="E267" s="618"/>
      <c r="F267" s="618"/>
      <c r="G267" s="618"/>
      <c r="H267" s="618"/>
      <c r="I267" s="618"/>
      <c r="J267" s="618"/>
      <c r="K267" s="618"/>
      <c r="L267" s="618"/>
      <c r="M267" s="618"/>
      <c r="N267" s="618"/>
      <c r="O267" s="618"/>
      <c r="P267" s="618"/>
      <c r="Q267" s="618"/>
      <c r="R267" s="618"/>
      <c r="S267" s="618"/>
      <c r="T267" s="618"/>
      <c r="U267" s="618"/>
      <c r="V267" s="618"/>
      <c r="W267" s="618"/>
      <c r="X267" s="618"/>
      <c r="Y267" s="618"/>
      <c r="Z267" s="618"/>
      <c r="AA267" s="618"/>
      <c r="AB267" s="618"/>
      <c r="AC267" s="618"/>
      <c r="AD267" s="618"/>
      <c r="AE267" s="618"/>
      <c r="AF267" s="618"/>
      <c r="AG267" s="618"/>
      <c r="AH267" s="618"/>
      <c r="AI267" s="618"/>
      <c r="AJ267" s="618"/>
      <c r="AK267" s="618"/>
      <c r="AL267" s="1"/>
    </row>
    <row r="268" spans="1:38" ht="14.25" customHeight="1" x14ac:dyDescent="0.45">
      <c r="A268" s="618"/>
      <c r="B268" s="618"/>
      <c r="C268" s="5"/>
      <c r="D268" s="618"/>
      <c r="E268" s="618"/>
      <c r="F268" s="618"/>
      <c r="G268" s="618"/>
      <c r="H268" s="618"/>
      <c r="I268" s="618"/>
      <c r="J268" s="618"/>
      <c r="K268" s="618"/>
      <c r="L268" s="618"/>
      <c r="M268" s="618"/>
      <c r="N268" s="618"/>
      <c r="O268" s="618"/>
      <c r="P268" s="618"/>
      <c r="Q268" s="618"/>
      <c r="R268" s="618"/>
      <c r="S268" s="618"/>
      <c r="T268" s="618"/>
      <c r="U268" s="618"/>
      <c r="V268" s="618"/>
      <c r="W268" s="618"/>
      <c r="X268" s="618"/>
      <c r="Y268" s="618"/>
      <c r="Z268" s="618"/>
      <c r="AA268" s="618"/>
      <c r="AB268" s="618"/>
      <c r="AC268" s="618"/>
      <c r="AD268" s="618"/>
      <c r="AE268" s="618"/>
      <c r="AF268" s="618"/>
      <c r="AG268" s="618"/>
      <c r="AH268" s="618"/>
      <c r="AI268" s="618"/>
      <c r="AJ268" s="618"/>
      <c r="AK268" s="618"/>
      <c r="AL268" s="1"/>
    </row>
    <row r="269" spans="1:38" ht="14.25" customHeight="1" x14ac:dyDescent="0.45">
      <c r="A269" s="618"/>
      <c r="B269" s="618"/>
      <c r="C269" s="5"/>
      <c r="D269" s="618"/>
      <c r="E269" s="618"/>
      <c r="F269" s="618"/>
      <c r="G269" s="618"/>
      <c r="H269" s="618"/>
      <c r="I269" s="618"/>
      <c r="J269" s="618"/>
      <c r="K269" s="618"/>
      <c r="L269" s="618"/>
      <c r="M269" s="618"/>
      <c r="N269" s="618"/>
      <c r="O269" s="618"/>
      <c r="P269" s="618"/>
      <c r="Q269" s="618"/>
      <c r="R269" s="618"/>
      <c r="S269" s="618"/>
      <c r="T269" s="618"/>
      <c r="U269" s="618"/>
      <c r="V269" s="618"/>
      <c r="W269" s="618"/>
      <c r="X269" s="618"/>
      <c r="Y269" s="618"/>
      <c r="Z269" s="618"/>
      <c r="AA269" s="618"/>
      <c r="AB269" s="618"/>
      <c r="AC269" s="618"/>
      <c r="AD269" s="618"/>
      <c r="AE269" s="618"/>
      <c r="AF269" s="618"/>
      <c r="AG269" s="618"/>
      <c r="AH269" s="618"/>
      <c r="AI269" s="618"/>
      <c r="AJ269" s="618"/>
      <c r="AK269" s="618"/>
      <c r="AL269" s="1"/>
    </row>
    <row r="270" spans="1:38" ht="14.25" customHeight="1" x14ac:dyDescent="0.45">
      <c r="A270" s="618"/>
      <c r="B270" s="618"/>
      <c r="C270" s="5"/>
      <c r="D270" s="618"/>
      <c r="E270" s="618"/>
      <c r="F270" s="618"/>
      <c r="G270" s="618"/>
      <c r="H270" s="618"/>
      <c r="I270" s="618"/>
      <c r="J270" s="618"/>
      <c r="K270" s="618"/>
      <c r="L270" s="618"/>
      <c r="M270" s="618"/>
      <c r="N270" s="618"/>
      <c r="O270" s="618"/>
      <c r="P270" s="618"/>
      <c r="Q270" s="618"/>
      <c r="R270" s="618"/>
      <c r="S270" s="618"/>
      <c r="T270" s="618"/>
      <c r="U270" s="618"/>
      <c r="V270" s="618"/>
      <c r="W270" s="618"/>
      <c r="X270" s="618"/>
      <c r="Y270" s="618"/>
      <c r="Z270" s="618"/>
      <c r="AA270" s="618"/>
      <c r="AB270" s="618"/>
      <c r="AC270" s="618"/>
      <c r="AD270" s="618"/>
      <c r="AE270" s="618"/>
      <c r="AF270" s="618"/>
      <c r="AG270" s="618"/>
      <c r="AH270" s="618"/>
      <c r="AI270" s="618"/>
      <c r="AJ270" s="618"/>
      <c r="AK270" s="618"/>
      <c r="AL270" s="1"/>
    </row>
    <row r="271" spans="1:38" ht="14.25" customHeight="1" x14ac:dyDescent="0.45">
      <c r="A271" s="618"/>
      <c r="B271" s="618"/>
      <c r="C271" s="5"/>
      <c r="D271" s="618"/>
      <c r="E271" s="618"/>
      <c r="F271" s="618"/>
      <c r="G271" s="618"/>
      <c r="H271" s="618"/>
      <c r="I271" s="618"/>
      <c r="J271" s="618"/>
      <c r="K271" s="618"/>
      <c r="L271" s="618"/>
      <c r="M271" s="618"/>
      <c r="N271" s="618"/>
      <c r="O271" s="618"/>
      <c r="P271" s="618"/>
      <c r="Q271" s="618"/>
      <c r="R271" s="618"/>
      <c r="S271" s="618"/>
      <c r="T271" s="618"/>
      <c r="U271" s="618"/>
      <c r="V271" s="618"/>
      <c r="W271" s="618"/>
      <c r="X271" s="618"/>
      <c r="Y271" s="618"/>
      <c r="Z271" s="618"/>
      <c r="AA271" s="618"/>
      <c r="AB271" s="618"/>
      <c r="AC271" s="618"/>
      <c r="AD271" s="618"/>
      <c r="AE271" s="618"/>
      <c r="AF271" s="618"/>
      <c r="AG271" s="618"/>
      <c r="AH271" s="618"/>
      <c r="AI271" s="618"/>
      <c r="AJ271" s="618"/>
      <c r="AK271" s="618"/>
      <c r="AL271" s="1"/>
    </row>
    <row r="272" spans="1:38" ht="14.25" customHeight="1" x14ac:dyDescent="0.45">
      <c r="A272" s="618"/>
      <c r="B272" s="618"/>
      <c r="C272" s="5"/>
      <c r="D272" s="618"/>
      <c r="E272" s="618"/>
      <c r="F272" s="618"/>
      <c r="G272" s="618"/>
      <c r="H272" s="618"/>
      <c r="I272" s="618"/>
      <c r="J272" s="618"/>
      <c r="K272" s="618"/>
      <c r="L272" s="618"/>
      <c r="M272" s="618"/>
      <c r="N272" s="618"/>
      <c r="O272" s="618"/>
      <c r="P272" s="618"/>
      <c r="Q272" s="618"/>
      <c r="R272" s="618"/>
      <c r="S272" s="618"/>
      <c r="T272" s="618"/>
      <c r="U272" s="618"/>
      <c r="V272" s="618"/>
      <c r="W272" s="618"/>
      <c r="X272" s="618"/>
      <c r="Y272" s="618"/>
      <c r="Z272" s="618"/>
      <c r="AA272" s="618"/>
      <c r="AB272" s="618"/>
      <c r="AC272" s="618"/>
      <c r="AD272" s="618"/>
      <c r="AE272" s="618"/>
      <c r="AF272" s="618"/>
      <c r="AG272" s="618"/>
      <c r="AH272" s="618"/>
      <c r="AI272" s="618"/>
      <c r="AJ272" s="618"/>
      <c r="AK272" s="618"/>
      <c r="AL272" s="1"/>
    </row>
    <row r="273" spans="1:38" ht="14.25" customHeight="1" x14ac:dyDescent="0.45">
      <c r="A273" s="618"/>
      <c r="B273" s="618"/>
      <c r="C273" s="5"/>
      <c r="D273" s="618"/>
      <c r="E273" s="618"/>
      <c r="F273" s="618"/>
      <c r="G273" s="618"/>
      <c r="H273" s="618"/>
      <c r="I273" s="618"/>
      <c r="J273" s="618"/>
      <c r="K273" s="618"/>
      <c r="L273" s="618"/>
      <c r="M273" s="618"/>
      <c r="N273" s="618"/>
      <c r="O273" s="618"/>
      <c r="P273" s="618"/>
      <c r="Q273" s="618"/>
      <c r="R273" s="618"/>
      <c r="S273" s="618"/>
      <c r="T273" s="618"/>
      <c r="U273" s="618"/>
      <c r="V273" s="618"/>
      <c r="W273" s="618"/>
      <c r="X273" s="618"/>
      <c r="Y273" s="618"/>
      <c r="Z273" s="618"/>
      <c r="AA273" s="618"/>
      <c r="AB273" s="618"/>
      <c r="AC273" s="618"/>
      <c r="AD273" s="618"/>
      <c r="AE273" s="618"/>
      <c r="AF273" s="618"/>
      <c r="AG273" s="618"/>
      <c r="AH273" s="618"/>
      <c r="AI273" s="618"/>
      <c r="AJ273" s="618"/>
      <c r="AK273" s="618"/>
      <c r="AL273" s="1"/>
    </row>
    <row r="274" spans="1:38" ht="14.25" customHeight="1" x14ac:dyDescent="0.45">
      <c r="A274" s="618"/>
      <c r="B274" s="618"/>
      <c r="C274" s="5"/>
      <c r="D274" s="618"/>
      <c r="E274" s="618"/>
      <c r="F274" s="618"/>
      <c r="G274" s="618"/>
      <c r="H274" s="618"/>
      <c r="I274" s="618"/>
      <c r="J274" s="618"/>
      <c r="K274" s="618"/>
      <c r="L274" s="618"/>
      <c r="M274" s="618"/>
      <c r="N274" s="618"/>
      <c r="O274" s="618"/>
      <c r="P274" s="618"/>
      <c r="Q274" s="618"/>
      <c r="R274" s="618"/>
      <c r="S274" s="618"/>
      <c r="T274" s="618"/>
      <c r="U274" s="618"/>
      <c r="V274" s="618"/>
      <c r="W274" s="618"/>
      <c r="X274" s="618"/>
      <c r="Y274" s="618"/>
      <c r="Z274" s="618"/>
      <c r="AA274" s="618"/>
      <c r="AB274" s="618"/>
      <c r="AC274" s="618"/>
      <c r="AD274" s="618"/>
      <c r="AE274" s="618"/>
      <c r="AF274" s="618"/>
      <c r="AG274" s="618"/>
      <c r="AH274" s="618"/>
      <c r="AI274" s="618"/>
      <c r="AJ274" s="618"/>
      <c r="AK274" s="618"/>
      <c r="AL274" s="1"/>
    </row>
    <row r="275" spans="1:38" ht="14.25" customHeight="1" x14ac:dyDescent="0.45">
      <c r="A275" s="618"/>
      <c r="B275" s="618"/>
      <c r="C275" s="5"/>
      <c r="D275" s="618"/>
      <c r="E275" s="618"/>
      <c r="F275" s="618"/>
      <c r="G275" s="618"/>
      <c r="H275" s="618"/>
      <c r="I275" s="618"/>
      <c r="J275" s="618"/>
      <c r="K275" s="618"/>
      <c r="L275" s="618"/>
      <c r="M275" s="618"/>
      <c r="N275" s="618"/>
      <c r="O275" s="618"/>
      <c r="P275" s="618"/>
      <c r="Q275" s="618"/>
      <c r="R275" s="618"/>
      <c r="S275" s="618"/>
      <c r="T275" s="618"/>
      <c r="U275" s="618"/>
      <c r="V275" s="618"/>
      <c r="W275" s="618"/>
      <c r="X275" s="618"/>
      <c r="Y275" s="618"/>
      <c r="Z275" s="618"/>
      <c r="AA275" s="618"/>
      <c r="AB275" s="618"/>
      <c r="AC275" s="618"/>
      <c r="AD275" s="618"/>
      <c r="AE275" s="618"/>
      <c r="AF275" s="618"/>
      <c r="AG275" s="618"/>
      <c r="AH275" s="618"/>
      <c r="AI275" s="618"/>
      <c r="AJ275" s="618"/>
      <c r="AK275" s="618"/>
      <c r="AL275" s="1"/>
    </row>
    <row r="276" spans="1:38" ht="14.25" customHeight="1" x14ac:dyDescent="0.45">
      <c r="A276" s="618"/>
      <c r="B276" s="618"/>
      <c r="C276" s="5"/>
      <c r="D276" s="618"/>
      <c r="E276" s="618"/>
      <c r="F276" s="618"/>
      <c r="G276" s="618"/>
      <c r="H276" s="618"/>
      <c r="I276" s="618"/>
      <c r="J276" s="618"/>
      <c r="K276" s="618"/>
      <c r="L276" s="618"/>
      <c r="M276" s="618"/>
      <c r="N276" s="618"/>
      <c r="O276" s="618"/>
      <c r="P276" s="618"/>
      <c r="Q276" s="618"/>
      <c r="R276" s="618"/>
      <c r="S276" s="618"/>
      <c r="T276" s="618"/>
      <c r="U276" s="618"/>
      <c r="V276" s="618"/>
      <c r="W276" s="618"/>
      <c r="X276" s="618"/>
      <c r="Y276" s="618"/>
      <c r="Z276" s="618"/>
      <c r="AA276" s="618"/>
      <c r="AB276" s="618"/>
      <c r="AC276" s="618"/>
      <c r="AD276" s="618"/>
      <c r="AE276" s="618"/>
      <c r="AF276" s="618"/>
      <c r="AG276" s="618"/>
      <c r="AH276" s="618"/>
      <c r="AI276" s="618"/>
      <c r="AJ276" s="618"/>
      <c r="AK276" s="618"/>
      <c r="AL276" s="1"/>
    </row>
    <row r="277" spans="1:38" ht="14.25" customHeight="1" x14ac:dyDescent="0.45">
      <c r="A277" s="618"/>
      <c r="B277" s="618"/>
      <c r="C277" s="5"/>
      <c r="D277" s="618"/>
      <c r="E277" s="618"/>
      <c r="F277" s="618"/>
      <c r="G277" s="618"/>
      <c r="H277" s="618"/>
      <c r="I277" s="618"/>
      <c r="J277" s="618"/>
      <c r="K277" s="618"/>
      <c r="L277" s="618"/>
      <c r="M277" s="618"/>
      <c r="N277" s="618"/>
      <c r="O277" s="618"/>
      <c r="P277" s="618"/>
      <c r="Q277" s="618"/>
      <c r="R277" s="618"/>
      <c r="S277" s="618"/>
      <c r="T277" s="618"/>
      <c r="U277" s="618"/>
      <c r="V277" s="618"/>
      <c r="W277" s="618"/>
      <c r="X277" s="618"/>
      <c r="Y277" s="618"/>
      <c r="Z277" s="618"/>
      <c r="AA277" s="618"/>
      <c r="AB277" s="618"/>
      <c r="AC277" s="618"/>
      <c r="AD277" s="618"/>
      <c r="AE277" s="618"/>
      <c r="AF277" s="618"/>
      <c r="AG277" s="618"/>
      <c r="AH277" s="618"/>
      <c r="AI277" s="618"/>
      <c r="AJ277" s="618"/>
      <c r="AK277" s="618"/>
      <c r="AL277" s="1"/>
    </row>
    <row r="278" spans="1:38" ht="14.25" customHeight="1" x14ac:dyDescent="0.45">
      <c r="A278" s="618"/>
      <c r="B278" s="618"/>
      <c r="C278" s="5"/>
      <c r="D278" s="618"/>
      <c r="E278" s="618"/>
      <c r="F278" s="618"/>
      <c r="G278" s="618"/>
      <c r="H278" s="618"/>
      <c r="I278" s="618"/>
      <c r="J278" s="618"/>
      <c r="K278" s="618"/>
      <c r="L278" s="618"/>
      <c r="M278" s="618"/>
      <c r="N278" s="618"/>
      <c r="O278" s="618"/>
      <c r="P278" s="618"/>
      <c r="Q278" s="618"/>
      <c r="R278" s="618"/>
      <c r="S278" s="618"/>
      <c r="T278" s="618"/>
      <c r="U278" s="618"/>
      <c r="V278" s="618"/>
      <c r="W278" s="618"/>
      <c r="X278" s="618"/>
      <c r="Y278" s="618"/>
      <c r="Z278" s="618"/>
      <c r="AA278" s="618"/>
      <c r="AB278" s="618"/>
      <c r="AC278" s="618"/>
      <c r="AD278" s="618"/>
      <c r="AE278" s="618"/>
      <c r="AF278" s="618"/>
      <c r="AG278" s="618"/>
      <c r="AH278" s="618"/>
      <c r="AI278" s="618"/>
      <c r="AJ278" s="618"/>
      <c r="AK278" s="618"/>
      <c r="AL278" s="1"/>
    </row>
    <row r="279" spans="1:38" ht="14.25" customHeight="1" x14ac:dyDescent="0.45">
      <c r="A279" s="618"/>
      <c r="B279" s="618"/>
      <c r="C279" s="5"/>
      <c r="D279" s="618"/>
      <c r="E279" s="618"/>
      <c r="F279" s="618"/>
      <c r="G279" s="618"/>
      <c r="H279" s="618"/>
      <c r="I279" s="618"/>
      <c r="J279" s="618"/>
      <c r="K279" s="618"/>
      <c r="L279" s="618"/>
      <c r="M279" s="618"/>
      <c r="N279" s="618"/>
      <c r="O279" s="618"/>
      <c r="P279" s="618"/>
      <c r="Q279" s="618"/>
      <c r="R279" s="618"/>
      <c r="S279" s="618"/>
      <c r="T279" s="618"/>
      <c r="U279" s="618"/>
      <c r="V279" s="618"/>
      <c r="W279" s="618"/>
      <c r="X279" s="618"/>
      <c r="Y279" s="618"/>
      <c r="Z279" s="618"/>
      <c r="AA279" s="618"/>
      <c r="AB279" s="618"/>
      <c r="AC279" s="618"/>
      <c r="AD279" s="618"/>
      <c r="AE279" s="618"/>
      <c r="AF279" s="618"/>
      <c r="AG279" s="618"/>
      <c r="AH279" s="618"/>
      <c r="AI279" s="618"/>
      <c r="AJ279" s="618"/>
      <c r="AK279" s="618"/>
      <c r="AL279" s="1"/>
    </row>
    <row r="280" spans="1:38" ht="14.25" customHeight="1" x14ac:dyDescent="0.45">
      <c r="A280" s="618"/>
      <c r="B280" s="618"/>
      <c r="C280" s="5"/>
      <c r="D280" s="618"/>
      <c r="E280" s="618"/>
      <c r="F280" s="618"/>
      <c r="G280" s="618"/>
      <c r="H280" s="618"/>
      <c r="I280" s="618"/>
      <c r="J280" s="618"/>
      <c r="K280" s="618"/>
      <c r="L280" s="618"/>
      <c r="M280" s="618"/>
      <c r="N280" s="618"/>
      <c r="O280" s="618"/>
      <c r="P280" s="618"/>
      <c r="Q280" s="618"/>
      <c r="R280" s="618"/>
      <c r="S280" s="618"/>
      <c r="T280" s="618"/>
      <c r="U280" s="618"/>
      <c r="V280" s="618"/>
      <c r="W280" s="618"/>
      <c r="X280" s="618"/>
      <c r="Y280" s="618"/>
      <c r="Z280" s="618"/>
      <c r="AA280" s="618"/>
      <c r="AB280" s="618"/>
      <c r="AC280" s="618"/>
      <c r="AD280" s="618"/>
      <c r="AE280" s="618"/>
      <c r="AF280" s="618"/>
      <c r="AG280" s="618"/>
      <c r="AH280" s="618"/>
      <c r="AI280" s="618"/>
      <c r="AJ280" s="618"/>
      <c r="AK280" s="618"/>
      <c r="AL280" s="1"/>
    </row>
    <row r="281" spans="1:38" ht="14.25" customHeight="1" x14ac:dyDescent="0.45">
      <c r="A281" s="618"/>
      <c r="B281" s="618"/>
      <c r="C281" s="5"/>
      <c r="D281" s="618"/>
      <c r="E281" s="618"/>
      <c r="F281" s="618"/>
      <c r="G281" s="618"/>
      <c r="H281" s="618"/>
      <c r="I281" s="618"/>
      <c r="J281" s="618"/>
      <c r="K281" s="618"/>
      <c r="L281" s="618"/>
      <c r="M281" s="618"/>
      <c r="N281" s="618"/>
      <c r="O281" s="618"/>
      <c r="P281" s="618"/>
      <c r="Q281" s="618"/>
      <c r="R281" s="618"/>
      <c r="S281" s="618"/>
      <c r="T281" s="618"/>
      <c r="U281" s="618"/>
      <c r="V281" s="618"/>
      <c r="W281" s="618"/>
      <c r="X281" s="618"/>
      <c r="Y281" s="618"/>
      <c r="Z281" s="618"/>
      <c r="AA281" s="618"/>
      <c r="AB281" s="618"/>
      <c r="AC281" s="618"/>
      <c r="AD281" s="618"/>
      <c r="AE281" s="618"/>
      <c r="AF281" s="618"/>
      <c r="AG281" s="618"/>
      <c r="AH281" s="618"/>
      <c r="AI281" s="618"/>
      <c r="AJ281" s="618"/>
      <c r="AK281" s="618"/>
      <c r="AL281" s="1"/>
    </row>
    <row r="282" spans="1:38" ht="14.25" customHeight="1" x14ac:dyDescent="0.45">
      <c r="A282" s="618"/>
      <c r="B282" s="618"/>
      <c r="C282" s="5"/>
      <c r="D282" s="618"/>
      <c r="E282" s="618"/>
      <c r="F282" s="618"/>
      <c r="G282" s="618"/>
      <c r="H282" s="618"/>
      <c r="I282" s="618"/>
      <c r="J282" s="618"/>
      <c r="K282" s="618"/>
      <c r="L282" s="618"/>
      <c r="M282" s="618"/>
      <c r="N282" s="618"/>
      <c r="O282" s="618"/>
      <c r="P282" s="618"/>
      <c r="Q282" s="618"/>
      <c r="R282" s="618"/>
      <c r="S282" s="618"/>
      <c r="T282" s="618"/>
      <c r="U282" s="618"/>
      <c r="V282" s="618"/>
      <c r="W282" s="618"/>
      <c r="X282" s="618"/>
      <c r="Y282" s="618"/>
      <c r="Z282" s="618"/>
      <c r="AA282" s="618"/>
      <c r="AB282" s="618"/>
      <c r="AC282" s="618"/>
      <c r="AD282" s="618"/>
      <c r="AE282" s="618"/>
      <c r="AF282" s="618"/>
      <c r="AG282" s="618"/>
      <c r="AH282" s="618"/>
      <c r="AI282" s="618"/>
      <c r="AJ282" s="618"/>
      <c r="AK282" s="618"/>
      <c r="AL282" s="1"/>
    </row>
    <row r="283" spans="1:38" ht="14.25" customHeight="1" x14ac:dyDescent="0.45">
      <c r="A283" s="618"/>
      <c r="B283" s="618"/>
      <c r="C283" s="5"/>
      <c r="D283" s="618"/>
      <c r="E283" s="618"/>
      <c r="F283" s="618"/>
      <c r="G283" s="618"/>
      <c r="H283" s="618"/>
      <c r="I283" s="618"/>
      <c r="J283" s="618"/>
      <c r="K283" s="618"/>
      <c r="L283" s="618"/>
      <c r="M283" s="618"/>
      <c r="N283" s="618"/>
      <c r="O283" s="618"/>
      <c r="P283" s="618"/>
      <c r="Q283" s="618"/>
      <c r="R283" s="618"/>
      <c r="S283" s="618"/>
      <c r="T283" s="618"/>
      <c r="U283" s="618"/>
      <c r="V283" s="618"/>
      <c r="W283" s="618"/>
      <c r="X283" s="618"/>
      <c r="Y283" s="618"/>
      <c r="Z283" s="618"/>
      <c r="AA283" s="618"/>
      <c r="AB283" s="618"/>
      <c r="AC283" s="618"/>
      <c r="AD283" s="618"/>
      <c r="AE283" s="618"/>
      <c r="AF283" s="618"/>
      <c r="AG283" s="618"/>
      <c r="AH283" s="618"/>
      <c r="AI283" s="618"/>
      <c r="AJ283" s="618"/>
      <c r="AK283" s="618"/>
      <c r="AL283" s="1"/>
    </row>
    <row r="284" spans="1:38" ht="14.25" customHeight="1" x14ac:dyDescent="0.45">
      <c r="A284" s="618"/>
      <c r="B284" s="618"/>
      <c r="C284" s="5"/>
      <c r="D284" s="618"/>
      <c r="E284" s="618"/>
      <c r="F284" s="618"/>
      <c r="G284" s="618"/>
      <c r="H284" s="618"/>
      <c r="I284" s="618"/>
      <c r="J284" s="618"/>
      <c r="K284" s="618"/>
      <c r="L284" s="618"/>
      <c r="M284" s="618"/>
      <c r="N284" s="618"/>
      <c r="O284" s="618"/>
      <c r="P284" s="618"/>
      <c r="Q284" s="618"/>
      <c r="R284" s="618"/>
      <c r="S284" s="618"/>
      <c r="T284" s="618"/>
      <c r="U284" s="618"/>
      <c r="V284" s="618"/>
      <c r="W284" s="618"/>
      <c r="X284" s="618"/>
      <c r="Y284" s="618"/>
      <c r="Z284" s="618"/>
      <c r="AA284" s="618"/>
      <c r="AB284" s="618"/>
      <c r="AC284" s="618"/>
      <c r="AD284" s="618"/>
      <c r="AE284" s="618"/>
      <c r="AF284" s="618"/>
      <c r="AG284" s="618"/>
      <c r="AH284" s="618"/>
      <c r="AI284" s="618"/>
      <c r="AJ284" s="618"/>
      <c r="AK284" s="618"/>
      <c r="AL284" s="1"/>
    </row>
    <row r="285" spans="1:38" ht="14.25" customHeight="1" x14ac:dyDescent="0.45">
      <c r="A285" s="618"/>
      <c r="B285" s="618"/>
      <c r="C285" s="5"/>
      <c r="D285" s="618"/>
      <c r="E285" s="618"/>
      <c r="F285" s="618"/>
      <c r="G285" s="618"/>
      <c r="H285" s="618"/>
      <c r="I285" s="618"/>
      <c r="J285" s="618"/>
      <c r="K285" s="618"/>
      <c r="L285" s="618"/>
      <c r="M285" s="618"/>
      <c r="N285" s="618"/>
      <c r="O285" s="618"/>
      <c r="P285" s="618"/>
      <c r="Q285" s="618"/>
      <c r="R285" s="618"/>
      <c r="S285" s="618"/>
      <c r="T285" s="618"/>
      <c r="U285" s="618"/>
      <c r="V285" s="618"/>
      <c r="W285" s="618"/>
      <c r="X285" s="618"/>
      <c r="Y285" s="618"/>
      <c r="Z285" s="618"/>
      <c r="AA285" s="618"/>
      <c r="AB285" s="618"/>
      <c r="AC285" s="618"/>
      <c r="AD285" s="618"/>
      <c r="AE285" s="618"/>
      <c r="AF285" s="618"/>
      <c r="AG285" s="618"/>
      <c r="AH285" s="618"/>
      <c r="AI285" s="618"/>
      <c r="AJ285" s="618"/>
      <c r="AK285" s="618"/>
      <c r="AL285" s="1"/>
    </row>
    <row r="286" spans="1:38" ht="14.25" customHeight="1" x14ac:dyDescent="0.45">
      <c r="A286" s="618"/>
      <c r="B286" s="618"/>
      <c r="C286" s="5"/>
      <c r="D286" s="618"/>
      <c r="E286" s="618"/>
      <c r="F286" s="618"/>
      <c r="G286" s="618"/>
      <c r="H286" s="618"/>
      <c r="I286" s="618"/>
      <c r="J286" s="618"/>
      <c r="K286" s="618"/>
      <c r="L286" s="618"/>
      <c r="M286" s="618"/>
      <c r="N286" s="618"/>
      <c r="O286" s="618"/>
      <c r="P286" s="618"/>
      <c r="Q286" s="618"/>
      <c r="R286" s="618"/>
      <c r="S286" s="618"/>
      <c r="T286" s="618"/>
      <c r="U286" s="618"/>
      <c r="V286" s="618"/>
      <c r="W286" s="618"/>
      <c r="X286" s="618"/>
      <c r="Y286" s="618"/>
      <c r="Z286" s="618"/>
      <c r="AA286" s="618"/>
      <c r="AB286" s="618"/>
      <c r="AC286" s="618"/>
      <c r="AD286" s="618"/>
      <c r="AE286" s="618"/>
      <c r="AF286" s="618"/>
      <c r="AG286" s="618"/>
      <c r="AH286" s="618"/>
      <c r="AI286" s="618"/>
      <c r="AJ286" s="618"/>
      <c r="AK286" s="618"/>
      <c r="AL286" s="1"/>
    </row>
    <row r="287" spans="1:38" ht="14.25" customHeight="1" x14ac:dyDescent="0.45">
      <c r="A287" s="618"/>
      <c r="B287" s="618"/>
      <c r="C287" s="5"/>
      <c r="D287" s="618"/>
      <c r="E287" s="618"/>
      <c r="F287" s="618"/>
      <c r="G287" s="618"/>
      <c r="H287" s="618"/>
      <c r="I287" s="618"/>
      <c r="J287" s="618"/>
      <c r="K287" s="618"/>
      <c r="L287" s="618"/>
      <c r="M287" s="618"/>
      <c r="N287" s="618"/>
      <c r="O287" s="618"/>
      <c r="P287" s="618"/>
      <c r="Q287" s="618"/>
      <c r="R287" s="618"/>
      <c r="S287" s="618"/>
      <c r="T287" s="618"/>
      <c r="U287" s="618"/>
      <c r="V287" s="618"/>
      <c r="W287" s="618"/>
      <c r="X287" s="618"/>
      <c r="Y287" s="618"/>
      <c r="Z287" s="618"/>
      <c r="AA287" s="618"/>
      <c r="AB287" s="618"/>
      <c r="AC287" s="618"/>
      <c r="AD287" s="618"/>
      <c r="AE287" s="618"/>
      <c r="AF287" s="618"/>
      <c r="AG287" s="618"/>
      <c r="AH287" s="618"/>
      <c r="AI287" s="618"/>
      <c r="AJ287" s="618"/>
      <c r="AK287" s="618"/>
      <c r="AL287" s="1"/>
    </row>
    <row r="288" spans="1:38" ht="14.25" customHeight="1" x14ac:dyDescent="0.45">
      <c r="A288" s="618"/>
      <c r="B288" s="618"/>
      <c r="C288" s="5"/>
      <c r="D288" s="618"/>
      <c r="E288" s="618"/>
      <c r="F288" s="618"/>
      <c r="G288" s="618"/>
      <c r="H288" s="618"/>
      <c r="I288" s="618"/>
      <c r="J288" s="618"/>
      <c r="K288" s="618"/>
      <c r="L288" s="618"/>
      <c r="M288" s="618"/>
      <c r="N288" s="618"/>
      <c r="O288" s="618"/>
      <c r="P288" s="618"/>
      <c r="Q288" s="618"/>
      <c r="R288" s="618"/>
      <c r="S288" s="618"/>
      <c r="T288" s="618"/>
      <c r="U288" s="618"/>
      <c r="V288" s="618"/>
      <c r="W288" s="618"/>
      <c r="X288" s="618"/>
      <c r="Y288" s="618"/>
      <c r="Z288" s="618"/>
      <c r="AA288" s="618"/>
      <c r="AB288" s="618"/>
      <c r="AC288" s="618"/>
      <c r="AD288" s="618"/>
      <c r="AE288" s="618"/>
      <c r="AF288" s="618"/>
      <c r="AG288" s="618"/>
      <c r="AH288" s="618"/>
      <c r="AI288" s="618"/>
      <c r="AJ288" s="618"/>
      <c r="AK288" s="618"/>
      <c r="AL288" s="1"/>
    </row>
    <row r="289" spans="1:38" ht="14.25" customHeight="1" x14ac:dyDescent="0.45">
      <c r="A289" s="618"/>
      <c r="B289" s="618"/>
      <c r="C289" s="5"/>
      <c r="D289" s="618"/>
      <c r="E289" s="618"/>
      <c r="F289" s="618"/>
      <c r="G289" s="618"/>
      <c r="H289" s="618"/>
      <c r="I289" s="618"/>
      <c r="J289" s="618"/>
      <c r="K289" s="618"/>
      <c r="L289" s="618"/>
      <c r="M289" s="618"/>
      <c r="N289" s="618"/>
      <c r="O289" s="618"/>
      <c r="P289" s="618"/>
      <c r="Q289" s="618"/>
      <c r="R289" s="618"/>
      <c r="S289" s="618"/>
      <c r="T289" s="618"/>
      <c r="U289" s="618"/>
      <c r="V289" s="618"/>
      <c r="W289" s="618"/>
      <c r="X289" s="618"/>
      <c r="Y289" s="618"/>
      <c r="Z289" s="618"/>
      <c r="AA289" s="618"/>
      <c r="AB289" s="618"/>
      <c r="AC289" s="618"/>
      <c r="AD289" s="618"/>
      <c r="AE289" s="618"/>
      <c r="AF289" s="618"/>
      <c r="AG289" s="618"/>
      <c r="AH289" s="618"/>
      <c r="AI289" s="618"/>
      <c r="AJ289" s="618"/>
      <c r="AK289" s="618"/>
      <c r="AL289" s="1"/>
    </row>
    <row r="290" spans="1:38" ht="14.25" customHeight="1" x14ac:dyDescent="0.45">
      <c r="A290" s="618"/>
      <c r="B290" s="618"/>
      <c r="C290" s="5"/>
      <c r="D290" s="618"/>
      <c r="E290" s="618"/>
      <c r="F290" s="618"/>
      <c r="G290" s="618"/>
      <c r="H290" s="618"/>
      <c r="I290" s="618"/>
      <c r="J290" s="618"/>
      <c r="K290" s="618"/>
      <c r="L290" s="618"/>
      <c r="M290" s="618"/>
      <c r="N290" s="618"/>
      <c r="O290" s="618"/>
      <c r="P290" s="618"/>
      <c r="Q290" s="618"/>
      <c r="R290" s="618"/>
      <c r="S290" s="618"/>
      <c r="T290" s="618"/>
      <c r="U290" s="618"/>
      <c r="V290" s="618"/>
      <c r="W290" s="618"/>
      <c r="X290" s="618"/>
      <c r="Y290" s="618"/>
      <c r="Z290" s="618"/>
      <c r="AA290" s="618"/>
      <c r="AB290" s="618"/>
      <c r="AC290" s="618"/>
      <c r="AD290" s="618"/>
      <c r="AE290" s="618"/>
      <c r="AF290" s="618"/>
      <c r="AG290" s="618"/>
      <c r="AH290" s="618"/>
      <c r="AI290" s="618"/>
      <c r="AJ290" s="618"/>
      <c r="AK290" s="618"/>
      <c r="AL290" s="1"/>
    </row>
    <row r="291" spans="1:38" ht="14.25" customHeight="1" x14ac:dyDescent="0.45">
      <c r="A291" s="618"/>
      <c r="B291" s="618"/>
      <c r="C291" s="5"/>
      <c r="D291" s="618"/>
      <c r="E291" s="618"/>
      <c r="F291" s="618"/>
      <c r="G291" s="618"/>
      <c r="H291" s="618"/>
      <c r="I291" s="618"/>
      <c r="J291" s="618"/>
      <c r="K291" s="618"/>
      <c r="L291" s="618"/>
      <c r="M291" s="618"/>
      <c r="N291" s="618"/>
      <c r="O291" s="618"/>
      <c r="P291" s="618"/>
      <c r="Q291" s="618"/>
      <c r="R291" s="618"/>
      <c r="S291" s="618"/>
      <c r="T291" s="618"/>
      <c r="U291" s="618"/>
      <c r="V291" s="618"/>
      <c r="W291" s="618"/>
      <c r="X291" s="618"/>
      <c r="Y291" s="618"/>
      <c r="Z291" s="618"/>
      <c r="AA291" s="618"/>
      <c r="AB291" s="618"/>
      <c r="AC291" s="618"/>
      <c r="AD291" s="618"/>
      <c r="AE291" s="618"/>
      <c r="AF291" s="618"/>
      <c r="AG291" s="618"/>
      <c r="AH291" s="618"/>
      <c r="AI291" s="618"/>
      <c r="AJ291" s="618"/>
      <c r="AK291" s="618"/>
      <c r="AL291" s="1"/>
    </row>
    <row r="292" spans="1:38" ht="14.25" customHeight="1" x14ac:dyDescent="0.45">
      <c r="A292" s="618"/>
      <c r="B292" s="618"/>
      <c r="C292" s="5"/>
      <c r="D292" s="618"/>
      <c r="E292" s="618"/>
      <c r="F292" s="618"/>
      <c r="G292" s="618"/>
      <c r="H292" s="618"/>
      <c r="I292" s="618"/>
      <c r="J292" s="618"/>
      <c r="K292" s="618"/>
      <c r="L292" s="618"/>
      <c r="M292" s="618"/>
      <c r="N292" s="618"/>
      <c r="O292" s="618"/>
      <c r="P292" s="618"/>
      <c r="Q292" s="618"/>
      <c r="R292" s="618"/>
      <c r="S292" s="618"/>
      <c r="T292" s="618"/>
      <c r="U292" s="618"/>
      <c r="V292" s="618"/>
      <c r="W292" s="618"/>
      <c r="X292" s="618"/>
      <c r="Y292" s="618"/>
      <c r="Z292" s="618"/>
      <c r="AA292" s="618"/>
      <c r="AB292" s="618"/>
      <c r="AC292" s="618"/>
      <c r="AD292" s="618"/>
      <c r="AE292" s="618"/>
      <c r="AF292" s="618"/>
      <c r="AG292" s="618"/>
      <c r="AH292" s="618"/>
      <c r="AI292" s="618"/>
      <c r="AJ292" s="618"/>
      <c r="AK292" s="618"/>
      <c r="AL292" s="1"/>
    </row>
    <row r="293" spans="1:38" ht="14.25" customHeight="1" x14ac:dyDescent="0.45">
      <c r="A293" s="618"/>
      <c r="B293" s="618"/>
      <c r="C293" s="5"/>
      <c r="D293" s="618"/>
      <c r="E293" s="618"/>
      <c r="F293" s="618"/>
      <c r="G293" s="618"/>
      <c r="H293" s="618"/>
      <c r="I293" s="618"/>
      <c r="J293" s="618"/>
      <c r="K293" s="618"/>
      <c r="L293" s="618"/>
      <c r="M293" s="618"/>
      <c r="N293" s="618"/>
      <c r="O293" s="618"/>
      <c r="P293" s="618"/>
      <c r="Q293" s="618"/>
      <c r="R293" s="618"/>
      <c r="S293" s="618"/>
      <c r="T293" s="618"/>
      <c r="U293" s="618"/>
      <c r="V293" s="618"/>
      <c r="W293" s="618"/>
      <c r="X293" s="618"/>
      <c r="Y293" s="618"/>
      <c r="Z293" s="618"/>
      <c r="AA293" s="618"/>
      <c r="AB293" s="618"/>
      <c r="AC293" s="618"/>
      <c r="AD293" s="618"/>
      <c r="AE293" s="618"/>
      <c r="AF293" s="618"/>
      <c r="AG293" s="618"/>
      <c r="AH293" s="618"/>
      <c r="AI293" s="618"/>
      <c r="AJ293" s="618"/>
      <c r="AK293" s="618"/>
      <c r="AL293" s="1"/>
    </row>
    <row r="294" spans="1:38" ht="14.25" customHeight="1" x14ac:dyDescent="0.45">
      <c r="A294" s="618"/>
      <c r="B294" s="618"/>
      <c r="C294" s="5"/>
      <c r="D294" s="618"/>
      <c r="E294" s="618"/>
      <c r="F294" s="618"/>
      <c r="G294" s="618"/>
      <c r="H294" s="618"/>
      <c r="I294" s="618"/>
      <c r="J294" s="618"/>
      <c r="K294" s="618"/>
      <c r="L294" s="618"/>
      <c r="M294" s="618"/>
      <c r="N294" s="618"/>
      <c r="O294" s="618"/>
      <c r="P294" s="618"/>
      <c r="Q294" s="618"/>
      <c r="R294" s="618"/>
      <c r="S294" s="618"/>
      <c r="T294" s="618"/>
      <c r="U294" s="618"/>
      <c r="V294" s="618"/>
      <c r="W294" s="618"/>
      <c r="X294" s="618"/>
      <c r="Y294" s="618"/>
      <c r="Z294" s="618"/>
      <c r="AA294" s="618"/>
      <c r="AB294" s="618"/>
      <c r="AC294" s="618"/>
      <c r="AD294" s="618"/>
      <c r="AE294" s="618"/>
      <c r="AF294" s="618"/>
      <c r="AG294" s="618"/>
      <c r="AH294" s="618"/>
      <c r="AI294" s="618"/>
      <c r="AJ294" s="618"/>
      <c r="AK294" s="618"/>
      <c r="AL294" s="1"/>
    </row>
    <row r="295" spans="1:38" ht="14.25" customHeight="1" x14ac:dyDescent="0.45">
      <c r="A295" s="618"/>
      <c r="B295" s="618"/>
      <c r="C295" s="5"/>
      <c r="D295" s="618"/>
      <c r="E295" s="618"/>
      <c r="F295" s="618"/>
      <c r="G295" s="618"/>
      <c r="H295" s="618"/>
      <c r="I295" s="618"/>
      <c r="J295" s="618"/>
      <c r="K295" s="618"/>
      <c r="L295" s="618"/>
      <c r="M295" s="618"/>
      <c r="N295" s="618"/>
      <c r="O295" s="618"/>
      <c r="P295" s="618"/>
      <c r="Q295" s="618"/>
      <c r="R295" s="618"/>
      <c r="S295" s="618"/>
      <c r="T295" s="618"/>
      <c r="U295" s="618"/>
      <c r="V295" s="618"/>
      <c r="W295" s="618"/>
      <c r="X295" s="618"/>
      <c r="Y295" s="618"/>
      <c r="Z295" s="618"/>
      <c r="AA295" s="618"/>
      <c r="AB295" s="618"/>
      <c r="AC295" s="618"/>
      <c r="AD295" s="618"/>
      <c r="AE295" s="618"/>
      <c r="AF295" s="618"/>
      <c r="AG295" s="618"/>
      <c r="AH295" s="618"/>
      <c r="AI295" s="618"/>
      <c r="AJ295" s="618"/>
      <c r="AK295" s="618"/>
      <c r="AL295" s="1"/>
    </row>
    <row r="296" spans="1:38" ht="14.25" customHeight="1" x14ac:dyDescent="0.45">
      <c r="A296" s="618"/>
      <c r="B296" s="618"/>
      <c r="C296" s="5"/>
      <c r="D296" s="618"/>
      <c r="E296" s="618"/>
      <c r="F296" s="618"/>
      <c r="G296" s="618"/>
      <c r="H296" s="618"/>
      <c r="I296" s="618"/>
      <c r="J296" s="618"/>
      <c r="K296" s="618"/>
      <c r="L296" s="618"/>
      <c r="M296" s="618"/>
      <c r="N296" s="618"/>
      <c r="O296" s="618"/>
      <c r="P296" s="618"/>
      <c r="Q296" s="618"/>
      <c r="R296" s="618"/>
      <c r="S296" s="618"/>
      <c r="T296" s="618"/>
      <c r="U296" s="618"/>
      <c r="V296" s="618"/>
      <c r="W296" s="618"/>
      <c r="X296" s="618"/>
      <c r="Y296" s="618"/>
      <c r="Z296" s="618"/>
      <c r="AA296" s="618"/>
      <c r="AB296" s="618"/>
      <c r="AC296" s="618"/>
      <c r="AD296" s="618"/>
      <c r="AE296" s="618"/>
      <c r="AF296" s="618"/>
      <c r="AG296" s="618"/>
      <c r="AH296" s="618"/>
      <c r="AI296" s="618"/>
      <c r="AJ296" s="618"/>
      <c r="AK296" s="618"/>
      <c r="AL296" s="1"/>
    </row>
    <row r="297" spans="1:38" ht="14.25" customHeight="1" x14ac:dyDescent="0.45">
      <c r="A297" s="618"/>
      <c r="B297" s="618"/>
      <c r="C297" s="5"/>
      <c r="D297" s="618"/>
      <c r="E297" s="618"/>
      <c r="F297" s="618"/>
      <c r="G297" s="618"/>
      <c r="H297" s="618"/>
      <c r="I297" s="618"/>
      <c r="J297" s="618"/>
      <c r="K297" s="618"/>
      <c r="L297" s="618"/>
      <c r="M297" s="618"/>
      <c r="N297" s="618"/>
      <c r="O297" s="618"/>
      <c r="P297" s="618"/>
      <c r="Q297" s="618"/>
      <c r="R297" s="618"/>
      <c r="S297" s="618"/>
      <c r="T297" s="618"/>
      <c r="U297" s="618"/>
      <c r="V297" s="618"/>
      <c r="W297" s="618"/>
      <c r="X297" s="618"/>
      <c r="Y297" s="618"/>
      <c r="Z297" s="618"/>
      <c r="AA297" s="618"/>
      <c r="AB297" s="618"/>
      <c r="AC297" s="618"/>
      <c r="AD297" s="618"/>
      <c r="AE297" s="618"/>
      <c r="AF297" s="618"/>
      <c r="AG297" s="618"/>
      <c r="AH297" s="618"/>
      <c r="AI297" s="618"/>
      <c r="AJ297" s="618"/>
      <c r="AK297" s="618"/>
      <c r="AL297" s="1"/>
    </row>
    <row r="298" spans="1:38" ht="14.25" customHeight="1" x14ac:dyDescent="0.45">
      <c r="A298" s="618"/>
      <c r="B298" s="618"/>
      <c r="C298" s="5"/>
      <c r="D298" s="618"/>
      <c r="E298" s="618"/>
      <c r="F298" s="618"/>
      <c r="G298" s="618"/>
      <c r="H298" s="618"/>
      <c r="I298" s="618"/>
      <c r="J298" s="618"/>
      <c r="K298" s="618"/>
      <c r="L298" s="618"/>
      <c r="M298" s="618"/>
      <c r="N298" s="618"/>
      <c r="O298" s="618"/>
      <c r="P298" s="618"/>
      <c r="Q298" s="618"/>
      <c r="R298" s="618"/>
      <c r="S298" s="618"/>
      <c r="T298" s="618"/>
      <c r="U298" s="618"/>
      <c r="V298" s="618"/>
      <c r="W298" s="618"/>
      <c r="X298" s="618"/>
      <c r="Y298" s="618"/>
      <c r="Z298" s="618"/>
      <c r="AA298" s="618"/>
      <c r="AB298" s="618"/>
      <c r="AC298" s="618"/>
      <c r="AD298" s="618"/>
      <c r="AE298" s="618"/>
      <c r="AF298" s="618"/>
      <c r="AG298" s="618"/>
      <c r="AH298" s="618"/>
      <c r="AI298" s="618"/>
      <c r="AJ298" s="618"/>
      <c r="AK298" s="618"/>
      <c r="AL298" s="1"/>
    </row>
    <row r="299" spans="1:38" ht="14.25" customHeight="1" x14ac:dyDescent="0.45">
      <c r="A299" s="618"/>
      <c r="B299" s="618"/>
      <c r="C299" s="5"/>
      <c r="D299" s="618"/>
      <c r="E299" s="618"/>
      <c r="F299" s="618"/>
      <c r="G299" s="618"/>
      <c r="H299" s="618"/>
      <c r="I299" s="618"/>
      <c r="J299" s="618"/>
      <c r="K299" s="618"/>
      <c r="L299" s="618"/>
      <c r="M299" s="618"/>
      <c r="N299" s="618"/>
      <c r="O299" s="618"/>
      <c r="P299" s="618"/>
      <c r="Q299" s="618"/>
      <c r="R299" s="618"/>
      <c r="S299" s="618"/>
      <c r="T299" s="618"/>
      <c r="U299" s="618"/>
      <c r="V299" s="618"/>
      <c r="W299" s="618"/>
      <c r="X299" s="618"/>
      <c r="Y299" s="618"/>
      <c r="Z299" s="618"/>
      <c r="AA299" s="618"/>
      <c r="AB299" s="618"/>
      <c r="AC299" s="618"/>
      <c r="AD299" s="618"/>
      <c r="AE299" s="618"/>
      <c r="AF299" s="618"/>
      <c r="AG299" s="618"/>
      <c r="AH299" s="618"/>
      <c r="AI299" s="618"/>
      <c r="AJ299" s="618"/>
      <c r="AK299" s="618"/>
      <c r="AL299" s="1"/>
    </row>
    <row r="300" spans="1:38" ht="14.25" customHeight="1" x14ac:dyDescent="0.45">
      <c r="A300" s="618"/>
      <c r="B300" s="618"/>
      <c r="C300" s="5"/>
      <c r="D300" s="618"/>
      <c r="E300" s="618"/>
      <c r="F300" s="618"/>
      <c r="G300" s="618"/>
      <c r="H300" s="618"/>
      <c r="I300" s="618"/>
      <c r="J300" s="618"/>
      <c r="K300" s="618"/>
      <c r="L300" s="618"/>
      <c r="M300" s="618"/>
      <c r="N300" s="618"/>
      <c r="O300" s="618"/>
      <c r="P300" s="618"/>
      <c r="Q300" s="618"/>
      <c r="R300" s="618"/>
      <c r="S300" s="618"/>
      <c r="T300" s="618"/>
      <c r="U300" s="618"/>
      <c r="V300" s="618"/>
      <c r="W300" s="618"/>
      <c r="X300" s="618"/>
      <c r="Y300" s="618"/>
      <c r="Z300" s="618"/>
      <c r="AA300" s="618"/>
      <c r="AB300" s="618"/>
      <c r="AC300" s="618"/>
      <c r="AD300" s="618"/>
      <c r="AE300" s="618"/>
      <c r="AF300" s="618"/>
      <c r="AG300" s="618"/>
      <c r="AH300" s="618"/>
      <c r="AI300" s="618"/>
      <c r="AJ300" s="618"/>
      <c r="AK300" s="618"/>
      <c r="AL300" s="1"/>
    </row>
    <row r="301" spans="1:38" ht="14.25" customHeight="1" x14ac:dyDescent="0.45">
      <c r="A301" s="618"/>
      <c r="B301" s="618"/>
      <c r="C301" s="5"/>
      <c r="D301" s="618"/>
      <c r="E301" s="618"/>
      <c r="F301" s="618"/>
      <c r="G301" s="618"/>
      <c r="H301" s="618"/>
      <c r="I301" s="618"/>
      <c r="J301" s="618"/>
      <c r="K301" s="618"/>
      <c r="L301" s="618"/>
      <c r="M301" s="618"/>
      <c r="N301" s="618"/>
      <c r="O301" s="618"/>
      <c r="P301" s="618"/>
      <c r="Q301" s="618"/>
      <c r="R301" s="618"/>
      <c r="S301" s="618"/>
      <c r="T301" s="618"/>
      <c r="U301" s="618"/>
      <c r="V301" s="618"/>
      <c r="W301" s="618"/>
      <c r="X301" s="618"/>
      <c r="Y301" s="618"/>
      <c r="Z301" s="618"/>
      <c r="AA301" s="618"/>
      <c r="AB301" s="618"/>
      <c r="AC301" s="618"/>
      <c r="AD301" s="618"/>
      <c r="AE301" s="618"/>
      <c r="AF301" s="618"/>
      <c r="AG301" s="618"/>
      <c r="AH301" s="618"/>
      <c r="AI301" s="618"/>
      <c r="AJ301" s="618"/>
      <c r="AK301" s="618"/>
      <c r="AL301" s="1"/>
    </row>
    <row r="302" spans="1:38" ht="14.25" customHeight="1" x14ac:dyDescent="0.45">
      <c r="A302" s="618"/>
      <c r="B302" s="618"/>
      <c r="C302" s="5"/>
      <c r="D302" s="618"/>
      <c r="E302" s="618"/>
      <c r="F302" s="618"/>
      <c r="G302" s="618"/>
      <c r="H302" s="618"/>
      <c r="I302" s="618"/>
      <c r="J302" s="618"/>
      <c r="K302" s="618"/>
      <c r="L302" s="618"/>
      <c r="M302" s="618"/>
      <c r="N302" s="618"/>
      <c r="O302" s="618"/>
      <c r="P302" s="618"/>
      <c r="Q302" s="618"/>
      <c r="R302" s="618"/>
      <c r="S302" s="618"/>
      <c r="T302" s="618"/>
      <c r="U302" s="618"/>
      <c r="V302" s="618"/>
      <c r="W302" s="618"/>
      <c r="X302" s="618"/>
      <c r="Y302" s="618"/>
      <c r="Z302" s="618"/>
      <c r="AA302" s="618"/>
      <c r="AB302" s="618"/>
      <c r="AC302" s="618"/>
      <c r="AD302" s="618"/>
      <c r="AE302" s="618"/>
      <c r="AF302" s="618"/>
      <c r="AG302" s="618"/>
      <c r="AH302" s="618"/>
      <c r="AI302" s="618"/>
      <c r="AJ302" s="618"/>
      <c r="AK302" s="618"/>
      <c r="AL302" s="1"/>
    </row>
    <row r="303" spans="1:38" ht="14.25" customHeight="1" x14ac:dyDescent="0.45">
      <c r="A303" s="618"/>
      <c r="B303" s="618"/>
      <c r="C303" s="5"/>
      <c r="D303" s="618"/>
      <c r="E303" s="618"/>
      <c r="F303" s="618"/>
      <c r="G303" s="618"/>
      <c r="H303" s="618"/>
      <c r="I303" s="618"/>
      <c r="J303" s="618"/>
      <c r="K303" s="618"/>
      <c r="L303" s="618"/>
      <c r="M303" s="618"/>
      <c r="N303" s="618"/>
      <c r="O303" s="618"/>
      <c r="P303" s="618"/>
      <c r="Q303" s="618"/>
      <c r="R303" s="618"/>
      <c r="S303" s="618"/>
      <c r="T303" s="618"/>
      <c r="U303" s="618"/>
      <c r="V303" s="618"/>
      <c r="W303" s="618"/>
      <c r="X303" s="618"/>
      <c r="Y303" s="618"/>
      <c r="Z303" s="618"/>
      <c r="AA303" s="618"/>
      <c r="AB303" s="618"/>
      <c r="AC303" s="618"/>
      <c r="AD303" s="618"/>
      <c r="AE303" s="618"/>
      <c r="AF303" s="618"/>
      <c r="AG303" s="618"/>
      <c r="AH303" s="618"/>
      <c r="AI303" s="618"/>
      <c r="AJ303" s="618"/>
      <c r="AK303" s="618"/>
      <c r="AL303" s="1"/>
    </row>
    <row r="304" spans="1:38" ht="14.25" customHeight="1" x14ac:dyDescent="0.45">
      <c r="A304" s="618"/>
      <c r="B304" s="618"/>
      <c r="C304" s="5"/>
      <c r="D304" s="618"/>
      <c r="E304" s="618"/>
      <c r="F304" s="618"/>
      <c r="G304" s="618"/>
      <c r="H304" s="618"/>
      <c r="I304" s="618"/>
      <c r="J304" s="618"/>
      <c r="K304" s="618"/>
      <c r="L304" s="618"/>
      <c r="M304" s="618"/>
      <c r="N304" s="618"/>
      <c r="O304" s="618"/>
      <c r="P304" s="618"/>
      <c r="Q304" s="618"/>
      <c r="R304" s="618"/>
      <c r="S304" s="618"/>
      <c r="T304" s="618"/>
      <c r="U304" s="618"/>
      <c r="V304" s="618"/>
      <c r="W304" s="618"/>
      <c r="X304" s="618"/>
      <c r="Y304" s="618"/>
      <c r="Z304" s="618"/>
      <c r="AA304" s="618"/>
      <c r="AB304" s="618"/>
      <c r="AC304" s="618"/>
      <c r="AD304" s="618"/>
      <c r="AE304" s="618"/>
      <c r="AF304" s="618"/>
      <c r="AG304" s="618"/>
      <c r="AH304" s="618"/>
      <c r="AI304" s="618"/>
      <c r="AJ304" s="618"/>
      <c r="AK304" s="618"/>
      <c r="AL304" s="1"/>
    </row>
    <row r="305" spans="1:38" ht="14.25" customHeight="1" x14ac:dyDescent="0.45">
      <c r="A305" s="618"/>
      <c r="B305" s="618"/>
      <c r="C305" s="5"/>
      <c r="D305" s="618"/>
      <c r="E305" s="618"/>
      <c r="F305" s="618"/>
      <c r="G305" s="618"/>
      <c r="H305" s="618"/>
      <c r="I305" s="618"/>
      <c r="J305" s="618"/>
      <c r="K305" s="618"/>
      <c r="L305" s="618"/>
      <c r="M305" s="618"/>
      <c r="N305" s="618"/>
      <c r="O305" s="618"/>
      <c r="P305" s="618"/>
      <c r="Q305" s="618"/>
      <c r="R305" s="618"/>
      <c r="S305" s="618"/>
      <c r="T305" s="618"/>
      <c r="U305" s="618"/>
      <c r="V305" s="618"/>
      <c r="W305" s="618"/>
      <c r="X305" s="618"/>
      <c r="Y305" s="618"/>
      <c r="Z305" s="618"/>
      <c r="AA305" s="618"/>
      <c r="AB305" s="618"/>
      <c r="AC305" s="618"/>
      <c r="AD305" s="618"/>
      <c r="AE305" s="618"/>
      <c r="AF305" s="618"/>
      <c r="AG305" s="618"/>
      <c r="AH305" s="618"/>
      <c r="AI305" s="618"/>
      <c r="AJ305" s="618"/>
      <c r="AK305" s="618"/>
      <c r="AL305" s="1"/>
    </row>
    <row r="306" spans="1:38" ht="14.25" customHeight="1" x14ac:dyDescent="0.45">
      <c r="A306" s="618"/>
      <c r="B306" s="618"/>
      <c r="C306" s="5"/>
      <c r="D306" s="618"/>
      <c r="E306" s="618"/>
      <c r="F306" s="618"/>
      <c r="G306" s="618"/>
      <c r="H306" s="618"/>
      <c r="I306" s="618"/>
      <c r="J306" s="618"/>
      <c r="K306" s="618"/>
      <c r="L306" s="618"/>
      <c r="M306" s="618"/>
      <c r="N306" s="618"/>
      <c r="O306" s="618"/>
      <c r="P306" s="618"/>
      <c r="Q306" s="618"/>
      <c r="R306" s="618"/>
      <c r="S306" s="618"/>
      <c r="T306" s="618"/>
      <c r="U306" s="618"/>
      <c r="V306" s="618"/>
      <c r="W306" s="618"/>
      <c r="X306" s="618"/>
      <c r="Y306" s="618"/>
      <c r="Z306" s="618"/>
      <c r="AA306" s="618"/>
      <c r="AB306" s="618"/>
      <c r="AC306" s="618"/>
      <c r="AD306" s="618"/>
      <c r="AE306" s="618"/>
      <c r="AF306" s="618"/>
      <c r="AG306" s="618"/>
      <c r="AH306" s="618"/>
      <c r="AI306" s="618"/>
      <c r="AJ306" s="618"/>
      <c r="AK306" s="618"/>
      <c r="AL306" s="1"/>
    </row>
    <row r="307" spans="1:38" ht="14.25" customHeight="1" x14ac:dyDescent="0.45">
      <c r="A307" s="618"/>
      <c r="B307" s="618"/>
      <c r="C307" s="5"/>
      <c r="D307" s="618"/>
      <c r="E307" s="618"/>
      <c r="F307" s="618"/>
      <c r="G307" s="618"/>
      <c r="H307" s="618"/>
      <c r="I307" s="618"/>
      <c r="J307" s="618"/>
      <c r="K307" s="618"/>
      <c r="L307" s="618"/>
      <c r="M307" s="618"/>
      <c r="N307" s="618"/>
      <c r="O307" s="618"/>
      <c r="P307" s="618"/>
      <c r="Q307" s="618"/>
      <c r="R307" s="618"/>
      <c r="S307" s="618"/>
      <c r="T307" s="618"/>
      <c r="U307" s="618"/>
      <c r="V307" s="618"/>
      <c r="W307" s="618"/>
      <c r="X307" s="618"/>
      <c r="Y307" s="618"/>
      <c r="Z307" s="618"/>
      <c r="AA307" s="618"/>
      <c r="AB307" s="618"/>
      <c r="AC307" s="618"/>
      <c r="AD307" s="618"/>
      <c r="AE307" s="618"/>
      <c r="AF307" s="618"/>
      <c r="AG307" s="618"/>
      <c r="AH307" s="618"/>
      <c r="AI307" s="618"/>
      <c r="AJ307" s="618"/>
      <c r="AK307" s="618"/>
      <c r="AL307" s="1"/>
    </row>
    <row r="308" spans="1:38" ht="14.25" customHeight="1" x14ac:dyDescent="0.45">
      <c r="A308" s="618"/>
      <c r="B308" s="618"/>
      <c r="C308" s="5"/>
      <c r="D308" s="618"/>
      <c r="E308" s="618"/>
      <c r="F308" s="618"/>
      <c r="G308" s="618"/>
      <c r="H308" s="618"/>
      <c r="I308" s="618"/>
      <c r="J308" s="618"/>
      <c r="K308" s="618"/>
      <c r="L308" s="618"/>
      <c r="M308" s="618"/>
      <c r="N308" s="618"/>
      <c r="O308" s="618"/>
      <c r="P308" s="618"/>
      <c r="Q308" s="618"/>
      <c r="R308" s="618"/>
      <c r="S308" s="618"/>
      <c r="T308" s="618"/>
      <c r="U308" s="618"/>
      <c r="V308" s="618"/>
      <c r="W308" s="618"/>
      <c r="X308" s="618"/>
      <c r="Y308" s="618"/>
      <c r="Z308" s="618"/>
      <c r="AA308" s="618"/>
      <c r="AB308" s="618"/>
      <c r="AC308" s="618"/>
      <c r="AD308" s="618"/>
      <c r="AE308" s="618"/>
      <c r="AF308" s="618"/>
      <c r="AG308" s="618"/>
      <c r="AH308" s="618"/>
      <c r="AI308" s="618"/>
      <c r="AJ308" s="618"/>
      <c r="AK308" s="618"/>
      <c r="AL308" s="1"/>
    </row>
    <row r="309" spans="1:38" ht="14.25" customHeight="1" x14ac:dyDescent="0.45">
      <c r="A309" s="618"/>
      <c r="B309" s="618"/>
      <c r="C309" s="5"/>
      <c r="D309" s="618"/>
      <c r="E309" s="618"/>
      <c r="F309" s="618"/>
      <c r="G309" s="618"/>
      <c r="H309" s="618"/>
      <c r="I309" s="618"/>
      <c r="J309" s="618"/>
      <c r="K309" s="618"/>
      <c r="L309" s="618"/>
      <c r="M309" s="618"/>
      <c r="N309" s="618"/>
      <c r="O309" s="618"/>
      <c r="P309" s="618"/>
      <c r="Q309" s="618"/>
      <c r="R309" s="618"/>
      <c r="S309" s="618"/>
      <c r="T309" s="618"/>
      <c r="U309" s="618"/>
      <c r="V309" s="618"/>
      <c r="W309" s="618"/>
      <c r="X309" s="618"/>
      <c r="Y309" s="618"/>
      <c r="Z309" s="618"/>
      <c r="AA309" s="618"/>
      <c r="AB309" s="618"/>
      <c r="AC309" s="618"/>
      <c r="AD309" s="618"/>
      <c r="AE309" s="618"/>
      <c r="AF309" s="618"/>
      <c r="AG309" s="618"/>
      <c r="AH309" s="618"/>
      <c r="AI309" s="618"/>
      <c r="AJ309" s="618"/>
      <c r="AK309" s="618"/>
      <c r="AL309" s="1"/>
    </row>
    <row r="310" spans="1:38" ht="14.25" customHeight="1" x14ac:dyDescent="0.45">
      <c r="A310" s="618"/>
      <c r="B310" s="618"/>
      <c r="C310" s="5"/>
      <c r="D310" s="618"/>
      <c r="E310" s="618"/>
      <c r="F310" s="618"/>
      <c r="G310" s="618"/>
      <c r="H310" s="618"/>
      <c r="I310" s="618"/>
      <c r="J310" s="618"/>
      <c r="K310" s="618"/>
      <c r="L310" s="618"/>
      <c r="M310" s="618"/>
      <c r="N310" s="618"/>
      <c r="O310" s="618"/>
      <c r="P310" s="618"/>
      <c r="Q310" s="618"/>
      <c r="R310" s="618"/>
      <c r="S310" s="618"/>
      <c r="T310" s="618"/>
      <c r="U310" s="618"/>
      <c r="V310" s="618"/>
      <c r="W310" s="618"/>
      <c r="X310" s="618"/>
      <c r="Y310" s="618"/>
      <c r="Z310" s="618"/>
      <c r="AA310" s="618"/>
      <c r="AB310" s="618"/>
      <c r="AC310" s="618"/>
      <c r="AD310" s="618"/>
      <c r="AE310" s="618"/>
      <c r="AF310" s="618"/>
      <c r="AG310" s="618"/>
      <c r="AH310" s="618"/>
      <c r="AI310" s="618"/>
      <c r="AJ310" s="618"/>
      <c r="AK310" s="618"/>
      <c r="AL310" s="1"/>
    </row>
    <row r="311" spans="1:38" ht="14.25" customHeight="1" x14ac:dyDescent="0.45">
      <c r="A311" s="618"/>
      <c r="B311" s="618"/>
      <c r="C311" s="5"/>
      <c r="D311" s="618"/>
      <c r="E311" s="618"/>
      <c r="F311" s="618"/>
      <c r="G311" s="618"/>
      <c r="H311" s="618"/>
      <c r="I311" s="618"/>
      <c r="J311" s="618"/>
      <c r="K311" s="618"/>
      <c r="L311" s="618"/>
      <c r="M311" s="618"/>
      <c r="N311" s="618"/>
      <c r="O311" s="618"/>
      <c r="P311" s="618"/>
      <c r="Q311" s="618"/>
      <c r="R311" s="618"/>
      <c r="S311" s="618"/>
      <c r="T311" s="618"/>
      <c r="U311" s="618"/>
      <c r="V311" s="618"/>
      <c r="W311" s="618"/>
      <c r="X311" s="618"/>
      <c r="Y311" s="618"/>
      <c r="Z311" s="618"/>
      <c r="AA311" s="618"/>
      <c r="AB311" s="618"/>
      <c r="AC311" s="618"/>
      <c r="AD311" s="618"/>
      <c r="AE311" s="618"/>
      <c r="AF311" s="618"/>
      <c r="AG311" s="618"/>
      <c r="AH311" s="618"/>
      <c r="AI311" s="618"/>
      <c r="AJ311" s="618"/>
      <c r="AK311" s="618"/>
      <c r="AL311" s="1"/>
    </row>
    <row r="312" spans="1:38" ht="14.25" customHeight="1" x14ac:dyDescent="0.45">
      <c r="A312" s="618"/>
      <c r="B312" s="618"/>
      <c r="C312" s="5"/>
      <c r="D312" s="618"/>
      <c r="E312" s="618"/>
      <c r="F312" s="618"/>
      <c r="G312" s="618"/>
      <c r="H312" s="618"/>
      <c r="I312" s="618"/>
      <c r="J312" s="618"/>
      <c r="K312" s="618"/>
      <c r="L312" s="618"/>
      <c r="M312" s="618"/>
      <c r="N312" s="618"/>
      <c r="O312" s="618"/>
      <c r="P312" s="618"/>
      <c r="Q312" s="618"/>
      <c r="R312" s="618"/>
      <c r="S312" s="618"/>
      <c r="T312" s="618"/>
      <c r="U312" s="618"/>
      <c r="V312" s="618"/>
      <c r="W312" s="618"/>
      <c r="X312" s="618"/>
      <c r="Y312" s="618"/>
      <c r="Z312" s="618"/>
      <c r="AA312" s="618"/>
      <c r="AB312" s="618"/>
      <c r="AC312" s="618"/>
      <c r="AD312" s="618"/>
      <c r="AE312" s="618"/>
      <c r="AF312" s="618"/>
      <c r="AG312" s="618"/>
      <c r="AH312" s="618"/>
      <c r="AI312" s="618"/>
      <c r="AJ312" s="618"/>
      <c r="AK312" s="618"/>
      <c r="AL312" s="1"/>
    </row>
    <row r="313" spans="1:38" ht="14.25" customHeight="1" x14ac:dyDescent="0.45">
      <c r="A313" s="618"/>
      <c r="B313" s="618"/>
      <c r="C313" s="5"/>
      <c r="D313" s="618"/>
      <c r="E313" s="618"/>
      <c r="F313" s="618"/>
      <c r="G313" s="618"/>
      <c r="H313" s="618"/>
      <c r="I313" s="618"/>
      <c r="J313" s="618"/>
      <c r="K313" s="618"/>
      <c r="L313" s="618"/>
      <c r="M313" s="618"/>
      <c r="N313" s="618"/>
      <c r="O313" s="618"/>
      <c r="P313" s="618"/>
      <c r="Q313" s="618"/>
      <c r="R313" s="618"/>
      <c r="S313" s="618"/>
      <c r="T313" s="618"/>
      <c r="U313" s="618"/>
      <c r="V313" s="618"/>
      <c r="W313" s="618"/>
      <c r="X313" s="618"/>
      <c r="Y313" s="618"/>
      <c r="Z313" s="618"/>
      <c r="AA313" s="618"/>
      <c r="AB313" s="618"/>
      <c r="AC313" s="618"/>
      <c r="AD313" s="618"/>
      <c r="AE313" s="618"/>
      <c r="AF313" s="618"/>
      <c r="AG313" s="618"/>
      <c r="AH313" s="618"/>
      <c r="AI313" s="618"/>
      <c r="AJ313" s="618"/>
      <c r="AK313" s="618"/>
      <c r="AL313" s="1"/>
    </row>
    <row r="314" spans="1:38" ht="14.25" customHeight="1" x14ac:dyDescent="0.45">
      <c r="A314" s="618"/>
      <c r="B314" s="618"/>
      <c r="C314" s="5"/>
      <c r="D314" s="618"/>
      <c r="E314" s="618"/>
      <c r="F314" s="618"/>
      <c r="G314" s="618"/>
      <c r="H314" s="618"/>
      <c r="I314" s="618"/>
      <c r="J314" s="618"/>
      <c r="K314" s="618"/>
      <c r="L314" s="618"/>
      <c r="M314" s="618"/>
      <c r="N314" s="618"/>
      <c r="O314" s="618"/>
      <c r="P314" s="618"/>
      <c r="Q314" s="618"/>
      <c r="R314" s="618"/>
      <c r="S314" s="618"/>
      <c r="T314" s="618"/>
      <c r="U314" s="618"/>
      <c r="V314" s="618"/>
      <c r="W314" s="618"/>
      <c r="X314" s="618"/>
      <c r="Y314" s="618"/>
      <c r="Z314" s="618"/>
      <c r="AA314" s="618"/>
      <c r="AB314" s="618"/>
      <c r="AC314" s="618"/>
      <c r="AD314" s="618"/>
      <c r="AE314" s="618"/>
      <c r="AF314" s="618"/>
      <c r="AG314" s="618"/>
      <c r="AH314" s="618"/>
      <c r="AI314" s="618"/>
      <c r="AJ314" s="618"/>
      <c r="AK314" s="618"/>
      <c r="AL314" s="1"/>
    </row>
    <row r="315" spans="1:38" ht="14.25" customHeight="1" x14ac:dyDescent="0.45">
      <c r="A315" s="618"/>
      <c r="B315" s="618"/>
      <c r="C315" s="5"/>
      <c r="D315" s="618"/>
      <c r="E315" s="618"/>
      <c r="F315" s="618"/>
      <c r="G315" s="618"/>
      <c r="H315" s="618"/>
      <c r="I315" s="618"/>
      <c r="J315" s="618"/>
      <c r="K315" s="618"/>
      <c r="L315" s="618"/>
      <c r="M315" s="618"/>
      <c r="N315" s="618"/>
      <c r="O315" s="618"/>
      <c r="P315" s="618"/>
      <c r="Q315" s="618"/>
      <c r="R315" s="618"/>
      <c r="S315" s="618"/>
      <c r="T315" s="618"/>
      <c r="U315" s="618"/>
      <c r="V315" s="618"/>
      <c r="W315" s="618"/>
      <c r="X315" s="618"/>
      <c r="Y315" s="618"/>
      <c r="Z315" s="618"/>
      <c r="AA315" s="618"/>
      <c r="AB315" s="618"/>
      <c r="AC315" s="618"/>
      <c r="AD315" s="618"/>
      <c r="AE315" s="618"/>
      <c r="AF315" s="618"/>
      <c r="AG315" s="618"/>
      <c r="AH315" s="618"/>
      <c r="AI315" s="618"/>
      <c r="AJ315" s="618"/>
      <c r="AK315" s="618"/>
      <c r="AL315" s="1"/>
    </row>
    <row r="316" spans="1:38" ht="14.25" customHeight="1" x14ac:dyDescent="0.45">
      <c r="A316" s="618"/>
      <c r="B316" s="618"/>
      <c r="C316" s="5"/>
      <c r="D316" s="618"/>
      <c r="E316" s="618"/>
      <c r="F316" s="618"/>
      <c r="G316" s="618"/>
      <c r="H316" s="618"/>
      <c r="I316" s="618"/>
      <c r="J316" s="618"/>
      <c r="K316" s="618"/>
      <c r="L316" s="618"/>
      <c r="M316" s="618"/>
      <c r="N316" s="618"/>
      <c r="O316" s="618"/>
      <c r="P316" s="618"/>
      <c r="Q316" s="618"/>
      <c r="R316" s="618"/>
      <c r="S316" s="618"/>
      <c r="T316" s="618"/>
      <c r="U316" s="618"/>
      <c r="V316" s="618"/>
      <c r="W316" s="618"/>
      <c r="X316" s="618"/>
      <c r="Y316" s="618"/>
      <c r="Z316" s="618"/>
      <c r="AA316" s="618"/>
      <c r="AB316" s="618"/>
      <c r="AC316" s="618"/>
      <c r="AD316" s="618"/>
      <c r="AE316" s="618"/>
      <c r="AF316" s="618"/>
      <c r="AG316" s="618"/>
      <c r="AH316" s="618"/>
      <c r="AI316" s="618"/>
      <c r="AJ316" s="618"/>
      <c r="AK316" s="618"/>
      <c r="AL316" s="1"/>
    </row>
    <row r="317" spans="1:38" ht="14.25" customHeight="1" x14ac:dyDescent="0.45">
      <c r="A317" s="618"/>
      <c r="B317" s="618"/>
      <c r="C317" s="5"/>
      <c r="D317" s="618"/>
      <c r="E317" s="618"/>
      <c r="F317" s="618"/>
      <c r="G317" s="618"/>
      <c r="H317" s="618"/>
      <c r="I317" s="618"/>
      <c r="J317" s="618"/>
      <c r="K317" s="618"/>
      <c r="L317" s="618"/>
      <c r="M317" s="618"/>
      <c r="N317" s="618"/>
      <c r="O317" s="618"/>
      <c r="P317" s="618"/>
      <c r="Q317" s="618"/>
      <c r="R317" s="618"/>
      <c r="S317" s="618"/>
      <c r="T317" s="618"/>
      <c r="U317" s="618"/>
      <c r="V317" s="618"/>
      <c r="W317" s="618"/>
      <c r="X317" s="618"/>
      <c r="Y317" s="618"/>
      <c r="Z317" s="618"/>
      <c r="AA317" s="618"/>
      <c r="AB317" s="618"/>
      <c r="AC317" s="618"/>
      <c r="AD317" s="618"/>
      <c r="AE317" s="618"/>
      <c r="AF317" s="618"/>
      <c r="AG317" s="618"/>
      <c r="AH317" s="618"/>
      <c r="AI317" s="618"/>
      <c r="AJ317" s="618"/>
      <c r="AK317" s="618"/>
      <c r="AL317" s="1"/>
    </row>
    <row r="318" spans="1:38" ht="14.25" customHeight="1" x14ac:dyDescent="0.45">
      <c r="A318" s="618"/>
      <c r="B318" s="618"/>
      <c r="C318" s="5"/>
      <c r="D318" s="618"/>
      <c r="E318" s="618"/>
      <c r="F318" s="618"/>
      <c r="G318" s="618"/>
      <c r="H318" s="618"/>
      <c r="I318" s="618"/>
      <c r="J318" s="618"/>
      <c r="K318" s="618"/>
      <c r="L318" s="618"/>
      <c r="M318" s="618"/>
      <c r="N318" s="618"/>
      <c r="O318" s="618"/>
      <c r="P318" s="618"/>
      <c r="Q318" s="618"/>
      <c r="R318" s="618"/>
      <c r="S318" s="618"/>
      <c r="T318" s="618"/>
      <c r="U318" s="618"/>
      <c r="V318" s="618"/>
      <c r="W318" s="618"/>
      <c r="X318" s="618"/>
      <c r="Y318" s="618"/>
      <c r="Z318" s="618"/>
      <c r="AA318" s="618"/>
      <c r="AB318" s="618"/>
      <c r="AC318" s="618"/>
      <c r="AD318" s="618"/>
      <c r="AE318" s="618"/>
      <c r="AF318" s="618"/>
      <c r="AG318" s="618"/>
      <c r="AH318" s="618"/>
      <c r="AI318" s="618"/>
      <c r="AJ318" s="618"/>
      <c r="AK318" s="618"/>
      <c r="AL318" s="1"/>
    </row>
    <row r="319" spans="1:38" ht="14.25" customHeight="1" x14ac:dyDescent="0.45">
      <c r="A319" s="618"/>
      <c r="B319" s="618"/>
      <c r="C319" s="5"/>
      <c r="D319" s="618"/>
      <c r="E319" s="618"/>
      <c r="F319" s="618"/>
      <c r="G319" s="618"/>
      <c r="H319" s="618"/>
      <c r="I319" s="618"/>
      <c r="J319" s="618"/>
      <c r="K319" s="618"/>
      <c r="L319" s="618"/>
      <c r="M319" s="618"/>
      <c r="N319" s="618"/>
      <c r="O319" s="618"/>
      <c r="P319" s="618"/>
      <c r="Q319" s="618"/>
      <c r="R319" s="618"/>
      <c r="S319" s="618"/>
      <c r="T319" s="618"/>
      <c r="U319" s="618"/>
      <c r="V319" s="618"/>
      <c r="W319" s="618"/>
      <c r="X319" s="618"/>
      <c r="Y319" s="618"/>
      <c r="Z319" s="618"/>
      <c r="AA319" s="618"/>
      <c r="AB319" s="618"/>
      <c r="AC319" s="618"/>
      <c r="AD319" s="618"/>
      <c r="AE319" s="618"/>
      <c r="AF319" s="618"/>
      <c r="AG319" s="618"/>
      <c r="AH319" s="618"/>
      <c r="AI319" s="618"/>
      <c r="AJ319" s="618"/>
      <c r="AK319" s="618"/>
      <c r="AL319" s="1"/>
    </row>
    <row r="320" spans="1:38" ht="14.25" customHeight="1" x14ac:dyDescent="0.45">
      <c r="A320" s="618"/>
      <c r="B320" s="618"/>
      <c r="C320" s="5"/>
      <c r="D320" s="618"/>
      <c r="E320" s="618"/>
      <c r="F320" s="618"/>
      <c r="G320" s="618"/>
      <c r="H320" s="618"/>
      <c r="I320" s="618"/>
      <c r="J320" s="618"/>
      <c r="K320" s="618"/>
      <c r="L320" s="618"/>
      <c r="M320" s="618"/>
      <c r="N320" s="618"/>
      <c r="O320" s="618"/>
      <c r="P320" s="618"/>
      <c r="Q320" s="618"/>
      <c r="R320" s="618"/>
      <c r="S320" s="618"/>
      <c r="T320" s="618"/>
      <c r="U320" s="618"/>
      <c r="V320" s="618"/>
      <c r="W320" s="618"/>
      <c r="X320" s="618"/>
      <c r="Y320" s="618"/>
      <c r="Z320" s="618"/>
      <c r="AA320" s="618"/>
      <c r="AB320" s="618"/>
      <c r="AC320" s="618"/>
      <c r="AD320" s="618"/>
      <c r="AE320" s="618"/>
      <c r="AF320" s="618"/>
      <c r="AG320" s="618"/>
      <c r="AH320" s="618"/>
      <c r="AI320" s="618"/>
      <c r="AJ320" s="618"/>
      <c r="AK320" s="618"/>
      <c r="AL320" s="1"/>
    </row>
    <row r="321" spans="1:38" ht="14.25" customHeight="1" x14ac:dyDescent="0.45">
      <c r="A321" s="618"/>
      <c r="B321" s="618"/>
      <c r="C321" s="5"/>
      <c r="D321" s="618"/>
      <c r="E321" s="618"/>
      <c r="F321" s="618"/>
      <c r="G321" s="618"/>
      <c r="H321" s="618"/>
      <c r="I321" s="618"/>
      <c r="J321" s="618"/>
      <c r="K321" s="618"/>
      <c r="L321" s="618"/>
      <c r="M321" s="618"/>
      <c r="N321" s="618"/>
      <c r="O321" s="618"/>
      <c r="P321" s="618"/>
      <c r="Q321" s="618"/>
      <c r="R321" s="618"/>
      <c r="S321" s="618"/>
      <c r="T321" s="618"/>
      <c r="U321" s="618"/>
      <c r="V321" s="618"/>
      <c r="W321" s="618"/>
      <c r="X321" s="618"/>
      <c r="Y321" s="618"/>
      <c r="Z321" s="618"/>
      <c r="AA321" s="618"/>
      <c r="AB321" s="618"/>
      <c r="AC321" s="618"/>
      <c r="AD321" s="618"/>
      <c r="AE321" s="618"/>
      <c r="AF321" s="618"/>
      <c r="AG321" s="618"/>
      <c r="AH321" s="618"/>
      <c r="AI321" s="618"/>
      <c r="AJ321" s="618"/>
      <c r="AK321" s="618"/>
      <c r="AL321" s="1"/>
    </row>
    <row r="322" spans="1:38" ht="14.25" customHeight="1" x14ac:dyDescent="0.45">
      <c r="A322" s="618"/>
      <c r="B322" s="618"/>
      <c r="C322" s="5"/>
      <c r="D322" s="618"/>
      <c r="E322" s="618"/>
      <c r="F322" s="618"/>
      <c r="G322" s="618"/>
      <c r="H322" s="618"/>
      <c r="I322" s="618"/>
      <c r="J322" s="618"/>
      <c r="K322" s="618"/>
      <c r="L322" s="618"/>
      <c r="M322" s="618"/>
      <c r="N322" s="618"/>
      <c r="O322" s="618"/>
      <c r="P322" s="618"/>
      <c r="Q322" s="618"/>
      <c r="R322" s="618"/>
      <c r="S322" s="618"/>
      <c r="T322" s="618"/>
      <c r="U322" s="618"/>
      <c r="V322" s="618"/>
      <c r="W322" s="618"/>
      <c r="X322" s="618"/>
      <c r="Y322" s="618"/>
      <c r="Z322" s="618"/>
      <c r="AA322" s="618"/>
      <c r="AB322" s="618"/>
      <c r="AC322" s="618"/>
      <c r="AD322" s="618"/>
      <c r="AE322" s="618"/>
      <c r="AF322" s="618"/>
      <c r="AG322" s="618"/>
      <c r="AH322" s="618"/>
      <c r="AI322" s="618"/>
      <c r="AJ322" s="618"/>
      <c r="AK322" s="618"/>
      <c r="AL322" s="1"/>
    </row>
    <row r="323" spans="1:38" ht="14.25" customHeight="1" x14ac:dyDescent="0.45">
      <c r="A323" s="618"/>
      <c r="B323" s="618"/>
      <c r="C323" s="5"/>
      <c r="D323" s="618"/>
      <c r="E323" s="618"/>
      <c r="F323" s="618"/>
      <c r="G323" s="618"/>
      <c r="H323" s="618"/>
      <c r="I323" s="618"/>
      <c r="J323" s="618"/>
      <c r="K323" s="618"/>
      <c r="L323" s="618"/>
      <c r="M323" s="618"/>
      <c r="N323" s="618"/>
      <c r="O323" s="618"/>
      <c r="P323" s="618"/>
      <c r="Q323" s="618"/>
      <c r="R323" s="618"/>
      <c r="S323" s="618"/>
      <c r="T323" s="618"/>
      <c r="U323" s="618"/>
      <c r="V323" s="618"/>
      <c r="W323" s="618"/>
      <c r="X323" s="618"/>
      <c r="Y323" s="618"/>
      <c r="Z323" s="618"/>
      <c r="AA323" s="618"/>
      <c r="AB323" s="618"/>
      <c r="AC323" s="618"/>
      <c r="AD323" s="618"/>
      <c r="AE323" s="618"/>
      <c r="AF323" s="618"/>
      <c r="AG323" s="618"/>
      <c r="AH323" s="618"/>
      <c r="AI323" s="618"/>
      <c r="AJ323" s="618"/>
      <c r="AK323" s="618"/>
      <c r="AL323" s="1"/>
    </row>
    <row r="324" spans="1:38" ht="14.25" customHeight="1" x14ac:dyDescent="0.45">
      <c r="A324" s="618"/>
      <c r="B324" s="618"/>
      <c r="C324" s="5"/>
      <c r="D324" s="618"/>
      <c r="E324" s="618"/>
      <c r="F324" s="618"/>
      <c r="G324" s="618"/>
      <c r="H324" s="618"/>
      <c r="I324" s="618"/>
      <c r="J324" s="618"/>
      <c r="K324" s="618"/>
      <c r="L324" s="618"/>
      <c r="M324" s="618"/>
      <c r="N324" s="618"/>
      <c r="O324" s="618"/>
      <c r="P324" s="618"/>
      <c r="Q324" s="618"/>
      <c r="R324" s="618"/>
      <c r="S324" s="618"/>
      <c r="T324" s="618"/>
      <c r="U324" s="618"/>
      <c r="V324" s="618"/>
      <c r="W324" s="618"/>
      <c r="X324" s="618"/>
      <c r="Y324" s="618"/>
      <c r="Z324" s="618"/>
      <c r="AA324" s="618"/>
      <c r="AB324" s="618"/>
      <c r="AC324" s="618"/>
      <c r="AD324" s="618"/>
      <c r="AE324" s="618"/>
      <c r="AF324" s="618"/>
      <c r="AG324" s="618"/>
      <c r="AH324" s="618"/>
      <c r="AI324" s="618"/>
      <c r="AJ324" s="618"/>
      <c r="AK324" s="618"/>
      <c r="AL324" s="1"/>
    </row>
    <row r="325" spans="1:38" ht="14.25" customHeight="1" x14ac:dyDescent="0.45">
      <c r="A325" s="618"/>
      <c r="B325" s="618"/>
      <c r="C325" s="5"/>
      <c r="D325" s="618"/>
      <c r="E325" s="618"/>
      <c r="F325" s="618"/>
      <c r="G325" s="618"/>
      <c r="H325" s="618"/>
      <c r="I325" s="618"/>
      <c r="J325" s="618"/>
      <c r="K325" s="618"/>
      <c r="L325" s="618"/>
      <c r="M325" s="618"/>
      <c r="N325" s="618"/>
      <c r="O325" s="618"/>
      <c r="P325" s="618"/>
      <c r="Q325" s="618"/>
      <c r="R325" s="618"/>
      <c r="S325" s="618"/>
      <c r="T325" s="618"/>
      <c r="U325" s="618"/>
      <c r="V325" s="618"/>
      <c r="W325" s="618"/>
      <c r="X325" s="618"/>
      <c r="Y325" s="618"/>
      <c r="Z325" s="618"/>
      <c r="AA325" s="618"/>
      <c r="AB325" s="618"/>
      <c r="AC325" s="618"/>
      <c r="AD325" s="618"/>
      <c r="AE325" s="618"/>
      <c r="AF325" s="618"/>
      <c r="AG325" s="618"/>
      <c r="AH325" s="618"/>
      <c r="AI325" s="618"/>
      <c r="AJ325" s="618"/>
      <c r="AK325" s="618"/>
      <c r="AL325" s="1"/>
    </row>
    <row r="326" spans="1:38" ht="14.25" customHeight="1" x14ac:dyDescent="0.45">
      <c r="A326" s="618"/>
      <c r="B326" s="618"/>
      <c r="C326" s="5"/>
      <c r="D326" s="618"/>
      <c r="E326" s="618"/>
      <c r="F326" s="618"/>
      <c r="G326" s="618"/>
      <c r="H326" s="618"/>
      <c r="I326" s="618"/>
      <c r="J326" s="618"/>
      <c r="K326" s="618"/>
      <c r="L326" s="618"/>
      <c r="M326" s="618"/>
      <c r="N326" s="618"/>
      <c r="O326" s="618"/>
      <c r="P326" s="618"/>
      <c r="Q326" s="618"/>
      <c r="R326" s="618"/>
      <c r="S326" s="618"/>
      <c r="T326" s="618"/>
      <c r="U326" s="618"/>
      <c r="V326" s="618"/>
      <c r="W326" s="618"/>
      <c r="X326" s="618"/>
      <c r="Y326" s="618"/>
      <c r="Z326" s="618"/>
      <c r="AA326" s="618"/>
      <c r="AB326" s="618"/>
      <c r="AC326" s="618"/>
      <c r="AD326" s="618"/>
      <c r="AE326" s="618"/>
      <c r="AF326" s="618"/>
      <c r="AG326" s="618"/>
      <c r="AH326" s="618"/>
      <c r="AI326" s="618"/>
      <c r="AJ326" s="618"/>
      <c r="AK326" s="618"/>
      <c r="AL326" s="1"/>
    </row>
    <row r="327" spans="1:38" ht="14.25" customHeight="1" x14ac:dyDescent="0.45">
      <c r="A327" s="618"/>
      <c r="B327" s="618"/>
      <c r="C327" s="5"/>
      <c r="D327" s="618"/>
      <c r="E327" s="618"/>
      <c r="F327" s="618"/>
      <c r="G327" s="618"/>
      <c r="H327" s="618"/>
      <c r="I327" s="618"/>
      <c r="J327" s="618"/>
      <c r="K327" s="618"/>
      <c r="L327" s="618"/>
      <c r="M327" s="618"/>
      <c r="N327" s="618"/>
      <c r="O327" s="618"/>
      <c r="P327" s="618"/>
      <c r="Q327" s="618"/>
      <c r="R327" s="618"/>
      <c r="S327" s="618"/>
      <c r="T327" s="618"/>
      <c r="U327" s="618"/>
      <c r="V327" s="618"/>
      <c r="W327" s="618"/>
      <c r="X327" s="618"/>
      <c r="Y327" s="618"/>
      <c r="Z327" s="618"/>
      <c r="AA327" s="618"/>
      <c r="AB327" s="618"/>
      <c r="AC327" s="618"/>
      <c r="AD327" s="618"/>
      <c r="AE327" s="618"/>
      <c r="AF327" s="618"/>
      <c r="AG327" s="618"/>
      <c r="AH327" s="618"/>
      <c r="AI327" s="618"/>
      <c r="AJ327" s="618"/>
      <c r="AK327" s="618"/>
      <c r="AL327" s="1"/>
    </row>
    <row r="328" spans="1:38" ht="14.25" customHeight="1" x14ac:dyDescent="0.45">
      <c r="A328" s="618"/>
      <c r="B328" s="618"/>
      <c r="C328" s="5"/>
      <c r="D328" s="618"/>
      <c r="E328" s="618"/>
      <c r="F328" s="618"/>
      <c r="G328" s="618"/>
      <c r="H328" s="618"/>
      <c r="I328" s="618"/>
      <c r="J328" s="618"/>
      <c r="K328" s="618"/>
      <c r="L328" s="618"/>
      <c r="M328" s="618"/>
      <c r="N328" s="618"/>
      <c r="O328" s="618"/>
      <c r="P328" s="618"/>
      <c r="Q328" s="618"/>
      <c r="R328" s="618"/>
      <c r="S328" s="618"/>
      <c r="T328" s="618"/>
      <c r="U328" s="618"/>
      <c r="V328" s="618"/>
      <c r="W328" s="618"/>
      <c r="X328" s="618"/>
      <c r="Y328" s="618"/>
      <c r="Z328" s="618"/>
      <c r="AA328" s="618"/>
      <c r="AB328" s="618"/>
      <c r="AC328" s="618"/>
      <c r="AD328" s="618"/>
      <c r="AE328" s="618"/>
      <c r="AF328" s="618"/>
      <c r="AG328" s="618"/>
      <c r="AH328" s="618"/>
      <c r="AI328" s="618"/>
      <c r="AJ328" s="618"/>
      <c r="AK328" s="618"/>
      <c r="AL328" s="1"/>
    </row>
    <row r="329" spans="1:38" ht="14.25" customHeight="1" x14ac:dyDescent="0.45">
      <c r="A329" s="618"/>
      <c r="B329" s="618"/>
      <c r="C329" s="5"/>
      <c r="D329" s="618"/>
      <c r="E329" s="618"/>
      <c r="F329" s="618"/>
      <c r="G329" s="618"/>
      <c r="H329" s="618"/>
      <c r="I329" s="618"/>
      <c r="J329" s="618"/>
      <c r="K329" s="618"/>
      <c r="L329" s="618"/>
      <c r="M329" s="618"/>
      <c r="N329" s="618"/>
      <c r="O329" s="618"/>
      <c r="P329" s="618"/>
      <c r="Q329" s="618"/>
      <c r="R329" s="618"/>
      <c r="S329" s="618"/>
      <c r="T329" s="618"/>
      <c r="U329" s="618"/>
      <c r="V329" s="618"/>
      <c r="W329" s="618"/>
      <c r="X329" s="618"/>
      <c r="Y329" s="618"/>
      <c r="Z329" s="618"/>
      <c r="AA329" s="618"/>
      <c r="AB329" s="618"/>
      <c r="AC329" s="618"/>
      <c r="AD329" s="618"/>
      <c r="AE329" s="618"/>
      <c r="AF329" s="618"/>
      <c r="AG329" s="618"/>
      <c r="AH329" s="618"/>
      <c r="AI329" s="618"/>
      <c r="AJ329" s="618"/>
      <c r="AK329" s="618"/>
      <c r="AL329" s="1"/>
    </row>
    <row r="330" spans="1:38" ht="14.25" customHeight="1" x14ac:dyDescent="0.45">
      <c r="A330" s="618"/>
      <c r="B330" s="618"/>
      <c r="C330" s="5"/>
      <c r="D330" s="618"/>
      <c r="E330" s="618"/>
      <c r="F330" s="618"/>
      <c r="G330" s="618"/>
      <c r="H330" s="618"/>
      <c r="I330" s="618"/>
      <c r="J330" s="618"/>
      <c r="K330" s="618"/>
      <c r="L330" s="618"/>
      <c r="M330" s="618"/>
      <c r="N330" s="618"/>
      <c r="O330" s="618"/>
      <c r="P330" s="618"/>
      <c r="Q330" s="618"/>
      <c r="R330" s="618"/>
      <c r="S330" s="618"/>
      <c r="T330" s="618"/>
      <c r="U330" s="618"/>
      <c r="V330" s="618"/>
      <c r="W330" s="618"/>
      <c r="X330" s="618"/>
      <c r="Y330" s="618"/>
      <c r="Z330" s="618"/>
      <c r="AA330" s="618"/>
      <c r="AB330" s="618"/>
      <c r="AC330" s="618"/>
      <c r="AD330" s="618"/>
      <c r="AE330" s="618"/>
      <c r="AF330" s="618"/>
      <c r="AG330" s="618"/>
      <c r="AH330" s="618"/>
      <c r="AI330" s="618"/>
      <c r="AJ330" s="618"/>
      <c r="AK330" s="618"/>
      <c r="AL330" s="1"/>
    </row>
    <row r="331" spans="1:38" ht="14.25" customHeight="1" x14ac:dyDescent="0.45">
      <c r="A331" s="618"/>
      <c r="B331" s="618"/>
      <c r="C331" s="5"/>
      <c r="D331" s="618"/>
      <c r="E331" s="618"/>
      <c r="F331" s="618"/>
      <c r="G331" s="618"/>
      <c r="H331" s="618"/>
      <c r="I331" s="618"/>
      <c r="J331" s="618"/>
      <c r="K331" s="618"/>
      <c r="L331" s="618"/>
      <c r="M331" s="618"/>
      <c r="N331" s="618"/>
      <c r="O331" s="618"/>
      <c r="P331" s="618"/>
      <c r="Q331" s="618"/>
      <c r="R331" s="618"/>
      <c r="S331" s="618"/>
      <c r="T331" s="618"/>
      <c r="U331" s="618"/>
      <c r="V331" s="618"/>
      <c r="W331" s="618"/>
      <c r="X331" s="618"/>
      <c r="Y331" s="618"/>
      <c r="Z331" s="618"/>
      <c r="AA331" s="618"/>
      <c r="AB331" s="618"/>
      <c r="AC331" s="618"/>
      <c r="AD331" s="618"/>
      <c r="AE331" s="618"/>
      <c r="AF331" s="618"/>
      <c r="AG331" s="618"/>
      <c r="AH331" s="618"/>
      <c r="AI331" s="618"/>
      <c r="AJ331" s="618"/>
      <c r="AK331" s="618"/>
      <c r="AL331" s="1"/>
    </row>
    <row r="332" spans="1:38" ht="14.25" customHeight="1" x14ac:dyDescent="0.45">
      <c r="A332" s="618"/>
      <c r="B332" s="618"/>
      <c r="C332" s="5"/>
      <c r="D332" s="618"/>
      <c r="E332" s="618"/>
      <c r="F332" s="618"/>
      <c r="G332" s="618"/>
      <c r="H332" s="618"/>
      <c r="I332" s="618"/>
      <c r="J332" s="618"/>
      <c r="K332" s="618"/>
      <c r="L332" s="618"/>
      <c r="M332" s="618"/>
      <c r="N332" s="618"/>
      <c r="O332" s="618"/>
      <c r="P332" s="618"/>
      <c r="Q332" s="618"/>
      <c r="R332" s="618"/>
      <c r="S332" s="618"/>
      <c r="T332" s="618"/>
      <c r="U332" s="618"/>
      <c r="V332" s="618"/>
      <c r="W332" s="618"/>
      <c r="X332" s="618"/>
      <c r="Y332" s="618"/>
      <c r="Z332" s="618"/>
      <c r="AA332" s="618"/>
      <c r="AB332" s="618"/>
      <c r="AC332" s="618"/>
      <c r="AD332" s="618"/>
      <c r="AE332" s="618"/>
      <c r="AF332" s="618"/>
      <c r="AG332" s="618"/>
      <c r="AH332" s="618"/>
      <c r="AI332" s="618"/>
      <c r="AJ332" s="618"/>
      <c r="AK332" s="618"/>
      <c r="AL332" s="1"/>
    </row>
    <row r="333" spans="1:38" ht="14.25" customHeight="1" x14ac:dyDescent="0.45">
      <c r="A333" s="618"/>
      <c r="B333" s="618"/>
      <c r="C333" s="5"/>
      <c r="D333" s="618"/>
      <c r="E333" s="618"/>
      <c r="F333" s="618"/>
      <c r="G333" s="618"/>
      <c r="H333" s="618"/>
      <c r="I333" s="618"/>
      <c r="J333" s="618"/>
      <c r="K333" s="618"/>
      <c r="L333" s="618"/>
      <c r="M333" s="618"/>
      <c r="N333" s="618"/>
      <c r="O333" s="618"/>
      <c r="P333" s="618"/>
      <c r="Q333" s="618"/>
      <c r="R333" s="618"/>
      <c r="S333" s="618"/>
      <c r="T333" s="618"/>
      <c r="U333" s="618"/>
      <c r="V333" s="618"/>
      <c r="W333" s="618"/>
      <c r="X333" s="618"/>
      <c r="Y333" s="618"/>
      <c r="Z333" s="618"/>
      <c r="AA333" s="618"/>
      <c r="AB333" s="618"/>
      <c r="AC333" s="618"/>
      <c r="AD333" s="618"/>
      <c r="AE333" s="618"/>
      <c r="AF333" s="618"/>
      <c r="AG333" s="618"/>
      <c r="AH333" s="618"/>
      <c r="AI333" s="618"/>
      <c r="AJ333" s="618"/>
      <c r="AK333" s="618"/>
      <c r="AL333" s="1"/>
    </row>
    <row r="334" spans="1:38" ht="14.25" customHeight="1" x14ac:dyDescent="0.45">
      <c r="A334" s="618"/>
      <c r="B334" s="618"/>
      <c r="C334" s="5"/>
      <c r="D334" s="618"/>
      <c r="E334" s="618"/>
      <c r="F334" s="618"/>
      <c r="G334" s="618"/>
      <c r="H334" s="618"/>
      <c r="I334" s="618"/>
      <c r="J334" s="618"/>
      <c r="K334" s="618"/>
      <c r="L334" s="618"/>
      <c r="M334" s="618"/>
      <c r="N334" s="618"/>
      <c r="O334" s="618"/>
      <c r="P334" s="618"/>
      <c r="Q334" s="618"/>
      <c r="R334" s="618"/>
      <c r="S334" s="618"/>
      <c r="T334" s="618"/>
      <c r="U334" s="618"/>
      <c r="V334" s="618"/>
      <c r="W334" s="618"/>
      <c r="X334" s="618"/>
      <c r="Y334" s="618"/>
      <c r="Z334" s="618"/>
      <c r="AA334" s="618"/>
      <c r="AB334" s="618"/>
      <c r="AC334" s="618"/>
      <c r="AD334" s="618"/>
      <c r="AE334" s="618"/>
      <c r="AF334" s="618"/>
      <c r="AG334" s="618"/>
      <c r="AH334" s="618"/>
      <c r="AI334" s="618"/>
      <c r="AJ334" s="618"/>
      <c r="AK334" s="618"/>
      <c r="AL334" s="1"/>
    </row>
    <row r="335" spans="1:38" ht="14.25" customHeight="1" x14ac:dyDescent="0.45">
      <c r="A335" s="618"/>
      <c r="B335" s="618"/>
      <c r="C335" s="5"/>
      <c r="D335" s="618"/>
      <c r="E335" s="618"/>
      <c r="F335" s="618"/>
      <c r="G335" s="618"/>
      <c r="H335" s="618"/>
      <c r="I335" s="618"/>
      <c r="J335" s="618"/>
      <c r="K335" s="618"/>
      <c r="L335" s="618"/>
      <c r="M335" s="618"/>
      <c r="N335" s="618"/>
      <c r="O335" s="618"/>
      <c r="P335" s="618"/>
      <c r="Q335" s="618"/>
      <c r="R335" s="618"/>
      <c r="S335" s="618"/>
      <c r="T335" s="618"/>
      <c r="U335" s="618"/>
      <c r="V335" s="618"/>
      <c r="W335" s="618"/>
      <c r="X335" s="618"/>
      <c r="Y335" s="618"/>
      <c r="Z335" s="618"/>
      <c r="AA335" s="618"/>
      <c r="AB335" s="618"/>
      <c r="AC335" s="618"/>
      <c r="AD335" s="618"/>
      <c r="AE335" s="618"/>
      <c r="AF335" s="618"/>
      <c r="AG335" s="618"/>
      <c r="AH335" s="618"/>
      <c r="AI335" s="618"/>
      <c r="AJ335" s="618"/>
      <c r="AK335" s="618"/>
      <c r="AL335" s="1"/>
    </row>
    <row r="336" spans="1:38" ht="14.25" customHeight="1" x14ac:dyDescent="0.45">
      <c r="A336" s="618"/>
      <c r="B336" s="618"/>
      <c r="C336" s="5"/>
      <c r="D336" s="618"/>
      <c r="E336" s="618"/>
      <c r="F336" s="618"/>
      <c r="G336" s="618"/>
      <c r="H336" s="618"/>
      <c r="I336" s="618"/>
      <c r="J336" s="618"/>
      <c r="K336" s="618"/>
      <c r="L336" s="618"/>
      <c r="M336" s="618"/>
      <c r="N336" s="618"/>
      <c r="O336" s="618"/>
      <c r="P336" s="618"/>
      <c r="Q336" s="618"/>
      <c r="R336" s="618"/>
      <c r="S336" s="618"/>
      <c r="T336" s="618"/>
      <c r="U336" s="618"/>
      <c r="V336" s="618"/>
      <c r="W336" s="618"/>
      <c r="X336" s="618"/>
      <c r="Y336" s="618"/>
      <c r="Z336" s="618"/>
      <c r="AA336" s="618"/>
      <c r="AB336" s="618"/>
      <c r="AC336" s="618"/>
      <c r="AD336" s="618"/>
      <c r="AE336" s="618"/>
      <c r="AF336" s="618"/>
      <c r="AG336" s="618"/>
      <c r="AH336" s="618"/>
      <c r="AI336" s="618"/>
      <c r="AJ336" s="618"/>
      <c r="AK336" s="618"/>
      <c r="AL336" s="1"/>
    </row>
    <row r="337" spans="1:38" ht="14.25" customHeight="1" x14ac:dyDescent="0.45">
      <c r="A337" s="618"/>
      <c r="B337" s="618"/>
      <c r="C337" s="5"/>
      <c r="D337" s="618"/>
      <c r="E337" s="618"/>
      <c r="F337" s="618"/>
      <c r="G337" s="618"/>
      <c r="H337" s="618"/>
      <c r="I337" s="618"/>
      <c r="J337" s="618"/>
      <c r="K337" s="618"/>
      <c r="L337" s="618"/>
      <c r="M337" s="618"/>
      <c r="N337" s="618"/>
      <c r="O337" s="618"/>
      <c r="P337" s="618"/>
      <c r="Q337" s="618"/>
      <c r="R337" s="618"/>
      <c r="S337" s="618"/>
      <c r="T337" s="618"/>
      <c r="U337" s="618"/>
      <c r="V337" s="618"/>
      <c r="W337" s="618"/>
      <c r="X337" s="618"/>
      <c r="Y337" s="618"/>
      <c r="Z337" s="618"/>
      <c r="AA337" s="618"/>
      <c r="AB337" s="618"/>
      <c r="AC337" s="618"/>
      <c r="AD337" s="618"/>
      <c r="AE337" s="618"/>
      <c r="AF337" s="618"/>
      <c r="AG337" s="618"/>
      <c r="AH337" s="618"/>
      <c r="AI337" s="618"/>
      <c r="AJ337" s="618"/>
      <c r="AK337" s="618"/>
      <c r="AL337" s="1"/>
    </row>
    <row r="338" spans="1:38" ht="14.25" customHeight="1" x14ac:dyDescent="0.45">
      <c r="A338" s="618"/>
      <c r="B338" s="618"/>
      <c r="C338" s="5"/>
      <c r="D338" s="618"/>
      <c r="E338" s="618"/>
      <c r="F338" s="618"/>
      <c r="G338" s="618"/>
      <c r="H338" s="618"/>
      <c r="I338" s="618"/>
      <c r="J338" s="618"/>
      <c r="K338" s="618"/>
      <c r="L338" s="618"/>
      <c r="M338" s="618"/>
      <c r="N338" s="618"/>
      <c r="O338" s="618"/>
      <c r="P338" s="618"/>
      <c r="Q338" s="618"/>
      <c r="R338" s="618"/>
      <c r="S338" s="618"/>
      <c r="T338" s="618"/>
      <c r="U338" s="618"/>
      <c r="V338" s="618"/>
      <c r="W338" s="618"/>
      <c r="X338" s="618"/>
      <c r="Y338" s="618"/>
      <c r="Z338" s="618"/>
      <c r="AA338" s="618"/>
      <c r="AB338" s="618"/>
      <c r="AC338" s="618"/>
      <c r="AD338" s="618"/>
      <c r="AE338" s="618"/>
      <c r="AF338" s="618"/>
      <c r="AG338" s="618"/>
      <c r="AH338" s="618"/>
      <c r="AI338" s="618"/>
      <c r="AJ338" s="618"/>
      <c r="AK338" s="618"/>
      <c r="AL338" s="1"/>
    </row>
    <row r="339" spans="1:38" ht="14.25" customHeight="1" x14ac:dyDescent="0.45">
      <c r="A339" s="618"/>
      <c r="B339" s="618"/>
      <c r="C339" s="5"/>
      <c r="D339" s="618"/>
      <c r="E339" s="618"/>
      <c r="F339" s="618"/>
      <c r="G339" s="618"/>
      <c r="H339" s="618"/>
      <c r="I339" s="618"/>
      <c r="J339" s="618"/>
      <c r="K339" s="618"/>
      <c r="L339" s="618"/>
      <c r="M339" s="618"/>
      <c r="N339" s="618"/>
      <c r="O339" s="618"/>
      <c r="P339" s="618"/>
      <c r="Q339" s="618"/>
      <c r="R339" s="618"/>
      <c r="S339" s="618"/>
      <c r="T339" s="618"/>
      <c r="U339" s="618"/>
      <c r="V339" s="618"/>
      <c r="W339" s="618"/>
      <c r="X339" s="618"/>
      <c r="Y339" s="618"/>
      <c r="Z339" s="618"/>
      <c r="AA339" s="618"/>
      <c r="AB339" s="618"/>
      <c r="AC339" s="618"/>
      <c r="AD339" s="618"/>
      <c r="AE339" s="618"/>
      <c r="AF339" s="618"/>
      <c r="AG339" s="618"/>
      <c r="AH339" s="618"/>
      <c r="AI339" s="618"/>
      <c r="AJ339" s="618"/>
      <c r="AK339" s="618"/>
      <c r="AL339" s="1"/>
    </row>
    <row r="340" spans="1:38" ht="14.25" customHeight="1" x14ac:dyDescent="0.45">
      <c r="A340" s="618"/>
      <c r="B340" s="618"/>
      <c r="C340" s="5"/>
      <c r="D340" s="618"/>
      <c r="E340" s="618"/>
      <c r="F340" s="618"/>
      <c r="G340" s="618"/>
      <c r="H340" s="618"/>
      <c r="I340" s="618"/>
      <c r="J340" s="618"/>
      <c r="K340" s="618"/>
      <c r="L340" s="618"/>
      <c r="M340" s="618"/>
      <c r="N340" s="618"/>
      <c r="O340" s="618"/>
      <c r="P340" s="618"/>
      <c r="Q340" s="618"/>
      <c r="R340" s="618"/>
      <c r="S340" s="618"/>
      <c r="T340" s="618"/>
      <c r="U340" s="618"/>
      <c r="V340" s="618"/>
      <c r="W340" s="618"/>
      <c r="X340" s="618"/>
      <c r="Y340" s="618"/>
      <c r="Z340" s="618"/>
      <c r="AA340" s="618"/>
      <c r="AB340" s="618"/>
      <c r="AC340" s="618"/>
      <c r="AD340" s="618"/>
      <c r="AE340" s="618"/>
      <c r="AF340" s="618"/>
      <c r="AG340" s="618"/>
      <c r="AH340" s="618"/>
      <c r="AI340" s="618"/>
      <c r="AJ340" s="618"/>
      <c r="AK340" s="618"/>
      <c r="AL340" s="1"/>
    </row>
    <row r="341" spans="1:38" ht="14.25" customHeight="1" x14ac:dyDescent="0.45">
      <c r="A341" s="618"/>
      <c r="B341" s="618"/>
      <c r="C341" s="5"/>
      <c r="D341" s="618"/>
      <c r="E341" s="618"/>
      <c r="F341" s="618"/>
      <c r="G341" s="618"/>
      <c r="H341" s="618"/>
      <c r="I341" s="618"/>
      <c r="J341" s="618"/>
      <c r="K341" s="618"/>
      <c r="L341" s="618"/>
      <c r="M341" s="618"/>
      <c r="N341" s="618"/>
      <c r="O341" s="618"/>
      <c r="P341" s="618"/>
      <c r="Q341" s="618"/>
      <c r="R341" s="618"/>
      <c r="S341" s="618"/>
      <c r="T341" s="618"/>
      <c r="U341" s="618"/>
      <c r="V341" s="618"/>
      <c r="W341" s="618"/>
      <c r="X341" s="618"/>
      <c r="Y341" s="618"/>
      <c r="Z341" s="618"/>
      <c r="AA341" s="618"/>
      <c r="AB341" s="618"/>
      <c r="AC341" s="618"/>
      <c r="AD341" s="618"/>
      <c r="AE341" s="618"/>
      <c r="AF341" s="618"/>
      <c r="AG341" s="618"/>
      <c r="AH341" s="618"/>
      <c r="AI341" s="618"/>
      <c r="AJ341" s="618"/>
      <c r="AK341" s="618"/>
      <c r="AL341" s="1"/>
    </row>
    <row r="342" spans="1:38" ht="14.25" customHeight="1" x14ac:dyDescent="0.45">
      <c r="A342" s="618"/>
      <c r="B342" s="618"/>
      <c r="C342" s="5"/>
      <c r="D342" s="618"/>
      <c r="E342" s="618"/>
      <c r="F342" s="618"/>
      <c r="G342" s="618"/>
      <c r="H342" s="618"/>
      <c r="I342" s="618"/>
      <c r="J342" s="618"/>
      <c r="K342" s="618"/>
      <c r="L342" s="618"/>
      <c r="M342" s="618"/>
      <c r="N342" s="618"/>
      <c r="O342" s="618"/>
      <c r="P342" s="618"/>
      <c r="Q342" s="618"/>
      <c r="R342" s="618"/>
      <c r="S342" s="618"/>
      <c r="T342" s="618"/>
      <c r="U342" s="618"/>
      <c r="V342" s="618"/>
      <c r="W342" s="618"/>
      <c r="X342" s="618"/>
      <c r="Y342" s="618"/>
      <c r="Z342" s="618"/>
      <c r="AA342" s="618"/>
      <c r="AB342" s="618"/>
      <c r="AC342" s="618"/>
      <c r="AD342" s="618"/>
      <c r="AE342" s="618"/>
      <c r="AF342" s="618"/>
      <c r="AG342" s="618"/>
      <c r="AH342" s="618"/>
      <c r="AI342" s="618"/>
      <c r="AJ342" s="618"/>
      <c r="AK342" s="618"/>
      <c r="AL342" s="1"/>
    </row>
    <row r="343" spans="1:38" ht="14.25" customHeight="1" x14ac:dyDescent="0.45">
      <c r="A343" s="618"/>
      <c r="B343" s="618"/>
      <c r="C343" s="5"/>
      <c r="D343" s="618"/>
      <c r="E343" s="618"/>
      <c r="F343" s="618"/>
      <c r="G343" s="618"/>
      <c r="H343" s="618"/>
      <c r="I343" s="618"/>
      <c r="J343" s="618"/>
      <c r="K343" s="618"/>
      <c r="L343" s="618"/>
      <c r="M343" s="618"/>
      <c r="N343" s="618"/>
      <c r="O343" s="618"/>
      <c r="P343" s="618"/>
      <c r="Q343" s="618"/>
      <c r="R343" s="618"/>
      <c r="S343" s="618"/>
      <c r="T343" s="618"/>
      <c r="U343" s="618"/>
      <c r="V343" s="618"/>
      <c r="W343" s="618"/>
      <c r="X343" s="618"/>
      <c r="Y343" s="618"/>
      <c r="Z343" s="618"/>
      <c r="AA343" s="618"/>
      <c r="AB343" s="618"/>
      <c r="AC343" s="618"/>
      <c r="AD343" s="618"/>
      <c r="AE343" s="618"/>
      <c r="AF343" s="618"/>
      <c r="AG343" s="618"/>
      <c r="AH343" s="618"/>
      <c r="AI343" s="618"/>
      <c r="AJ343" s="618"/>
      <c r="AK343" s="618"/>
      <c r="AL343" s="1"/>
    </row>
    <row r="344" spans="1:38" ht="14.25" customHeight="1" x14ac:dyDescent="0.45">
      <c r="A344" s="618"/>
      <c r="B344" s="618"/>
      <c r="C344" s="5"/>
      <c r="D344" s="618"/>
      <c r="E344" s="618"/>
      <c r="F344" s="618"/>
      <c r="G344" s="618"/>
      <c r="H344" s="618"/>
      <c r="I344" s="618"/>
      <c r="J344" s="618"/>
      <c r="K344" s="618"/>
      <c r="L344" s="618"/>
      <c r="M344" s="618"/>
      <c r="N344" s="618"/>
      <c r="O344" s="618"/>
      <c r="P344" s="618"/>
      <c r="Q344" s="618"/>
      <c r="R344" s="618"/>
      <c r="S344" s="618"/>
      <c r="T344" s="618"/>
      <c r="U344" s="618"/>
      <c r="V344" s="618"/>
      <c r="W344" s="618"/>
      <c r="X344" s="618"/>
      <c r="Y344" s="618"/>
      <c r="Z344" s="618"/>
      <c r="AA344" s="618"/>
      <c r="AB344" s="618"/>
      <c r="AC344" s="618"/>
      <c r="AD344" s="618"/>
      <c r="AE344" s="618"/>
      <c r="AF344" s="618"/>
      <c r="AG344" s="618"/>
      <c r="AH344" s="618"/>
      <c r="AI344" s="618"/>
      <c r="AJ344" s="618"/>
      <c r="AK344" s="618"/>
      <c r="AL344" s="1"/>
    </row>
    <row r="345" spans="1:38" ht="14.25" customHeight="1" x14ac:dyDescent="0.45">
      <c r="A345" s="618"/>
      <c r="B345" s="618"/>
      <c r="C345" s="5"/>
      <c r="D345" s="618"/>
      <c r="E345" s="618"/>
      <c r="F345" s="618"/>
      <c r="G345" s="618"/>
      <c r="H345" s="618"/>
      <c r="I345" s="618"/>
      <c r="J345" s="618"/>
      <c r="K345" s="618"/>
      <c r="L345" s="618"/>
      <c r="M345" s="618"/>
      <c r="N345" s="618"/>
      <c r="O345" s="618"/>
      <c r="P345" s="618"/>
      <c r="Q345" s="618"/>
      <c r="R345" s="618"/>
      <c r="S345" s="618"/>
      <c r="T345" s="618"/>
      <c r="U345" s="618"/>
      <c r="V345" s="618"/>
      <c r="W345" s="618"/>
      <c r="X345" s="618"/>
      <c r="Y345" s="618"/>
      <c r="Z345" s="618"/>
      <c r="AA345" s="618"/>
      <c r="AB345" s="618"/>
      <c r="AC345" s="618"/>
      <c r="AD345" s="618"/>
      <c r="AE345" s="618"/>
      <c r="AF345" s="618"/>
      <c r="AG345" s="618"/>
      <c r="AH345" s="618"/>
      <c r="AI345" s="618"/>
      <c r="AJ345" s="618"/>
      <c r="AK345" s="618"/>
      <c r="AL345" s="1"/>
    </row>
    <row r="346" spans="1:38" ht="14.25" customHeight="1" x14ac:dyDescent="0.45">
      <c r="A346" s="618"/>
      <c r="B346" s="618"/>
      <c r="C346" s="5"/>
      <c r="D346" s="618"/>
      <c r="E346" s="618"/>
      <c r="F346" s="618"/>
      <c r="G346" s="618"/>
      <c r="H346" s="618"/>
      <c r="I346" s="618"/>
      <c r="J346" s="618"/>
      <c r="K346" s="618"/>
      <c r="L346" s="618"/>
      <c r="M346" s="618"/>
      <c r="N346" s="618"/>
      <c r="O346" s="618"/>
      <c r="P346" s="618"/>
      <c r="Q346" s="618"/>
      <c r="R346" s="618"/>
      <c r="S346" s="618"/>
      <c r="T346" s="618"/>
      <c r="U346" s="618"/>
      <c r="V346" s="618"/>
      <c r="W346" s="618"/>
      <c r="X346" s="618"/>
      <c r="Y346" s="618"/>
      <c r="Z346" s="618"/>
      <c r="AA346" s="618"/>
      <c r="AB346" s="618"/>
      <c r="AC346" s="618"/>
      <c r="AD346" s="618"/>
      <c r="AE346" s="618"/>
      <c r="AF346" s="618"/>
      <c r="AG346" s="618"/>
      <c r="AH346" s="618"/>
      <c r="AI346" s="618"/>
      <c r="AJ346" s="618"/>
      <c r="AK346" s="618"/>
      <c r="AL346" s="1"/>
    </row>
    <row r="347" spans="1:38" ht="14.25" customHeight="1" x14ac:dyDescent="0.45">
      <c r="A347" s="618"/>
      <c r="B347" s="618"/>
      <c r="C347" s="5"/>
      <c r="D347" s="618"/>
      <c r="E347" s="618"/>
      <c r="F347" s="618"/>
      <c r="G347" s="618"/>
      <c r="H347" s="618"/>
      <c r="I347" s="618"/>
      <c r="J347" s="618"/>
      <c r="K347" s="618"/>
      <c r="L347" s="618"/>
      <c r="M347" s="618"/>
      <c r="N347" s="618"/>
      <c r="O347" s="618"/>
      <c r="P347" s="618"/>
      <c r="Q347" s="618"/>
      <c r="R347" s="618"/>
      <c r="S347" s="618"/>
      <c r="T347" s="618"/>
      <c r="U347" s="618"/>
      <c r="V347" s="618"/>
      <c r="W347" s="618"/>
      <c r="X347" s="618"/>
      <c r="Y347" s="618"/>
      <c r="Z347" s="618"/>
      <c r="AA347" s="618"/>
      <c r="AB347" s="618"/>
      <c r="AC347" s="618"/>
      <c r="AD347" s="618"/>
      <c r="AE347" s="618"/>
      <c r="AF347" s="618"/>
      <c r="AG347" s="618"/>
      <c r="AH347" s="618"/>
      <c r="AI347" s="618"/>
      <c r="AJ347" s="618"/>
      <c r="AK347" s="618"/>
      <c r="AL347" s="1"/>
    </row>
    <row r="348" spans="1:38" ht="14.25" customHeight="1" x14ac:dyDescent="0.45">
      <c r="A348" s="618"/>
      <c r="B348" s="618"/>
      <c r="C348" s="5"/>
      <c r="D348" s="618"/>
      <c r="E348" s="618"/>
      <c r="F348" s="618"/>
      <c r="G348" s="618"/>
      <c r="H348" s="618"/>
      <c r="I348" s="618"/>
      <c r="J348" s="618"/>
      <c r="K348" s="618"/>
      <c r="L348" s="618"/>
      <c r="M348" s="618"/>
      <c r="N348" s="618"/>
      <c r="O348" s="618"/>
      <c r="P348" s="618"/>
      <c r="Q348" s="618"/>
      <c r="R348" s="618"/>
      <c r="S348" s="618"/>
      <c r="T348" s="618"/>
      <c r="U348" s="618"/>
      <c r="V348" s="618"/>
      <c r="W348" s="618"/>
      <c r="X348" s="618"/>
      <c r="Y348" s="618"/>
      <c r="Z348" s="618"/>
      <c r="AA348" s="618"/>
      <c r="AB348" s="618"/>
      <c r="AC348" s="618"/>
      <c r="AD348" s="618"/>
      <c r="AE348" s="618"/>
      <c r="AF348" s="618"/>
      <c r="AG348" s="618"/>
      <c r="AH348" s="618"/>
      <c r="AI348" s="618"/>
      <c r="AJ348" s="618"/>
      <c r="AK348" s="618"/>
      <c r="AL348" s="1"/>
    </row>
    <row r="349" spans="1:38" ht="14.25" customHeight="1" x14ac:dyDescent="0.45">
      <c r="A349" s="618"/>
      <c r="B349" s="618"/>
      <c r="C349" s="5"/>
      <c r="D349" s="618"/>
      <c r="E349" s="618"/>
      <c r="F349" s="618"/>
      <c r="G349" s="618"/>
      <c r="H349" s="618"/>
      <c r="I349" s="618"/>
      <c r="J349" s="618"/>
      <c r="K349" s="618"/>
      <c r="L349" s="618"/>
      <c r="M349" s="618"/>
      <c r="N349" s="618"/>
      <c r="O349" s="618"/>
      <c r="P349" s="618"/>
      <c r="Q349" s="618"/>
      <c r="R349" s="618"/>
      <c r="S349" s="618"/>
      <c r="T349" s="618"/>
      <c r="U349" s="618"/>
      <c r="V349" s="618"/>
      <c r="W349" s="618"/>
      <c r="X349" s="618"/>
      <c r="Y349" s="618"/>
      <c r="Z349" s="618"/>
      <c r="AA349" s="618"/>
      <c r="AB349" s="618"/>
      <c r="AC349" s="618"/>
      <c r="AD349" s="618"/>
      <c r="AE349" s="618"/>
      <c r="AF349" s="618"/>
      <c r="AG349" s="618"/>
      <c r="AH349" s="618"/>
      <c r="AI349" s="618"/>
      <c r="AJ349" s="618"/>
      <c r="AK349" s="618"/>
      <c r="AL349" s="1"/>
    </row>
    <row r="350" spans="1:38" ht="14.25" customHeight="1" x14ac:dyDescent="0.45">
      <c r="A350" s="618"/>
      <c r="B350" s="618"/>
      <c r="C350" s="5"/>
      <c r="D350" s="618"/>
      <c r="E350" s="618"/>
      <c r="F350" s="618"/>
      <c r="G350" s="618"/>
      <c r="H350" s="618"/>
      <c r="I350" s="618"/>
      <c r="J350" s="618"/>
      <c r="K350" s="618"/>
      <c r="L350" s="618"/>
      <c r="M350" s="618"/>
      <c r="N350" s="618"/>
      <c r="O350" s="618"/>
      <c r="P350" s="618"/>
      <c r="Q350" s="618"/>
      <c r="R350" s="618"/>
      <c r="S350" s="618"/>
      <c r="T350" s="618"/>
      <c r="U350" s="618"/>
      <c r="V350" s="618"/>
      <c r="W350" s="618"/>
      <c r="X350" s="618"/>
      <c r="Y350" s="618"/>
      <c r="Z350" s="618"/>
      <c r="AA350" s="618"/>
      <c r="AB350" s="618"/>
      <c r="AC350" s="618"/>
      <c r="AD350" s="618"/>
      <c r="AE350" s="618"/>
      <c r="AF350" s="618"/>
      <c r="AG350" s="618"/>
      <c r="AH350" s="618"/>
      <c r="AI350" s="618"/>
      <c r="AJ350" s="618"/>
      <c r="AK350" s="618"/>
      <c r="AL350" s="1"/>
    </row>
    <row r="351" spans="1:38" ht="14.25" customHeight="1" x14ac:dyDescent="0.45">
      <c r="A351" s="618"/>
      <c r="B351" s="618"/>
      <c r="C351" s="5"/>
      <c r="D351" s="618"/>
      <c r="E351" s="618"/>
      <c r="F351" s="618"/>
      <c r="G351" s="618"/>
      <c r="H351" s="618"/>
      <c r="I351" s="618"/>
      <c r="J351" s="618"/>
      <c r="K351" s="618"/>
      <c r="L351" s="618"/>
      <c r="M351" s="618"/>
      <c r="N351" s="618"/>
      <c r="O351" s="618"/>
      <c r="P351" s="618"/>
      <c r="Q351" s="618"/>
      <c r="R351" s="618"/>
      <c r="S351" s="618"/>
      <c r="T351" s="618"/>
      <c r="U351" s="618"/>
      <c r="V351" s="618"/>
      <c r="W351" s="618"/>
      <c r="X351" s="618"/>
      <c r="Y351" s="618"/>
      <c r="Z351" s="618"/>
      <c r="AA351" s="618"/>
      <c r="AB351" s="618"/>
      <c r="AC351" s="618"/>
      <c r="AD351" s="618"/>
      <c r="AE351" s="618"/>
      <c r="AF351" s="618"/>
      <c r="AG351" s="618"/>
      <c r="AH351" s="618"/>
      <c r="AI351" s="618"/>
      <c r="AJ351" s="618"/>
      <c r="AK351" s="618"/>
      <c r="AL351" s="1"/>
    </row>
    <row r="352" spans="1:38" ht="14.25" customHeight="1" x14ac:dyDescent="0.45">
      <c r="A352" s="618"/>
      <c r="B352" s="618"/>
      <c r="C352" s="5"/>
      <c r="D352" s="618"/>
      <c r="E352" s="618"/>
      <c r="F352" s="618"/>
      <c r="G352" s="618"/>
      <c r="H352" s="618"/>
      <c r="I352" s="618"/>
      <c r="J352" s="618"/>
      <c r="K352" s="618"/>
      <c r="L352" s="618"/>
      <c r="M352" s="618"/>
      <c r="N352" s="618"/>
      <c r="O352" s="618"/>
      <c r="P352" s="618"/>
      <c r="Q352" s="618"/>
      <c r="R352" s="618"/>
      <c r="S352" s="618"/>
      <c r="T352" s="618"/>
      <c r="U352" s="618"/>
      <c r="V352" s="618"/>
      <c r="W352" s="618"/>
      <c r="X352" s="618"/>
      <c r="Y352" s="618"/>
      <c r="Z352" s="618"/>
      <c r="AA352" s="618"/>
      <c r="AB352" s="618"/>
      <c r="AC352" s="618"/>
      <c r="AD352" s="618"/>
      <c r="AE352" s="618"/>
      <c r="AF352" s="618"/>
      <c r="AG352" s="618"/>
      <c r="AH352" s="618"/>
      <c r="AI352" s="618"/>
      <c r="AJ352" s="618"/>
      <c r="AK352" s="618"/>
      <c r="AL352" s="1"/>
    </row>
    <row r="353" spans="1:38" ht="14.25" customHeight="1" x14ac:dyDescent="0.45">
      <c r="A353" s="618"/>
      <c r="B353" s="618"/>
      <c r="C353" s="5"/>
      <c r="D353" s="618"/>
      <c r="E353" s="618"/>
      <c r="F353" s="618"/>
      <c r="G353" s="618"/>
      <c r="H353" s="618"/>
      <c r="I353" s="618"/>
      <c r="J353" s="618"/>
      <c r="K353" s="618"/>
      <c r="L353" s="618"/>
      <c r="M353" s="618"/>
      <c r="N353" s="618"/>
      <c r="O353" s="618"/>
      <c r="P353" s="618"/>
      <c r="Q353" s="618"/>
      <c r="R353" s="618"/>
      <c r="S353" s="618"/>
      <c r="T353" s="618"/>
      <c r="U353" s="618"/>
      <c r="V353" s="618"/>
      <c r="W353" s="618"/>
      <c r="X353" s="618"/>
      <c r="Y353" s="618"/>
      <c r="Z353" s="618"/>
      <c r="AA353" s="618"/>
      <c r="AB353" s="618"/>
      <c r="AC353" s="618"/>
      <c r="AD353" s="618"/>
      <c r="AE353" s="618"/>
      <c r="AF353" s="618"/>
      <c r="AG353" s="618"/>
      <c r="AH353" s="618"/>
      <c r="AI353" s="618"/>
      <c r="AJ353" s="618"/>
      <c r="AK353" s="618"/>
      <c r="AL353" s="1"/>
    </row>
    <row r="354" spans="1:38" ht="14.25" customHeight="1" x14ac:dyDescent="0.45">
      <c r="A354" s="618"/>
      <c r="B354" s="618"/>
      <c r="C354" s="5"/>
      <c r="D354" s="618"/>
      <c r="E354" s="618"/>
      <c r="F354" s="618"/>
      <c r="G354" s="618"/>
      <c r="H354" s="618"/>
      <c r="I354" s="618"/>
      <c r="J354" s="618"/>
      <c r="K354" s="618"/>
      <c r="L354" s="618"/>
      <c r="M354" s="618"/>
      <c r="N354" s="618"/>
      <c r="O354" s="618"/>
      <c r="P354" s="618"/>
      <c r="Q354" s="618"/>
      <c r="R354" s="618"/>
      <c r="S354" s="618"/>
      <c r="T354" s="618"/>
      <c r="U354" s="618"/>
      <c r="V354" s="618"/>
      <c r="W354" s="618"/>
      <c r="X354" s="618"/>
      <c r="Y354" s="618"/>
      <c r="Z354" s="618"/>
      <c r="AA354" s="618"/>
      <c r="AB354" s="618"/>
      <c r="AC354" s="618"/>
      <c r="AD354" s="618"/>
      <c r="AE354" s="618"/>
      <c r="AF354" s="618"/>
      <c r="AG354" s="618"/>
      <c r="AH354" s="618"/>
      <c r="AI354" s="618"/>
      <c r="AJ354" s="618"/>
      <c r="AK354" s="618"/>
      <c r="AL354" s="1"/>
    </row>
    <row r="355" spans="1:38" ht="14.25" customHeight="1" x14ac:dyDescent="0.45">
      <c r="A355" s="618"/>
      <c r="B355" s="618"/>
      <c r="C355" s="5"/>
      <c r="D355" s="618"/>
      <c r="E355" s="618"/>
      <c r="F355" s="618"/>
      <c r="G355" s="618"/>
      <c r="H355" s="618"/>
      <c r="I355" s="618"/>
      <c r="J355" s="618"/>
      <c r="K355" s="618"/>
      <c r="L355" s="618"/>
      <c r="M355" s="618"/>
      <c r="N355" s="618"/>
      <c r="O355" s="618"/>
      <c r="P355" s="618"/>
      <c r="Q355" s="618"/>
      <c r="R355" s="618"/>
      <c r="S355" s="618"/>
      <c r="T355" s="618"/>
      <c r="U355" s="618"/>
      <c r="V355" s="618"/>
      <c r="W355" s="618"/>
      <c r="X355" s="618"/>
      <c r="Y355" s="618"/>
      <c r="Z355" s="618"/>
      <c r="AA355" s="618"/>
      <c r="AB355" s="618"/>
      <c r="AC355" s="618"/>
      <c r="AD355" s="618"/>
      <c r="AE355" s="618"/>
      <c r="AF355" s="618"/>
      <c r="AG355" s="618"/>
      <c r="AH355" s="618"/>
      <c r="AI355" s="618"/>
      <c r="AJ355" s="618"/>
      <c r="AK355" s="618"/>
      <c r="AL355" s="1"/>
    </row>
    <row r="356" spans="1:38" ht="14.25" customHeight="1" x14ac:dyDescent="0.45">
      <c r="A356" s="618"/>
      <c r="B356" s="618"/>
      <c r="C356" s="5"/>
      <c r="D356" s="618"/>
      <c r="E356" s="618"/>
      <c r="F356" s="618"/>
      <c r="G356" s="618"/>
      <c r="H356" s="618"/>
      <c r="I356" s="618"/>
      <c r="J356" s="618"/>
      <c r="K356" s="618"/>
      <c r="L356" s="618"/>
      <c r="M356" s="618"/>
      <c r="N356" s="618"/>
      <c r="O356" s="618"/>
      <c r="P356" s="618"/>
      <c r="Q356" s="618"/>
      <c r="R356" s="618"/>
      <c r="S356" s="618"/>
      <c r="T356" s="618"/>
      <c r="U356" s="618"/>
      <c r="V356" s="618"/>
      <c r="W356" s="618"/>
      <c r="X356" s="618"/>
      <c r="Y356" s="618"/>
      <c r="Z356" s="618"/>
      <c r="AA356" s="618"/>
      <c r="AB356" s="618"/>
      <c r="AC356" s="618"/>
      <c r="AD356" s="618"/>
      <c r="AE356" s="618"/>
      <c r="AF356" s="618"/>
      <c r="AG356" s="618"/>
      <c r="AH356" s="618"/>
      <c r="AI356" s="618"/>
      <c r="AJ356" s="618"/>
      <c r="AK356" s="618"/>
      <c r="AL356" s="1"/>
    </row>
    <row r="357" spans="1:38" ht="14.25" customHeight="1" x14ac:dyDescent="0.45">
      <c r="A357" s="618"/>
      <c r="B357" s="618"/>
      <c r="C357" s="5"/>
      <c r="D357" s="618"/>
      <c r="E357" s="618"/>
      <c r="F357" s="618"/>
      <c r="G357" s="618"/>
      <c r="H357" s="618"/>
      <c r="I357" s="618"/>
      <c r="J357" s="618"/>
      <c r="K357" s="618"/>
      <c r="L357" s="618"/>
      <c r="M357" s="618"/>
      <c r="N357" s="618"/>
      <c r="O357" s="618"/>
      <c r="P357" s="618"/>
      <c r="Q357" s="618"/>
      <c r="R357" s="618"/>
      <c r="S357" s="618"/>
      <c r="T357" s="618"/>
      <c r="U357" s="618"/>
      <c r="V357" s="618"/>
      <c r="W357" s="618"/>
      <c r="X357" s="618"/>
      <c r="Y357" s="618"/>
      <c r="Z357" s="618"/>
      <c r="AA357" s="618"/>
      <c r="AB357" s="618"/>
      <c r="AC357" s="618"/>
      <c r="AD357" s="618"/>
      <c r="AE357" s="618"/>
      <c r="AF357" s="618"/>
      <c r="AG357" s="618"/>
      <c r="AH357" s="618"/>
      <c r="AI357" s="618"/>
      <c r="AJ357" s="618"/>
      <c r="AK357" s="618"/>
      <c r="AL357" s="1"/>
    </row>
    <row r="358" spans="1:38" ht="14.25" customHeight="1" x14ac:dyDescent="0.45">
      <c r="A358" s="618"/>
      <c r="B358" s="618"/>
      <c r="C358" s="5"/>
      <c r="D358" s="618"/>
      <c r="E358" s="618"/>
      <c r="F358" s="618"/>
      <c r="G358" s="618"/>
      <c r="H358" s="618"/>
      <c r="I358" s="618"/>
      <c r="J358" s="618"/>
      <c r="K358" s="618"/>
      <c r="L358" s="618"/>
      <c r="M358" s="618"/>
      <c r="N358" s="618"/>
      <c r="O358" s="618"/>
      <c r="P358" s="618"/>
      <c r="Q358" s="618"/>
      <c r="R358" s="618"/>
      <c r="S358" s="618"/>
      <c r="T358" s="618"/>
      <c r="U358" s="618"/>
      <c r="V358" s="618"/>
      <c r="W358" s="618"/>
      <c r="X358" s="618"/>
      <c r="Y358" s="618"/>
      <c r="Z358" s="618"/>
      <c r="AA358" s="618"/>
      <c r="AB358" s="618"/>
      <c r="AC358" s="618"/>
      <c r="AD358" s="618"/>
      <c r="AE358" s="618"/>
      <c r="AF358" s="618"/>
      <c r="AG358" s="618"/>
      <c r="AH358" s="618"/>
      <c r="AI358" s="618"/>
      <c r="AJ358" s="618"/>
      <c r="AK358" s="618"/>
      <c r="AL358" s="1"/>
    </row>
    <row r="359" spans="1:38" ht="14.25" customHeight="1" x14ac:dyDescent="0.45">
      <c r="A359" s="618"/>
      <c r="B359" s="618"/>
      <c r="C359" s="5"/>
      <c r="D359" s="618"/>
      <c r="E359" s="618"/>
      <c r="F359" s="618"/>
      <c r="G359" s="618"/>
      <c r="H359" s="618"/>
      <c r="I359" s="618"/>
      <c r="J359" s="618"/>
      <c r="K359" s="618"/>
      <c r="L359" s="618"/>
      <c r="M359" s="618"/>
      <c r="N359" s="618"/>
      <c r="O359" s="618"/>
      <c r="P359" s="618"/>
      <c r="Q359" s="618"/>
      <c r="R359" s="618"/>
      <c r="S359" s="618"/>
      <c r="T359" s="618"/>
      <c r="U359" s="618"/>
      <c r="V359" s="618"/>
      <c r="W359" s="618"/>
      <c r="X359" s="618"/>
      <c r="Y359" s="618"/>
      <c r="Z359" s="618"/>
      <c r="AA359" s="618"/>
      <c r="AB359" s="618"/>
      <c r="AC359" s="618"/>
      <c r="AD359" s="618"/>
      <c r="AE359" s="618"/>
      <c r="AF359" s="618"/>
      <c r="AG359" s="618"/>
      <c r="AH359" s="618"/>
      <c r="AI359" s="618"/>
      <c r="AJ359" s="618"/>
      <c r="AK359" s="618"/>
      <c r="AL359" s="1"/>
    </row>
    <row r="360" spans="1:38" ht="14.25" customHeight="1" x14ac:dyDescent="0.45">
      <c r="A360" s="618"/>
      <c r="B360" s="618"/>
      <c r="C360" s="5"/>
      <c r="D360" s="618"/>
      <c r="E360" s="618"/>
      <c r="F360" s="618"/>
      <c r="G360" s="618"/>
      <c r="H360" s="618"/>
      <c r="I360" s="618"/>
      <c r="J360" s="618"/>
      <c r="K360" s="618"/>
      <c r="L360" s="618"/>
      <c r="M360" s="618"/>
      <c r="N360" s="618"/>
      <c r="O360" s="618"/>
      <c r="P360" s="618"/>
      <c r="Q360" s="618"/>
      <c r="R360" s="618"/>
      <c r="S360" s="618"/>
      <c r="T360" s="618"/>
      <c r="U360" s="618"/>
      <c r="V360" s="618"/>
      <c r="W360" s="618"/>
      <c r="X360" s="618"/>
      <c r="Y360" s="618"/>
      <c r="Z360" s="618"/>
      <c r="AA360" s="618"/>
      <c r="AB360" s="618"/>
      <c r="AC360" s="618"/>
      <c r="AD360" s="618"/>
      <c r="AE360" s="618"/>
      <c r="AF360" s="618"/>
      <c r="AG360" s="618"/>
      <c r="AH360" s="618"/>
      <c r="AI360" s="618"/>
      <c r="AJ360" s="618"/>
      <c r="AK360" s="618"/>
      <c r="AL360" s="1"/>
    </row>
    <row r="361" spans="1:38" ht="14.25" customHeight="1" x14ac:dyDescent="0.45">
      <c r="A361" s="618"/>
      <c r="B361" s="618"/>
      <c r="C361" s="5"/>
      <c r="D361" s="618"/>
      <c r="E361" s="618"/>
      <c r="F361" s="618"/>
      <c r="G361" s="618"/>
      <c r="H361" s="618"/>
      <c r="I361" s="618"/>
      <c r="J361" s="618"/>
      <c r="K361" s="618"/>
      <c r="L361" s="618"/>
      <c r="M361" s="618"/>
      <c r="N361" s="618"/>
      <c r="O361" s="618"/>
      <c r="P361" s="618"/>
      <c r="Q361" s="618"/>
      <c r="R361" s="618"/>
      <c r="S361" s="618"/>
      <c r="T361" s="618"/>
      <c r="U361" s="618"/>
      <c r="V361" s="618"/>
      <c r="W361" s="618"/>
      <c r="X361" s="618"/>
      <c r="Y361" s="618"/>
      <c r="Z361" s="618"/>
      <c r="AA361" s="618"/>
      <c r="AB361" s="618"/>
      <c r="AC361" s="618"/>
      <c r="AD361" s="618"/>
      <c r="AE361" s="618"/>
      <c r="AF361" s="618"/>
      <c r="AG361" s="618"/>
      <c r="AH361" s="618"/>
      <c r="AI361" s="618"/>
      <c r="AJ361" s="618"/>
      <c r="AK361" s="618"/>
      <c r="AL361" s="1"/>
    </row>
    <row r="362" spans="1:38" ht="14.25" customHeight="1" x14ac:dyDescent="0.45">
      <c r="A362" s="618"/>
      <c r="B362" s="618"/>
      <c r="C362" s="5"/>
      <c r="D362" s="618"/>
      <c r="E362" s="618"/>
      <c r="F362" s="618"/>
      <c r="G362" s="618"/>
      <c r="H362" s="618"/>
      <c r="I362" s="618"/>
      <c r="J362" s="618"/>
      <c r="K362" s="618"/>
      <c r="L362" s="618"/>
      <c r="M362" s="618"/>
      <c r="N362" s="618"/>
      <c r="O362" s="618"/>
      <c r="P362" s="618"/>
      <c r="Q362" s="618"/>
      <c r="R362" s="618"/>
      <c r="S362" s="618"/>
      <c r="T362" s="618"/>
      <c r="U362" s="618"/>
      <c r="V362" s="618"/>
      <c r="W362" s="618"/>
      <c r="X362" s="618"/>
      <c r="Y362" s="618"/>
      <c r="Z362" s="618"/>
      <c r="AA362" s="618"/>
      <c r="AB362" s="618"/>
      <c r="AC362" s="618"/>
      <c r="AD362" s="618"/>
      <c r="AE362" s="618"/>
      <c r="AF362" s="618"/>
      <c r="AG362" s="618"/>
      <c r="AH362" s="618"/>
      <c r="AI362" s="618"/>
      <c r="AJ362" s="618"/>
      <c r="AK362" s="618"/>
      <c r="AL362" s="1"/>
    </row>
    <row r="363" spans="1:38" ht="14.25" customHeight="1" x14ac:dyDescent="0.45">
      <c r="A363" s="618"/>
      <c r="B363" s="618"/>
      <c r="C363" s="5"/>
      <c r="D363" s="618"/>
      <c r="E363" s="618"/>
      <c r="F363" s="618"/>
      <c r="G363" s="618"/>
      <c r="H363" s="618"/>
      <c r="I363" s="618"/>
      <c r="J363" s="618"/>
      <c r="K363" s="618"/>
      <c r="L363" s="618"/>
      <c r="M363" s="618"/>
      <c r="N363" s="618"/>
      <c r="O363" s="618"/>
      <c r="P363" s="618"/>
      <c r="Q363" s="618"/>
      <c r="R363" s="618"/>
      <c r="S363" s="618"/>
      <c r="T363" s="618"/>
      <c r="U363" s="618"/>
      <c r="V363" s="618"/>
      <c r="W363" s="618"/>
      <c r="X363" s="618"/>
      <c r="Y363" s="618"/>
      <c r="Z363" s="618"/>
      <c r="AA363" s="618"/>
      <c r="AB363" s="618"/>
      <c r="AC363" s="618"/>
      <c r="AD363" s="618"/>
      <c r="AE363" s="618"/>
      <c r="AF363" s="618"/>
      <c r="AG363" s="618"/>
      <c r="AH363" s="618"/>
      <c r="AI363" s="618"/>
      <c r="AJ363" s="618"/>
      <c r="AK363" s="618"/>
      <c r="AL363" s="1"/>
    </row>
    <row r="364" spans="1:38" ht="14.25" customHeight="1" x14ac:dyDescent="0.45">
      <c r="A364" s="618"/>
      <c r="B364" s="618"/>
      <c r="C364" s="5"/>
      <c r="D364" s="618"/>
      <c r="E364" s="618"/>
      <c r="F364" s="618"/>
      <c r="G364" s="618"/>
      <c r="H364" s="618"/>
      <c r="I364" s="618"/>
      <c r="J364" s="618"/>
      <c r="K364" s="618"/>
      <c r="L364" s="618"/>
      <c r="M364" s="618"/>
      <c r="N364" s="618"/>
      <c r="O364" s="618"/>
      <c r="P364" s="618"/>
      <c r="Q364" s="618"/>
      <c r="R364" s="618"/>
      <c r="S364" s="618"/>
      <c r="T364" s="618"/>
      <c r="U364" s="618"/>
      <c r="V364" s="618"/>
      <c r="W364" s="618"/>
      <c r="X364" s="618"/>
      <c r="Y364" s="618"/>
      <c r="Z364" s="618"/>
      <c r="AA364" s="618"/>
      <c r="AB364" s="618"/>
      <c r="AC364" s="618"/>
      <c r="AD364" s="618"/>
      <c r="AE364" s="618"/>
      <c r="AF364" s="618"/>
      <c r="AG364" s="618"/>
      <c r="AH364" s="618"/>
      <c r="AI364" s="618"/>
      <c r="AJ364" s="618"/>
      <c r="AK364" s="618"/>
      <c r="AL364" s="1"/>
    </row>
    <row r="365" spans="1:38" ht="14.25" customHeight="1" x14ac:dyDescent="0.45">
      <c r="A365" s="618"/>
      <c r="B365" s="618"/>
      <c r="C365" s="5"/>
      <c r="D365" s="618"/>
      <c r="E365" s="618"/>
      <c r="F365" s="618"/>
      <c r="G365" s="618"/>
      <c r="H365" s="618"/>
      <c r="I365" s="618"/>
      <c r="J365" s="618"/>
      <c r="K365" s="618"/>
      <c r="L365" s="618"/>
      <c r="M365" s="618"/>
      <c r="N365" s="618"/>
      <c r="O365" s="618"/>
      <c r="P365" s="618"/>
      <c r="Q365" s="618"/>
      <c r="R365" s="618"/>
      <c r="S365" s="618"/>
      <c r="T365" s="618"/>
      <c r="U365" s="618"/>
      <c r="V365" s="618"/>
      <c r="W365" s="618"/>
      <c r="X365" s="618"/>
      <c r="Y365" s="618"/>
      <c r="Z365" s="618"/>
      <c r="AA365" s="618"/>
      <c r="AB365" s="618"/>
      <c r="AC365" s="618"/>
      <c r="AD365" s="618"/>
      <c r="AE365" s="618"/>
      <c r="AF365" s="618"/>
      <c r="AG365" s="618"/>
      <c r="AH365" s="618"/>
      <c r="AI365" s="618"/>
      <c r="AJ365" s="618"/>
      <c r="AK365" s="618"/>
      <c r="AL365" s="1"/>
    </row>
    <row r="366" spans="1:38" ht="14.25" customHeight="1" x14ac:dyDescent="0.45">
      <c r="A366" s="618"/>
      <c r="B366" s="618"/>
      <c r="C366" s="5"/>
      <c r="D366" s="618"/>
      <c r="E366" s="618"/>
      <c r="F366" s="618"/>
      <c r="G366" s="618"/>
      <c r="H366" s="618"/>
      <c r="I366" s="618"/>
      <c r="J366" s="618"/>
      <c r="K366" s="618"/>
      <c r="L366" s="618"/>
      <c r="M366" s="618"/>
      <c r="N366" s="618"/>
      <c r="O366" s="618"/>
      <c r="P366" s="618"/>
      <c r="Q366" s="618"/>
      <c r="R366" s="618"/>
      <c r="S366" s="618"/>
      <c r="T366" s="618"/>
      <c r="U366" s="618"/>
      <c r="V366" s="618"/>
      <c r="W366" s="618"/>
      <c r="X366" s="618"/>
      <c r="Y366" s="618"/>
      <c r="Z366" s="618"/>
      <c r="AA366" s="618"/>
      <c r="AB366" s="618"/>
      <c r="AC366" s="618"/>
      <c r="AD366" s="618"/>
      <c r="AE366" s="618"/>
      <c r="AF366" s="618"/>
      <c r="AG366" s="618"/>
      <c r="AH366" s="618"/>
      <c r="AI366" s="618"/>
      <c r="AJ366" s="618"/>
      <c r="AK366" s="618"/>
      <c r="AL366" s="1"/>
    </row>
    <row r="367" spans="1:38" ht="14.25" customHeight="1" x14ac:dyDescent="0.45">
      <c r="A367" s="618"/>
      <c r="B367" s="618"/>
      <c r="C367" s="5"/>
      <c r="D367" s="618"/>
      <c r="E367" s="618"/>
      <c r="F367" s="618"/>
      <c r="G367" s="618"/>
      <c r="H367" s="618"/>
      <c r="I367" s="618"/>
      <c r="J367" s="618"/>
      <c r="K367" s="618"/>
      <c r="L367" s="618"/>
      <c r="M367" s="618"/>
      <c r="N367" s="618"/>
      <c r="O367" s="618"/>
      <c r="P367" s="618"/>
      <c r="Q367" s="618"/>
      <c r="R367" s="618"/>
      <c r="S367" s="618"/>
      <c r="T367" s="618"/>
      <c r="U367" s="618"/>
      <c r="V367" s="618"/>
      <c r="W367" s="618"/>
      <c r="X367" s="618"/>
      <c r="Y367" s="618"/>
      <c r="Z367" s="618"/>
      <c r="AA367" s="618"/>
      <c r="AB367" s="618"/>
      <c r="AC367" s="618"/>
      <c r="AD367" s="618"/>
      <c r="AE367" s="618"/>
      <c r="AF367" s="618"/>
      <c r="AG367" s="618"/>
      <c r="AH367" s="618"/>
      <c r="AI367" s="618"/>
      <c r="AJ367" s="618"/>
      <c r="AK367" s="618"/>
      <c r="AL367" s="1"/>
    </row>
    <row r="368" spans="1:38" ht="14.25" customHeight="1" x14ac:dyDescent="0.45">
      <c r="A368" s="618"/>
      <c r="B368" s="618"/>
      <c r="C368" s="5"/>
      <c r="D368" s="618"/>
      <c r="E368" s="618"/>
      <c r="F368" s="618"/>
      <c r="G368" s="618"/>
      <c r="H368" s="618"/>
      <c r="I368" s="618"/>
      <c r="J368" s="618"/>
      <c r="K368" s="618"/>
      <c r="L368" s="618"/>
      <c r="M368" s="618"/>
      <c r="N368" s="618"/>
      <c r="O368" s="618"/>
      <c r="P368" s="618"/>
      <c r="Q368" s="618"/>
      <c r="R368" s="618"/>
      <c r="S368" s="618"/>
      <c r="T368" s="618"/>
      <c r="U368" s="618"/>
      <c r="V368" s="618"/>
      <c r="W368" s="618"/>
      <c r="X368" s="618"/>
      <c r="Y368" s="618"/>
      <c r="Z368" s="618"/>
      <c r="AA368" s="618"/>
      <c r="AB368" s="618"/>
      <c r="AC368" s="618"/>
      <c r="AD368" s="618"/>
      <c r="AE368" s="618"/>
      <c r="AF368" s="618"/>
      <c r="AG368" s="618"/>
      <c r="AH368" s="618"/>
      <c r="AI368" s="618"/>
      <c r="AJ368" s="618"/>
      <c r="AK368" s="618"/>
      <c r="AL368" s="1"/>
    </row>
    <row r="369" spans="1:38" ht="14.25" customHeight="1" x14ac:dyDescent="0.45">
      <c r="A369" s="618"/>
      <c r="B369" s="618"/>
      <c r="C369" s="5"/>
      <c r="D369" s="618"/>
      <c r="E369" s="618"/>
      <c r="F369" s="618"/>
      <c r="G369" s="618"/>
      <c r="H369" s="618"/>
      <c r="I369" s="618"/>
      <c r="J369" s="618"/>
      <c r="K369" s="618"/>
      <c r="L369" s="618"/>
      <c r="M369" s="618"/>
      <c r="N369" s="618"/>
      <c r="O369" s="618"/>
      <c r="P369" s="618"/>
      <c r="Q369" s="618"/>
      <c r="R369" s="618"/>
      <c r="S369" s="618"/>
      <c r="T369" s="618"/>
      <c r="U369" s="618"/>
      <c r="V369" s="618"/>
      <c r="W369" s="618"/>
      <c r="X369" s="618"/>
      <c r="Y369" s="618"/>
      <c r="Z369" s="618"/>
      <c r="AA369" s="618"/>
      <c r="AB369" s="618"/>
      <c r="AC369" s="618"/>
      <c r="AD369" s="618"/>
      <c r="AE369" s="618"/>
      <c r="AF369" s="618"/>
      <c r="AG369" s="618"/>
      <c r="AH369" s="618"/>
      <c r="AI369" s="618"/>
      <c r="AJ369" s="618"/>
      <c r="AK369" s="618"/>
      <c r="AL369" s="1"/>
    </row>
    <row r="370" spans="1:38" ht="14.25" customHeight="1" x14ac:dyDescent="0.45">
      <c r="A370" s="618"/>
      <c r="B370" s="618"/>
      <c r="C370" s="5"/>
      <c r="D370" s="618"/>
      <c r="E370" s="618"/>
      <c r="F370" s="618"/>
      <c r="G370" s="618"/>
      <c r="H370" s="618"/>
      <c r="I370" s="618"/>
      <c r="J370" s="618"/>
      <c r="K370" s="618"/>
      <c r="L370" s="618"/>
      <c r="M370" s="618"/>
      <c r="N370" s="618"/>
      <c r="O370" s="618"/>
      <c r="P370" s="618"/>
      <c r="Q370" s="618"/>
      <c r="R370" s="618"/>
      <c r="S370" s="618"/>
      <c r="T370" s="618"/>
      <c r="U370" s="618"/>
      <c r="V370" s="618"/>
      <c r="W370" s="618"/>
      <c r="X370" s="618"/>
      <c r="Y370" s="618"/>
      <c r="Z370" s="618"/>
      <c r="AA370" s="618"/>
      <c r="AB370" s="618"/>
      <c r="AC370" s="618"/>
      <c r="AD370" s="618"/>
      <c r="AE370" s="618"/>
      <c r="AF370" s="618"/>
      <c r="AG370" s="618"/>
      <c r="AH370" s="618"/>
      <c r="AI370" s="618"/>
      <c r="AJ370" s="618"/>
      <c r="AK370" s="618"/>
      <c r="AL370" s="1"/>
    </row>
    <row r="371" spans="1:38" ht="14.25" customHeight="1" x14ac:dyDescent="0.45">
      <c r="A371" s="618"/>
      <c r="B371" s="618"/>
      <c r="C371" s="5"/>
      <c r="D371" s="618"/>
      <c r="E371" s="618"/>
      <c r="F371" s="618"/>
      <c r="G371" s="618"/>
      <c r="H371" s="618"/>
      <c r="I371" s="618"/>
      <c r="J371" s="618"/>
      <c r="K371" s="618"/>
      <c r="L371" s="618"/>
      <c r="M371" s="618"/>
      <c r="N371" s="618"/>
      <c r="O371" s="618"/>
      <c r="P371" s="618"/>
      <c r="Q371" s="618"/>
      <c r="R371" s="618"/>
      <c r="S371" s="618"/>
      <c r="T371" s="618"/>
      <c r="U371" s="618"/>
      <c r="V371" s="618"/>
      <c r="W371" s="618"/>
      <c r="X371" s="618"/>
      <c r="Y371" s="618"/>
      <c r="Z371" s="618"/>
      <c r="AA371" s="618"/>
      <c r="AB371" s="618"/>
      <c r="AC371" s="618"/>
      <c r="AD371" s="618"/>
      <c r="AE371" s="618"/>
      <c r="AF371" s="618"/>
      <c r="AG371" s="618"/>
      <c r="AH371" s="618"/>
      <c r="AI371" s="618"/>
      <c r="AJ371" s="618"/>
      <c r="AK371" s="618"/>
      <c r="AL371" s="1"/>
    </row>
    <row r="372" spans="1:38" ht="14.25" customHeight="1" x14ac:dyDescent="0.45">
      <c r="A372" s="618"/>
      <c r="B372" s="618"/>
      <c r="C372" s="5"/>
      <c r="D372" s="618"/>
      <c r="E372" s="618"/>
      <c r="F372" s="618"/>
      <c r="G372" s="618"/>
      <c r="H372" s="618"/>
      <c r="I372" s="618"/>
      <c r="J372" s="618"/>
      <c r="K372" s="618"/>
      <c r="L372" s="618"/>
      <c r="M372" s="618"/>
      <c r="N372" s="618"/>
      <c r="O372" s="618"/>
      <c r="P372" s="618"/>
      <c r="Q372" s="618"/>
      <c r="R372" s="618"/>
      <c r="S372" s="618"/>
      <c r="T372" s="618"/>
      <c r="U372" s="618"/>
      <c r="V372" s="618"/>
      <c r="W372" s="618"/>
      <c r="X372" s="618"/>
      <c r="Y372" s="618"/>
      <c r="Z372" s="618"/>
      <c r="AA372" s="618"/>
      <c r="AB372" s="618"/>
      <c r="AC372" s="618"/>
      <c r="AD372" s="618"/>
      <c r="AE372" s="618"/>
      <c r="AF372" s="618"/>
      <c r="AG372" s="618"/>
      <c r="AH372" s="618"/>
      <c r="AI372" s="618"/>
      <c r="AJ372" s="618"/>
      <c r="AK372" s="618"/>
      <c r="AL372" s="1"/>
    </row>
    <row r="373" spans="1:38" ht="14.25" customHeight="1" x14ac:dyDescent="0.45">
      <c r="A373" s="618"/>
      <c r="B373" s="618"/>
      <c r="C373" s="5"/>
      <c r="D373" s="618"/>
      <c r="E373" s="618"/>
      <c r="F373" s="618"/>
      <c r="G373" s="618"/>
      <c r="H373" s="618"/>
      <c r="I373" s="618"/>
      <c r="J373" s="618"/>
      <c r="K373" s="618"/>
      <c r="L373" s="618"/>
      <c r="M373" s="618"/>
      <c r="N373" s="618"/>
      <c r="O373" s="618"/>
      <c r="P373" s="618"/>
      <c r="Q373" s="618"/>
      <c r="R373" s="618"/>
      <c r="S373" s="618"/>
      <c r="T373" s="618"/>
      <c r="U373" s="618"/>
      <c r="V373" s="618"/>
      <c r="W373" s="618"/>
      <c r="X373" s="618"/>
      <c r="Y373" s="618"/>
      <c r="Z373" s="618"/>
      <c r="AA373" s="618"/>
      <c r="AB373" s="618"/>
      <c r="AC373" s="618"/>
      <c r="AD373" s="618"/>
      <c r="AE373" s="618"/>
      <c r="AF373" s="618"/>
      <c r="AG373" s="618"/>
      <c r="AH373" s="618"/>
      <c r="AI373" s="618"/>
      <c r="AJ373" s="618"/>
      <c r="AK373" s="618"/>
      <c r="AL373" s="1"/>
    </row>
    <row r="374" spans="1:38" ht="14.25" customHeight="1" x14ac:dyDescent="0.45">
      <c r="A374" s="618"/>
      <c r="B374" s="618"/>
      <c r="C374" s="5"/>
      <c r="D374" s="618"/>
      <c r="E374" s="618"/>
      <c r="F374" s="618"/>
      <c r="G374" s="618"/>
      <c r="H374" s="618"/>
      <c r="I374" s="618"/>
      <c r="J374" s="618"/>
      <c r="K374" s="618"/>
      <c r="L374" s="618"/>
      <c r="M374" s="618"/>
      <c r="N374" s="618"/>
      <c r="O374" s="618"/>
      <c r="P374" s="618"/>
      <c r="Q374" s="618"/>
      <c r="R374" s="618"/>
      <c r="S374" s="618"/>
      <c r="T374" s="618"/>
      <c r="U374" s="618"/>
      <c r="V374" s="618"/>
      <c r="W374" s="618"/>
      <c r="X374" s="618"/>
      <c r="Y374" s="618"/>
      <c r="Z374" s="618"/>
      <c r="AA374" s="618"/>
      <c r="AB374" s="618"/>
      <c r="AC374" s="618"/>
      <c r="AD374" s="618"/>
      <c r="AE374" s="618"/>
      <c r="AF374" s="618"/>
      <c r="AG374" s="618"/>
      <c r="AH374" s="618"/>
      <c r="AI374" s="618"/>
      <c r="AJ374" s="618"/>
      <c r="AK374" s="618"/>
      <c r="AL374" s="1"/>
    </row>
    <row r="375" spans="1:38" ht="14.25" customHeight="1" x14ac:dyDescent="0.45">
      <c r="A375" s="618"/>
      <c r="B375" s="618"/>
      <c r="C375" s="5"/>
      <c r="D375" s="618"/>
      <c r="E375" s="618"/>
      <c r="F375" s="618"/>
      <c r="G375" s="618"/>
      <c r="H375" s="618"/>
      <c r="I375" s="618"/>
      <c r="J375" s="618"/>
      <c r="K375" s="618"/>
      <c r="L375" s="618"/>
      <c r="M375" s="618"/>
      <c r="N375" s="618"/>
      <c r="O375" s="618"/>
      <c r="P375" s="618"/>
      <c r="Q375" s="618"/>
      <c r="R375" s="618"/>
      <c r="S375" s="618"/>
      <c r="T375" s="618"/>
      <c r="U375" s="618"/>
      <c r="V375" s="618"/>
      <c r="W375" s="618"/>
      <c r="X375" s="618"/>
      <c r="Y375" s="618"/>
      <c r="Z375" s="618"/>
      <c r="AA375" s="618"/>
      <c r="AB375" s="618"/>
      <c r="AC375" s="618"/>
      <c r="AD375" s="618"/>
      <c r="AE375" s="618"/>
      <c r="AF375" s="618"/>
      <c r="AG375" s="618"/>
      <c r="AH375" s="618"/>
      <c r="AI375" s="618"/>
      <c r="AJ375" s="618"/>
      <c r="AK375" s="618"/>
      <c r="AL375" s="1"/>
    </row>
    <row r="376" spans="1:38" ht="14.25" customHeight="1" x14ac:dyDescent="0.45">
      <c r="A376" s="618"/>
      <c r="B376" s="618"/>
      <c r="C376" s="5"/>
      <c r="D376" s="618"/>
      <c r="E376" s="618"/>
      <c r="F376" s="618"/>
      <c r="G376" s="618"/>
      <c r="H376" s="618"/>
      <c r="I376" s="618"/>
      <c r="J376" s="618"/>
      <c r="K376" s="618"/>
      <c r="L376" s="618"/>
      <c r="M376" s="618"/>
      <c r="N376" s="618"/>
      <c r="O376" s="618"/>
      <c r="P376" s="618"/>
      <c r="Q376" s="618"/>
      <c r="R376" s="618"/>
      <c r="S376" s="618"/>
      <c r="T376" s="618"/>
      <c r="U376" s="618"/>
      <c r="V376" s="618"/>
      <c r="W376" s="618"/>
      <c r="X376" s="618"/>
      <c r="Y376" s="618"/>
      <c r="Z376" s="618"/>
      <c r="AA376" s="618"/>
      <c r="AB376" s="618"/>
      <c r="AC376" s="618"/>
      <c r="AD376" s="618"/>
      <c r="AE376" s="618"/>
      <c r="AF376" s="618"/>
      <c r="AG376" s="618"/>
      <c r="AH376" s="618"/>
      <c r="AI376" s="618"/>
      <c r="AJ376" s="618"/>
      <c r="AK376" s="618"/>
      <c r="AL376" s="1"/>
    </row>
    <row r="377" spans="1:38" ht="14.25" customHeight="1" x14ac:dyDescent="0.45">
      <c r="A377" s="618"/>
      <c r="B377" s="618"/>
      <c r="C377" s="5"/>
      <c r="D377" s="618"/>
      <c r="E377" s="618"/>
      <c r="F377" s="618"/>
      <c r="G377" s="618"/>
      <c r="H377" s="618"/>
      <c r="I377" s="618"/>
      <c r="J377" s="618"/>
      <c r="K377" s="618"/>
      <c r="L377" s="618"/>
      <c r="M377" s="618"/>
      <c r="N377" s="618"/>
      <c r="O377" s="618"/>
      <c r="P377" s="618"/>
      <c r="Q377" s="618"/>
      <c r="R377" s="618"/>
      <c r="S377" s="618"/>
      <c r="T377" s="618"/>
      <c r="U377" s="618"/>
      <c r="V377" s="618"/>
      <c r="W377" s="618"/>
      <c r="X377" s="618"/>
      <c r="Y377" s="618"/>
      <c r="Z377" s="618"/>
      <c r="AA377" s="618"/>
      <c r="AB377" s="618"/>
      <c r="AC377" s="618"/>
      <c r="AD377" s="618"/>
      <c r="AE377" s="618"/>
      <c r="AF377" s="618"/>
      <c r="AG377" s="618"/>
      <c r="AH377" s="618"/>
      <c r="AI377" s="618"/>
      <c r="AJ377" s="618"/>
      <c r="AK377" s="618"/>
      <c r="AL377" s="1"/>
    </row>
    <row r="378" spans="1:38" ht="14.25" customHeight="1" x14ac:dyDescent="0.45">
      <c r="A378" s="618"/>
      <c r="B378" s="618"/>
      <c r="C378" s="5"/>
      <c r="D378" s="618"/>
      <c r="E378" s="618"/>
      <c r="F378" s="618"/>
      <c r="G378" s="618"/>
      <c r="H378" s="618"/>
      <c r="I378" s="618"/>
      <c r="J378" s="618"/>
      <c r="K378" s="618"/>
      <c r="L378" s="618"/>
      <c r="M378" s="618"/>
      <c r="N378" s="618"/>
      <c r="O378" s="618"/>
      <c r="P378" s="618"/>
      <c r="Q378" s="618"/>
      <c r="R378" s="618"/>
      <c r="S378" s="618"/>
      <c r="T378" s="618"/>
      <c r="U378" s="618"/>
      <c r="V378" s="618"/>
      <c r="W378" s="618"/>
      <c r="X378" s="618"/>
      <c r="Y378" s="618"/>
      <c r="Z378" s="618"/>
      <c r="AA378" s="618"/>
      <c r="AB378" s="618"/>
      <c r="AC378" s="618"/>
      <c r="AD378" s="618"/>
      <c r="AE378" s="618"/>
      <c r="AF378" s="618"/>
      <c r="AG378" s="618"/>
      <c r="AH378" s="618"/>
      <c r="AI378" s="618"/>
      <c r="AJ378" s="618"/>
      <c r="AK378" s="618"/>
      <c r="AL378" s="1"/>
    </row>
    <row r="379" spans="1:38" ht="14.25" customHeight="1" x14ac:dyDescent="0.45">
      <c r="A379" s="618"/>
      <c r="B379" s="618"/>
      <c r="C379" s="5"/>
      <c r="D379" s="618"/>
      <c r="E379" s="618"/>
      <c r="F379" s="618"/>
      <c r="G379" s="618"/>
      <c r="H379" s="618"/>
      <c r="I379" s="618"/>
      <c r="J379" s="618"/>
      <c r="K379" s="618"/>
      <c r="L379" s="618"/>
      <c r="M379" s="618"/>
      <c r="N379" s="618"/>
      <c r="O379" s="618"/>
      <c r="P379" s="618"/>
      <c r="Q379" s="618"/>
      <c r="R379" s="618"/>
      <c r="S379" s="618"/>
      <c r="T379" s="618"/>
      <c r="U379" s="618"/>
      <c r="V379" s="618"/>
      <c r="W379" s="618"/>
      <c r="X379" s="618"/>
      <c r="Y379" s="618"/>
      <c r="Z379" s="618"/>
      <c r="AA379" s="618"/>
      <c r="AB379" s="618"/>
      <c r="AC379" s="618"/>
      <c r="AD379" s="618"/>
      <c r="AE379" s="618"/>
      <c r="AF379" s="618"/>
      <c r="AG379" s="618"/>
      <c r="AH379" s="618"/>
      <c r="AI379" s="618"/>
      <c r="AJ379" s="618"/>
      <c r="AK379" s="618"/>
      <c r="AL379" s="1"/>
    </row>
    <row r="380" spans="1:38" ht="14.25" customHeight="1" x14ac:dyDescent="0.45">
      <c r="A380" s="618"/>
      <c r="B380" s="618"/>
      <c r="C380" s="5"/>
      <c r="D380" s="618"/>
      <c r="E380" s="618"/>
      <c r="F380" s="618"/>
      <c r="G380" s="618"/>
      <c r="H380" s="618"/>
      <c r="I380" s="618"/>
      <c r="J380" s="618"/>
      <c r="K380" s="618"/>
      <c r="L380" s="618"/>
      <c r="M380" s="618"/>
      <c r="N380" s="618"/>
      <c r="O380" s="618"/>
      <c r="P380" s="618"/>
      <c r="Q380" s="618"/>
      <c r="R380" s="618"/>
      <c r="S380" s="618"/>
      <c r="T380" s="618"/>
      <c r="U380" s="618"/>
      <c r="V380" s="618"/>
      <c r="W380" s="618"/>
      <c r="X380" s="618"/>
      <c r="Y380" s="618"/>
      <c r="Z380" s="618"/>
      <c r="AA380" s="618"/>
      <c r="AB380" s="618"/>
      <c r="AC380" s="618"/>
      <c r="AD380" s="618"/>
      <c r="AE380" s="618"/>
      <c r="AF380" s="618"/>
      <c r="AG380" s="618"/>
      <c r="AH380" s="618"/>
      <c r="AI380" s="618"/>
      <c r="AJ380" s="618"/>
      <c r="AK380" s="618"/>
      <c r="AL380" s="1"/>
    </row>
    <row r="381" spans="1:38" ht="14.25" customHeight="1" x14ac:dyDescent="0.45">
      <c r="A381" s="618"/>
      <c r="B381" s="618"/>
      <c r="C381" s="5"/>
      <c r="D381" s="618"/>
      <c r="E381" s="618"/>
      <c r="F381" s="618"/>
      <c r="G381" s="618"/>
      <c r="H381" s="618"/>
      <c r="I381" s="618"/>
      <c r="J381" s="618"/>
      <c r="K381" s="618"/>
      <c r="L381" s="618"/>
      <c r="M381" s="618"/>
      <c r="N381" s="618"/>
      <c r="O381" s="618"/>
      <c r="P381" s="618"/>
      <c r="Q381" s="618"/>
      <c r="R381" s="618"/>
      <c r="S381" s="618"/>
      <c r="T381" s="618"/>
      <c r="U381" s="618"/>
      <c r="V381" s="618"/>
      <c r="W381" s="618"/>
      <c r="X381" s="618"/>
      <c r="Y381" s="618"/>
      <c r="Z381" s="618"/>
      <c r="AA381" s="618"/>
      <c r="AB381" s="618"/>
      <c r="AC381" s="618"/>
      <c r="AD381" s="618"/>
      <c r="AE381" s="618"/>
      <c r="AF381" s="618"/>
      <c r="AG381" s="618"/>
      <c r="AH381" s="618"/>
      <c r="AI381" s="618"/>
      <c r="AJ381" s="618"/>
      <c r="AK381" s="618"/>
      <c r="AL381" s="1"/>
    </row>
    <row r="382" spans="1:38" ht="14.25" customHeight="1" x14ac:dyDescent="0.45">
      <c r="A382" s="618"/>
      <c r="B382" s="618"/>
      <c r="C382" s="5"/>
      <c r="D382" s="618"/>
      <c r="E382" s="618"/>
      <c r="F382" s="618"/>
      <c r="G382" s="618"/>
      <c r="H382" s="618"/>
      <c r="I382" s="618"/>
      <c r="J382" s="618"/>
      <c r="K382" s="618"/>
      <c r="L382" s="618"/>
      <c r="M382" s="618"/>
      <c r="N382" s="618"/>
      <c r="O382" s="618"/>
      <c r="P382" s="618"/>
      <c r="Q382" s="618"/>
      <c r="R382" s="618"/>
      <c r="S382" s="618"/>
      <c r="T382" s="618"/>
      <c r="U382" s="618"/>
      <c r="V382" s="618"/>
      <c r="W382" s="618"/>
      <c r="X382" s="618"/>
      <c r="Y382" s="618"/>
      <c r="Z382" s="618"/>
      <c r="AA382" s="618"/>
      <c r="AB382" s="618"/>
      <c r="AC382" s="618"/>
      <c r="AD382" s="618"/>
      <c r="AE382" s="618"/>
      <c r="AF382" s="618"/>
      <c r="AG382" s="618"/>
      <c r="AH382" s="618"/>
      <c r="AI382" s="618"/>
      <c r="AJ382" s="618"/>
      <c r="AK382" s="618"/>
      <c r="AL382" s="1"/>
    </row>
    <row r="383" spans="1:38" ht="14.25" customHeight="1" x14ac:dyDescent="0.45">
      <c r="A383" s="618"/>
      <c r="B383" s="618"/>
      <c r="C383" s="5"/>
      <c r="D383" s="618"/>
      <c r="E383" s="618"/>
      <c r="F383" s="618"/>
      <c r="G383" s="618"/>
      <c r="H383" s="618"/>
      <c r="I383" s="618"/>
      <c r="J383" s="618"/>
      <c r="K383" s="618"/>
      <c r="L383" s="618"/>
      <c r="M383" s="618"/>
      <c r="N383" s="618"/>
      <c r="O383" s="618"/>
      <c r="P383" s="618"/>
      <c r="Q383" s="618"/>
      <c r="R383" s="618"/>
      <c r="S383" s="618"/>
      <c r="T383" s="618"/>
      <c r="U383" s="618"/>
      <c r="V383" s="618"/>
      <c r="W383" s="618"/>
      <c r="X383" s="618"/>
      <c r="Y383" s="618"/>
      <c r="Z383" s="618"/>
      <c r="AA383" s="618"/>
      <c r="AB383" s="618"/>
      <c r="AC383" s="618"/>
      <c r="AD383" s="618"/>
      <c r="AE383" s="618"/>
      <c r="AF383" s="618"/>
      <c r="AG383" s="618"/>
      <c r="AH383" s="618"/>
      <c r="AI383" s="618"/>
      <c r="AJ383" s="618"/>
      <c r="AK383" s="618"/>
      <c r="AL383" s="1"/>
    </row>
    <row r="384" spans="1:38" ht="14.25" customHeight="1" x14ac:dyDescent="0.45">
      <c r="A384" s="618"/>
      <c r="B384" s="618"/>
      <c r="C384" s="5"/>
      <c r="D384" s="618"/>
      <c r="E384" s="618"/>
      <c r="F384" s="618"/>
      <c r="G384" s="618"/>
      <c r="H384" s="618"/>
      <c r="I384" s="618"/>
      <c r="J384" s="618"/>
      <c r="K384" s="618"/>
      <c r="L384" s="618"/>
      <c r="M384" s="618"/>
      <c r="N384" s="618"/>
      <c r="O384" s="618"/>
      <c r="P384" s="618"/>
      <c r="Q384" s="618"/>
      <c r="R384" s="618"/>
      <c r="S384" s="618"/>
      <c r="T384" s="618"/>
      <c r="U384" s="618"/>
      <c r="V384" s="618"/>
      <c r="W384" s="618"/>
      <c r="X384" s="618"/>
      <c r="Y384" s="618"/>
      <c r="Z384" s="618"/>
      <c r="AA384" s="618"/>
      <c r="AB384" s="618"/>
      <c r="AC384" s="618"/>
      <c r="AD384" s="618"/>
      <c r="AE384" s="618"/>
      <c r="AF384" s="618"/>
      <c r="AG384" s="618"/>
      <c r="AH384" s="618"/>
      <c r="AI384" s="618"/>
      <c r="AJ384" s="618"/>
      <c r="AK384" s="618"/>
      <c r="AL384" s="1"/>
    </row>
    <row r="385" spans="1:38" ht="14.25" customHeight="1" x14ac:dyDescent="0.45">
      <c r="A385" s="618"/>
      <c r="B385" s="618"/>
      <c r="C385" s="5"/>
      <c r="D385" s="618"/>
      <c r="E385" s="618"/>
      <c r="F385" s="618"/>
      <c r="G385" s="618"/>
      <c r="H385" s="618"/>
      <c r="I385" s="618"/>
      <c r="J385" s="618"/>
      <c r="K385" s="618"/>
      <c r="L385" s="618"/>
      <c r="M385" s="618"/>
      <c r="N385" s="618"/>
      <c r="O385" s="618"/>
      <c r="P385" s="618"/>
      <c r="Q385" s="618"/>
      <c r="R385" s="618"/>
      <c r="S385" s="618"/>
      <c r="T385" s="618"/>
      <c r="U385" s="618"/>
      <c r="V385" s="618"/>
      <c r="W385" s="618"/>
      <c r="X385" s="618"/>
      <c r="Y385" s="618"/>
      <c r="Z385" s="618"/>
      <c r="AA385" s="618"/>
      <c r="AB385" s="618"/>
      <c r="AC385" s="618"/>
      <c r="AD385" s="618"/>
      <c r="AE385" s="618"/>
      <c r="AF385" s="618"/>
      <c r="AG385" s="618"/>
      <c r="AH385" s="618"/>
      <c r="AI385" s="618"/>
      <c r="AJ385" s="618"/>
      <c r="AK385" s="618"/>
      <c r="AL385" s="1"/>
    </row>
    <row r="386" spans="1:38" ht="14.25" customHeight="1" x14ac:dyDescent="0.45">
      <c r="A386" s="618"/>
      <c r="B386" s="618"/>
      <c r="C386" s="5"/>
      <c r="D386" s="618"/>
      <c r="E386" s="618"/>
      <c r="F386" s="618"/>
      <c r="G386" s="618"/>
      <c r="H386" s="618"/>
      <c r="I386" s="618"/>
      <c r="J386" s="618"/>
      <c r="K386" s="618"/>
      <c r="L386" s="618"/>
      <c r="M386" s="618"/>
      <c r="N386" s="618"/>
      <c r="O386" s="618"/>
      <c r="P386" s="618"/>
      <c r="Q386" s="618"/>
      <c r="R386" s="618"/>
      <c r="S386" s="618"/>
      <c r="T386" s="618"/>
      <c r="U386" s="618"/>
      <c r="V386" s="618"/>
      <c r="W386" s="618"/>
      <c r="X386" s="618"/>
      <c r="Y386" s="618"/>
      <c r="Z386" s="618"/>
      <c r="AA386" s="618"/>
      <c r="AB386" s="618"/>
      <c r="AC386" s="618"/>
      <c r="AD386" s="618"/>
      <c r="AE386" s="618"/>
      <c r="AF386" s="618"/>
      <c r="AG386" s="618"/>
      <c r="AH386" s="618"/>
      <c r="AI386" s="618"/>
      <c r="AJ386" s="618"/>
      <c r="AK386" s="618"/>
      <c r="AL386" s="1"/>
    </row>
    <row r="387" spans="1:38" ht="14.25" customHeight="1" x14ac:dyDescent="0.45">
      <c r="A387" s="618"/>
      <c r="B387" s="618"/>
      <c r="C387" s="5"/>
      <c r="D387" s="618"/>
      <c r="E387" s="618"/>
      <c r="F387" s="618"/>
      <c r="G387" s="618"/>
      <c r="H387" s="618"/>
      <c r="I387" s="618"/>
      <c r="J387" s="618"/>
      <c r="K387" s="618"/>
      <c r="L387" s="618"/>
      <c r="M387" s="618"/>
      <c r="N387" s="618"/>
      <c r="O387" s="618"/>
      <c r="P387" s="618"/>
      <c r="Q387" s="618"/>
      <c r="R387" s="618"/>
      <c r="S387" s="618"/>
      <c r="T387" s="618"/>
      <c r="U387" s="618"/>
      <c r="V387" s="618"/>
      <c r="W387" s="618"/>
      <c r="X387" s="618"/>
      <c r="Y387" s="618"/>
      <c r="Z387" s="618"/>
      <c r="AA387" s="618"/>
      <c r="AB387" s="618"/>
      <c r="AC387" s="618"/>
      <c r="AD387" s="618"/>
      <c r="AE387" s="618"/>
      <c r="AF387" s="618"/>
      <c r="AG387" s="618"/>
      <c r="AH387" s="618"/>
      <c r="AI387" s="618"/>
      <c r="AJ387" s="618"/>
      <c r="AK387" s="618"/>
      <c r="AL387" s="1"/>
    </row>
    <row r="388" spans="1:38" ht="14.25" customHeight="1" x14ac:dyDescent="0.45">
      <c r="A388" s="618"/>
      <c r="B388" s="618"/>
      <c r="C388" s="5"/>
      <c r="D388" s="618"/>
      <c r="E388" s="618"/>
      <c r="F388" s="618"/>
      <c r="G388" s="618"/>
      <c r="H388" s="618"/>
      <c r="I388" s="618"/>
      <c r="J388" s="618"/>
      <c r="K388" s="618"/>
      <c r="L388" s="618"/>
      <c r="M388" s="618"/>
      <c r="N388" s="618"/>
      <c r="O388" s="618"/>
      <c r="P388" s="618"/>
      <c r="Q388" s="618"/>
      <c r="R388" s="618"/>
      <c r="S388" s="618"/>
      <c r="T388" s="618"/>
      <c r="U388" s="618"/>
      <c r="V388" s="618"/>
      <c r="W388" s="618"/>
      <c r="X388" s="618"/>
      <c r="Y388" s="618"/>
      <c r="Z388" s="618"/>
      <c r="AA388" s="618"/>
      <c r="AB388" s="618"/>
      <c r="AC388" s="618"/>
      <c r="AD388" s="618"/>
      <c r="AE388" s="618"/>
      <c r="AF388" s="618"/>
      <c r="AG388" s="618"/>
      <c r="AH388" s="618"/>
      <c r="AI388" s="618"/>
      <c r="AJ388" s="618"/>
      <c r="AK388" s="618"/>
      <c r="AL388" s="1"/>
    </row>
    <row r="389" spans="1:38" ht="14.25" customHeight="1" x14ac:dyDescent="0.45">
      <c r="A389" s="618"/>
      <c r="B389" s="618"/>
      <c r="C389" s="5"/>
      <c r="D389" s="618"/>
      <c r="E389" s="618"/>
      <c r="F389" s="618"/>
      <c r="G389" s="618"/>
      <c r="H389" s="618"/>
      <c r="I389" s="618"/>
      <c r="J389" s="618"/>
      <c r="K389" s="618"/>
      <c r="L389" s="618"/>
      <c r="M389" s="618"/>
      <c r="N389" s="618"/>
      <c r="O389" s="618"/>
      <c r="P389" s="618"/>
      <c r="Q389" s="618"/>
      <c r="R389" s="618"/>
      <c r="S389" s="618"/>
      <c r="T389" s="618"/>
      <c r="U389" s="618"/>
      <c r="V389" s="618"/>
      <c r="W389" s="618"/>
      <c r="X389" s="618"/>
      <c r="Y389" s="618"/>
      <c r="Z389" s="618"/>
      <c r="AA389" s="618"/>
      <c r="AB389" s="618"/>
      <c r="AC389" s="618"/>
      <c r="AD389" s="618"/>
      <c r="AE389" s="618"/>
      <c r="AF389" s="618"/>
      <c r="AG389" s="618"/>
      <c r="AH389" s="618"/>
      <c r="AI389" s="618"/>
      <c r="AJ389" s="618"/>
      <c r="AK389" s="618"/>
      <c r="AL389" s="1"/>
    </row>
    <row r="390" spans="1:38" ht="14.25" customHeight="1" x14ac:dyDescent="0.45">
      <c r="A390" s="618"/>
      <c r="B390" s="618"/>
      <c r="C390" s="5"/>
      <c r="D390" s="618"/>
      <c r="E390" s="618"/>
      <c r="F390" s="618"/>
      <c r="G390" s="618"/>
      <c r="H390" s="618"/>
      <c r="I390" s="618"/>
      <c r="J390" s="618"/>
      <c r="K390" s="618"/>
      <c r="L390" s="618"/>
      <c r="M390" s="618"/>
      <c r="N390" s="618"/>
      <c r="O390" s="618"/>
      <c r="P390" s="618"/>
      <c r="Q390" s="618"/>
      <c r="R390" s="618"/>
      <c r="S390" s="618"/>
      <c r="T390" s="618"/>
      <c r="U390" s="618"/>
      <c r="V390" s="618"/>
      <c r="W390" s="618"/>
      <c r="X390" s="618"/>
      <c r="Y390" s="618"/>
      <c r="Z390" s="618"/>
      <c r="AA390" s="618"/>
      <c r="AB390" s="618"/>
      <c r="AC390" s="618"/>
      <c r="AD390" s="618"/>
      <c r="AE390" s="618"/>
      <c r="AF390" s="618"/>
      <c r="AG390" s="618"/>
      <c r="AH390" s="618"/>
      <c r="AI390" s="618"/>
      <c r="AJ390" s="618"/>
      <c r="AK390" s="618"/>
      <c r="AL390" s="1"/>
    </row>
    <row r="391" spans="1:38" ht="15.75" customHeight="1" x14ac:dyDescent="0.4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5.75" customHeight="1" x14ac:dyDescent="0.4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5.75" customHeight="1" x14ac:dyDescent="0.4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5.75" customHeight="1" x14ac:dyDescent="0.4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5.75" customHeight="1" x14ac:dyDescent="0.4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5.75" customHeight="1" x14ac:dyDescent="0.4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5.75" customHeight="1" x14ac:dyDescent="0.4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5.75" customHeight="1" x14ac:dyDescent="0.4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5.75" customHeight="1" x14ac:dyDescent="0.4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5.75" customHeight="1" x14ac:dyDescent="0.4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5.75" customHeight="1" x14ac:dyDescent="0.4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5.75" customHeight="1" x14ac:dyDescent="0.4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5.75" customHeight="1" x14ac:dyDescent="0.45"/>
    <row r="404" spans="1:38" ht="15.75" customHeight="1" x14ac:dyDescent="0.45"/>
    <row r="405" spans="1:38" ht="15.75" customHeight="1" x14ac:dyDescent="0.45"/>
    <row r="406" spans="1:38" ht="15.75" customHeight="1" x14ac:dyDescent="0.45"/>
    <row r="407" spans="1:38" ht="15.75" customHeight="1" x14ac:dyDescent="0.45"/>
    <row r="408" spans="1:38" ht="15.75" customHeight="1" x14ac:dyDescent="0.45"/>
    <row r="409" spans="1:38" ht="15.75" customHeight="1" x14ac:dyDescent="0.45"/>
    <row r="410" spans="1:38" ht="15.75" customHeight="1" x14ac:dyDescent="0.45"/>
    <row r="411" spans="1:38" ht="15.75" customHeight="1" x14ac:dyDescent="0.45"/>
    <row r="412" spans="1:38" ht="15.75" customHeight="1" x14ac:dyDescent="0.45"/>
    <row r="413" spans="1:38" ht="15.75" customHeight="1" x14ac:dyDescent="0.45"/>
    <row r="414" spans="1:38" ht="15.75" customHeight="1" x14ac:dyDescent="0.45"/>
    <row r="415" spans="1:38" ht="15.75" customHeight="1" x14ac:dyDescent="0.45"/>
    <row r="416" spans="1:38"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sheetData>
  <hyperlinks>
    <hyperlink ref="D186" r:id="rId1" display="https://www.recursosyenergia.gob.ec/wp-content/uploads/2019/11/Informe-Anual-del-Potencial-Hidrocarburi%CC%81fero-del-Ecuador-2018.pdf" xr:uid="{00000000-0004-0000-0F00-000000000000}"/>
    <hyperlink ref="E186" r:id="rId2" location=":~:text=El%20Informe%20Anual%20del%20Potencial%20Hidrocarbur%C3%ADfero%20del%20Ecuador%20tiene%20la,del%20crudo%20de%20todos%20los" display="https://www.recursosyenergia.gob.ec/wp-content/uploads/2020/09/Resumen-Infor.P..Hidro-Pa%C3%ADs-2019.-Revi1C.Ruiz_.1.pdf - :~:text=El%20Informe%20Anual%20del%20Potencial%20Hidrocarbur%C3%ADfero%20del%20Ecuador%20tiene%20la,del%20crudo%20de%20todos%20los" xr:uid="{00000000-0004-0000-0F00-000001000000}"/>
    <hyperlink ref="F186" r:id="rId3" display="https://www.recursosyenergia.gob.ec/wp-content/uploads/2022/02/Revista-Informe-anual-del-potencial-hidrocarburifero-del-Ecuador-20202.pdf" xr:uid="{00000000-0004-0000-0F00-000002000000}"/>
    <hyperlink ref="C187" r:id="rId4" xr:uid="{00000000-0004-0000-0F00-000003000000}"/>
    <hyperlink ref="C188" r:id="rId5" xr:uid="{00000000-0004-0000-0F00-000004000000}"/>
  </hyperlinks>
  <pageMargins left="0.7" right="0.7" top="0.75" bottom="0.75" header="0" footer="0"/>
  <pageSetup orientation="landscape"/>
  <legacyDrawing r:id="rId6"/>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1002"/>
  <sheetViews>
    <sheetView workbookViewId="0">
      <pane ySplit="1" topLeftCell="A2" activePane="bottomLeft" state="frozen"/>
      <selection pane="bottomLeft" activeCell="D137" sqref="D137"/>
    </sheetView>
  </sheetViews>
  <sheetFormatPr defaultColWidth="12.69140625" defaultRowHeight="15" customHeight="1" x14ac:dyDescent="0.45"/>
  <cols>
    <col min="1" max="1" width="4.3828125" customWidth="1"/>
    <col min="2" max="2" width="2.3828125" customWidth="1"/>
    <col min="3" max="3" width="48.765625" customWidth="1"/>
    <col min="4" max="36" width="13.765625" customWidth="1"/>
    <col min="37" max="37" width="3.3828125" customWidth="1"/>
  </cols>
  <sheetData>
    <row r="1" spans="1:37" ht="14.25" customHeight="1" x14ac:dyDescent="0.45">
      <c r="A1" s="618"/>
      <c r="B1" s="54"/>
      <c r="C1" s="619" t="s">
        <v>19</v>
      </c>
      <c r="D1" s="350">
        <v>2018</v>
      </c>
      <c r="E1" s="350">
        <v>2019</v>
      </c>
      <c r="F1" s="350">
        <v>2020</v>
      </c>
      <c r="G1" s="350">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4.25" customHeight="1" x14ac:dyDescent="0.45">
      <c r="A2" s="618"/>
      <c r="B2" s="618"/>
      <c r="C2" s="5"/>
      <c r="D2" s="618"/>
      <c r="E2" s="618"/>
      <c r="F2" s="618"/>
      <c r="G2" s="618"/>
      <c r="H2" s="618"/>
      <c r="I2" s="618"/>
      <c r="J2" s="618"/>
      <c r="K2" s="618"/>
      <c r="L2" s="618"/>
      <c r="M2" s="618"/>
      <c r="N2" s="618"/>
      <c r="O2" s="618"/>
      <c r="P2" s="618"/>
      <c r="Q2" s="618"/>
      <c r="R2" s="618"/>
      <c r="S2" s="618"/>
      <c r="T2" s="618"/>
      <c r="U2" s="618"/>
      <c r="V2" s="618"/>
      <c r="W2" s="618"/>
      <c r="X2" s="618"/>
      <c r="Y2" s="618"/>
      <c r="Z2" s="618"/>
      <c r="AA2" s="618"/>
      <c r="AB2" s="618"/>
      <c r="AC2" s="618"/>
      <c r="AD2" s="618"/>
      <c r="AE2" s="618"/>
      <c r="AF2" s="618"/>
      <c r="AG2" s="618"/>
      <c r="AH2" s="618"/>
      <c r="AI2" s="618"/>
      <c r="AJ2" s="618"/>
      <c r="AK2" s="618"/>
    </row>
    <row r="3" spans="1:37" ht="14.25" customHeight="1" x14ac:dyDescent="0.45">
      <c r="A3" s="618"/>
      <c r="B3" s="26"/>
      <c r="C3" s="212" t="s">
        <v>894</v>
      </c>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351"/>
    </row>
    <row r="4" spans="1:37" ht="14.25" customHeight="1" x14ac:dyDescent="0.45">
      <c r="A4" s="618"/>
      <c r="B4" s="215"/>
      <c r="C4" s="217" t="s">
        <v>164</v>
      </c>
      <c r="D4" s="285"/>
      <c r="E4" s="285"/>
      <c r="F4" s="285"/>
      <c r="G4" s="285"/>
      <c r="H4" s="285"/>
      <c r="I4" s="285"/>
      <c r="J4" s="285"/>
      <c r="K4" s="285"/>
      <c r="L4" s="285"/>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352"/>
    </row>
    <row r="5" spans="1:37" ht="14.25" customHeight="1" x14ac:dyDescent="0.45">
      <c r="A5" s="618"/>
      <c r="B5" s="215"/>
      <c r="C5" s="243"/>
      <c r="D5" s="285"/>
      <c r="E5" s="285"/>
      <c r="F5" s="285"/>
      <c r="G5" s="285"/>
      <c r="H5" s="285"/>
      <c r="I5" s="285"/>
      <c r="J5" s="285"/>
      <c r="K5" s="285"/>
      <c r="L5" s="285"/>
      <c r="M5" s="285"/>
      <c r="N5" s="285"/>
      <c r="O5" s="285"/>
      <c r="P5" s="285"/>
      <c r="Q5" s="285"/>
      <c r="R5" s="285"/>
      <c r="S5" s="285"/>
      <c r="T5" s="285"/>
      <c r="U5" s="285"/>
      <c r="V5" s="285"/>
      <c r="W5" s="285"/>
      <c r="X5" s="285"/>
      <c r="Y5" s="285"/>
      <c r="Z5" s="285"/>
      <c r="AA5" s="285"/>
      <c r="AB5" s="285"/>
      <c r="AC5" s="285"/>
      <c r="AD5" s="285"/>
      <c r="AE5" s="285"/>
      <c r="AF5" s="285"/>
      <c r="AG5" s="285"/>
      <c r="AH5" s="285"/>
      <c r="AI5" s="285"/>
      <c r="AJ5" s="285"/>
      <c r="AK5" s="352"/>
    </row>
    <row r="6" spans="1:37" ht="14.25" customHeight="1" x14ac:dyDescent="0.45">
      <c r="A6" s="618"/>
      <c r="B6" s="215"/>
      <c r="C6" s="243" t="s">
        <v>444</v>
      </c>
      <c r="D6" s="285"/>
      <c r="E6" s="285"/>
      <c r="F6" s="285"/>
      <c r="G6" s="285"/>
      <c r="H6" s="285"/>
      <c r="I6" s="285"/>
      <c r="J6" s="285"/>
      <c r="K6" s="285"/>
      <c r="L6" s="285"/>
      <c r="M6" s="285"/>
      <c r="N6" s="285"/>
      <c r="O6" s="285"/>
      <c r="P6" s="285"/>
      <c r="Q6" s="285"/>
      <c r="R6" s="285"/>
      <c r="S6" s="285"/>
      <c r="T6" s="285"/>
      <c r="U6" s="285"/>
      <c r="V6" s="285"/>
      <c r="W6" s="285"/>
      <c r="X6" s="285"/>
      <c r="Y6" s="285"/>
      <c r="Z6" s="285"/>
      <c r="AA6" s="285"/>
      <c r="AB6" s="285"/>
      <c r="AC6" s="285"/>
      <c r="AD6" s="285"/>
      <c r="AE6" s="285"/>
      <c r="AF6" s="285"/>
      <c r="AG6" s="285"/>
      <c r="AH6" s="285"/>
      <c r="AI6" s="285"/>
      <c r="AJ6" s="285"/>
      <c r="AK6" s="352"/>
    </row>
    <row r="7" spans="1:37" ht="14.25" customHeight="1" x14ac:dyDescent="0.45">
      <c r="A7" s="618"/>
      <c r="B7" s="215"/>
      <c r="C7" s="224" t="s">
        <v>895</v>
      </c>
      <c r="D7" s="295">
        <f>SUM(D9)</f>
        <v>144.30000000000001</v>
      </c>
      <c r="E7" s="295">
        <f>SUM(E9)</f>
        <v>144.30000000000001</v>
      </c>
      <c r="F7" s="295">
        <f>SUM(F9)</f>
        <v>144.30000000000001</v>
      </c>
      <c r="G7" s="295">
        <f>SUM(G9)</f>
        <v>144.30000000000001</v>
      </c>
      <c r="H7" s="285"/>
      <c r="I7" s="285"/>
      <c r="J7" s="285"/>
      <c r="K7" s="285"/>
      <c r="L7" s="285"/>
      <c r="M7" s="285"/>
      <c r="N7" s="285"/>
      <c r="O7" s="285"/>
      <c r="P7" s="285"/>
      <c r="Q7" s="285"/>
      <c r="R7" s="285"/>
      <c r="S7" s="285"/>
      <c r="T7" s="285"/>
      <c r="U7" s="285"/>
      <c r="V7" s="285"/>
      <c r="W7" s="285"/>
      <c r="X7" s="285"/>
      <c r="Y7" s="285"/>
      <c r="Z7" s="285"/>
      <c r="AA7" s="285"/>
      <c r="AB7" s="285"/>
      <c r="AC7" s="285"/>
      <c r="AD7" s="285"/>
      <c r="AE7" s="285"/>
      <c r="AF7" s="285"/>
      <c r="AG7" s="285"/>
      <c r="AH7" s="285"/>
      <c r="AI7" s="285"/>
      <c r="AJ7" s="285"/>
      <c r="AK7" s="352"/>
    </row>
    <row r="8" spans="1:37" ht="14.25" customHeight="1" x14ac:dyDescent="0.45">
      <c r="A8" s="618"/>
      <c r="B8" s="215"/>
      <c r="C8" s="228" t="s">
        <v>167</v>
      </c>
      <c r="D8" s="229"/>
      <c r="E8" s="229"/>
      <c r="F8" s="229"/>
      <c r="G8" s="229"/>
      <c r="H8" s="285"/>
      <c r="I8" s="285"/>
      <c r="J8" s="285"/>
      <c r="K8" s="285"/>
      <c r="L8" s="285"/>
      <c r="M8" s="285"/>
      <c r="N8" s="285"/>
      <c r="O8" s="285"/>
      <c r="P8" s="285"/>
      <c r="Q8" s="285"/>
      <c r="R8" s="285"/>
      <c r="S8" s="285"/>
      <c r="T8" s="285"/>
      <c r="U8" s="285"/>
      <c r="V8" s="285"/>
      <c r="W8" s="285"/>
      <c r="X8" s="285"/>
      <c r="Y8" s="285"/>
      <c r="Z8" s="285"/>
      <c r="AA8" s="285"/>
      <c r="AB8" s="285"/>
      <c r="AC8" s="285"/>
      <c r="AD8" s="285"/>
      <c r="AE8" s="285"/>
      <c r="AF8" s="285"/>
      <c r="AG8" s="285"/>
      <c r="AH8" s="285"/>
      <c r="AI8" s="285"/>
      <c r="AJ8" s="285"/>
      <c r="AK8" s="352"/>
    </row>
    <row r="9" spans="1:37" ht="14.25" customHeight="1" x14ac:dyDescent="0.45">
      <c r="A9" s="618"/>
      <c r="B9" s="215"/>
      <c r="C9" s="221" t="s">
        <v>169</v>
      </c>
      <c r="D9" s="232">
        <v>144.30000000000001</v>
      </c>
      <c r="E9" s="232">
        <v>144.30000000000001</v>
      </c>
      <c r="F9" s="232">
        <v>144.30000000000001</v>
      </c>
      <c r="G9" s="232">
        <v>144.30000000000001</v>
      </c>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352"/>
    </row>
    <row r="10" spans="1:37" ht="14.25" customHeight="1" x14ac:dyDescent="0.45">
      <c r="A10" s="618"/>
      <c r="B10" s="215"/>
      <c r="C10" s="224" t="s">
        <v>896</v>
      </c>
      <c r="D10" s="295">
        <v>16.5</v>
      </c>
      <c r="E10" s="295">
        <v>16.5</v>
      </c>
      <c r="F10" s="295">
        <v>16.5</v>
      </c>
      <c r="G10" s="295">
        <v>16.5</v>
      </c>
      <c r="H10" s="285"/>
      <c r="I10" s="285"/>
      <c r="J10" s="285"/>
      <c r="K10" s="285"/>
      <c r="L10" s="285"/>
      <c r="M10" s="285"/>
      <c r="N10" s="285"/>
      <c r="O10" s="285"/>
      <c r="P10" s="285"/>
      <c r="Q10" s="285"/>
      <c r="R10" s="285"/>
      <c r="S10" s="285"/>
      <c r="T10" s="285"/>
      <c r="U10" s="285"/>
      <c r="V10" s="285"/>
      <c r="W10" s="285"/>
      <c r="X10" s="285"/>
      <c r="Y10" s="285"/>
      <c r="Z10" s="285"/>
      <c r="AA10" s="285"/>
      <c r="AB10" s="285"/>
      <c r="AC10" s="285"/>
      <c r="AD10" s="285"/>
      <c r="AE10" s="285"/>
      <c r="AF10" s="285"/>
      <c r="AG10" s="285"/>
      <c r="AH10" s="285"/>
      <c r="AI10" s="285"/>
      <c r="AJ10" s="285"/>
      <c r="AK10" s="352"/>
    </row>
    <row r="11" spans="1:37" ht="14.25" customHeight="1" x14ac:dyDescent="0.45">
      <c r="A11" s="618"/>
      <c r="B11" s="215"/>
      <c r="C11" s="224" t="s">
        <v>897</v>
      </c>
      <c r="D11" s="295">
        <f>SUM(D13:D14,D16:D17)</f>
        <v>5060.3439900000003</v>
      </c>
      <c r="E11" s="295">
        <f>SUM(E13:E14,E16:E17)</f>
        <v>5070.3439900000003</v>
      </c>
      <c r="F11" s="295">
        <f>SUM(F13:F14,F16:F17)</f>
        <v>5092.6859899999999</v>
      </c>
      <c r="G11" s="295">
        <f>SUM(G13:G14,G16:G17)</f>
        <v>5100.7859899999994</v>
      </c>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352"/>
    </row>
    <row r="12" spans="1:37" ht="14.25" customHeight="1" x14ac:dyDescent="0.45">
      <c r="A12" s="618"/>
      <c r="B12" s="215"/>
      <c r="C12" s="228" t="s">
        <v>173</v>
      </c>
      <c r="D12" s="229">
        <f>SUM(D13:D14)</f>
        <v>1733.2</v>
      </c>
      <c r="E12" s="229">
        <f>SUM(E13:E14)</f>
        <v>1733.2</v>
      </c>
      <c r="F12" s="229">
        <f>SUM(F13:F14)</f>
        <v>1733.2</v>
      </c>
      <c r="G12" s="229">
        <f>SUM(G13:G14)</f>
        <v>1733.2</v>
      </c>
      <c r="H12" s="285"/>
      <c r="I12" s="285"/>
      <c r="J12" s="285"/>
      <c r="K12" s="285"/>
      <c r="L12" s="285"/>
      <c r="M12" s="285"/>
      <c r="N12" s="285"/>
      <c r="O12" s="285"/>
      <c r="P12" s="285"/>
      <c r="Q12" s="285"/>
      <c r="R12" s="285"/>
      <c r="S12" s="285"/>
      <c r="T12" s="285"/>
      <c r="U12" s="285"/>
      <c r="V12" s="285"/>
      <c r="W12" s="285"/>
      <c r="X12" s="285"/>
      <c r="Y12" s="285"/>
      <c r="Z12" s="285"/>
      <c r="AA12" s="285"/>
      <c r="AB12" s="285"/>
      <c r="AC12" s="285"/>
      <c r="AD12" s="285"/>
      <c r="AE12" s="285"/>
      <c r="AF12" s="285"/>
      <c r="AG12" s="285"/>
      <c r="AH12" s="285"/>
      <c r="AI12" s="285"/>
      <c r="AJ12" s="285"/>
      <c r="AK12" s="352"/>
    </row>
    <row r="13" spans="1:37" ht="14.25" customHeight="1" x14ac:dyDescent="0.45">
      <c r="A13" s="618"/>
      <c r="B13" s="215"/>
      <c r="C13" s="221" t="s">
        <v>174</v>
      </c>
      <c r="D13" s="232">
        <v>1478</v>
      </c>
      <c r="E13" s="232">
        <v>1478</v>
      </c>
      <c r="F13" s="232">
        <v>1478</v>
      </c>
      <c r="G13" s="232">
        <v>1478</v>
      </c>
      <c r="H13" s="285"/>
      <c r="I13" s="285"/>
      <c r="J13" s="285"/>
      <c r="K13" s="285"/>
      <c r="L13" s="285"/>
      <c r="M13" s="285"/>
      <c r="N13" s="285"/>
      <c r="O13" s="285"/>
      <c r="P13" s="285"/>
      <c r="Q13" s="285"/>
      <c r="R13" s="285"/>
      <c r="S13" s="285"/>
      <c r="T13" s="285"/>
      <c r="U13" s="285"/>
      <c r="V13" s="285"/>
      <c r="W13" s="285"/>
      <c r="X13" s="285"/>
      <c r="Y13" s="285"/>
      <c r="Z13" s="285"/>
      <c r="AA13" s="285"/>
      <c r="AB13" s="285"/>
      <c r="AC13" s="285"/>
      <c r="AD13" s="285"/>
      <c r="AE13" s="285"/>
      <c r="AF13" s="285"/>
      <c r="AG13" s="285"/>
      <c r="AH13" s="285"/>
      <c r="AI13" s="285"/>
      <c r="AJ13" s="285"/>
      <c r="AK13" s="352"/>
    </row>
    <row r="14" spans="1:37" ht="14.25" customHeight="1" x14ac:dyDescent="0.45">
      <c r="A14" s="618"/>
      <c r="B14" s="215"/>
      <c r="C14" s="221" t="s">
        <v>175</v>
      </c>
      <c r="D14" s="232">
        <v>255.2</v>
      </c>
      <c r="E14" s="232">
        <v>255.2</v>
      </c>
      <c r="F14" s="232">
        <v>255.2</v>
      </c>
      <c r="G14" s="232">
        <v>255.2</v>
      </c>
      <c r="H14" s="285"/>
      <c r="I14" s="285"/>
      <c r="J14" s="285"/>
      <c r="K14" s="285"/>
      <c r="L14" s="285"/>
      <c r="M14" s="285"/>
      <c r="N14" s="285"/>
      <c r="O14" s="285"/>
      <c r="P14" s="285"/>
      <c r="Q14" s="285"/>
      <c r="R14" s="285"/>
      <c r="S14" s="285"/>
      <c r="T14" s="285"/>
      <c r="U14" s="285"/>
      <c r="V14" s="285"/>
      <c r="W14" s="285"/>
      <c r="X14" s="285"/>
      <c r="Y14" s="285"/>
      <c r="Z14" s="285"/>
      <c r="AA14" s="285"/>
      <c r="AB14" s="285"/>
      <c r="AC14" s="285"/>
      <c r="AD14" s="285"/>
      <c r="AE14" s="285"/>
      <c r="AF14" s="285"/>
      <c r="AG14" s="285"/>
      <c r="AH14" s="285"/>
      <c r="AI14" s="285"/>
      <c r="AJ14" s="285"/>
      <c r="AK14" s="352"/>
    </row>
    <row r="15" spans="1:37" ht="14.25" customHeight="1" x14ac:dyDescent="0.45">
      <c r="A15" s="618"/>
      <c r="B15" s="215"/>
      <c r="C15" s="228" t="s">
        <v>176</v>
      </c>
      <c r="D15" s="229">
        <f>SUM(D16:D17)</f>
        <v>3327.14399</v>
      </c>
      <c r="E15" s="229">
        <f>SUM(E16:E17)</f>
        <v>3337.14399</v>
      </c>
      <c r="F15" s="229">
        <f>SUM(F16:F17)</f>
        <v>3359.4859900000001</v>
      </c>
      <c r="G15" s="229">
        <f>SUM(G16:G17)</f>
        <v>3367.58599</v>
      </c>
      <c r="H15" s="285"/>
      <c r="I15" s="285"/>
      <c r="J15" s="285"/>
      <c r="K15" s="285"/>
      <c r="L15" s="285"/>
      <c r="M15" s="285"/>
      <c r="N15" s="285"/>
      <c r="O15" s="285"/>
      <c r="P15" s="285"/>
      <c r="Q15" s="285"/>
      <c r="R15" s="285"/>
      <c r="S15" s="285"/>
      <c r="T15" s="285"/>
      <c r="U15" s="285"/>
      <c r="V15" s="285"/>
      <c r="W15" s="285"/>
      <c r="X15" s="285"/>
      <c r="Y15" s="285"/>
      <c r="Z15" s="285"/>
      <c r="AA15" s="285"/>
      <c r="AB15" s="285"/>
      <c r="AC15" s="285"/>
      <c r="AD15" s="285"/>
      <c r="AE15" s="285"/>
      <c r="AF15" s="285"/>
      <c r="AG15" s="285"/>
      <c r="AH15" s="285"/>
      <c r="AI15" s="285"/>
      <c r="AJ15" s="285"/>
      <c r="AK15" s="352"/>
    </row>
    <row r="16" spans="1:37" ht="14.25" customHeight="1" x14ac:dyDescent="0.45">
      <c r="A16" s="618"/>
      <c r="B16" s="215"/>
      <c r="C16" s="221" t="s">
        <v>174</v>
      </c>
      <c r="D16" s="232">
        <v>2939.3899900000001</v>
      </c>
      <c r="E16" s="232">
        <v>2949.3899900000001</v>
      </c>
      <c r="F16" s="232">
        <v>2961.58599</v>
      </c>
      <c r="G16" s="232">
        <v>2969.6859899999999</v>
      </c>
      <c r="H16" s="285"/>
      <c r="I16" s="285"/>
      <c r="J16" s="285"/>
      <c r="K16" s="285"/>
      <c r="L16" s="285"/>
      <c r="M16" s="285"/>
      <c r="N16" s="285"/>
      <c r="O16" s="285"/>
      <c r="P16" s="285"/>
      <c r="Q16" s="285"/>
      <c r="R16" s="285"/>
      <c r="S16" s="285"/>
      <c r="T16" s="285"/>
      <c r="U16" s="285"/>
      <c r="V16" s="285"/>
      <c r="W16" s="285"/>
      <c r="X16" s="285"/>
      <c r="Y16" s="285"/>
      <c r="Z16" s="285"/>
      <c r="AA16" s="285"/>
      <c r="AB16" s="285"/>
      <c r="AC16" s="285"/>
      <c r="AD16" s="285"/>
      <c r="AE16" s="285"/>
      <c r="AF16" s="285"/>
      <c r="AG16" s="285"/>
      <c r="AH16" s="285"/>
      <c r="AI16" s="285"/>
      <c r="AJ16" s="285"/>
      <c r="AK16" s="352"/>
    </row>
    <row r="17" spans="1:37" ht="14.25" customHeight="1" x14ac:dyDescent="0.45">
      <c r="A17" s="618"/>
      <c r="B17" s="215"/>
      <c r="C17" s="221" t="s">
        <v>175</v>
      </c>
      <c r="D17" s="28">
        <v>387.75399999999996</v>
      </c>
      <c r="E17" s="232">
        <v>387.75399999999996</v>
      </c>
      <c r="F17" s="232">
        <v>397.9</v>
      </c>
      <c r="G17" s="232">
        <v>397.9</v>
      </c>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352"/>
    </row>
    <row r="18" spans="1:37" ht="14.25" customHeight="1" x14ac:dyDescent="0.45">
      <c r="A18" s="618"/>
      <c r="B18" s="215"/>
      <c r="C18" s="224" t="s">
        <v>898</v>
      </c>
      <c r="D18" s="295">
        <v>24.460819999999991</v>
      </c>
      <c r="E18" s="295">
        <v>24.460819999999991</v>
      </c>
      <c r="F18" s="295">
        <v>24.460819999999991</v>
      </c>
      <c r="G18" s="295">
        <v>24.460819999999991</v>
      </c>
      <c r="H18" s="285"/>
      <c r="I18" s="285"/>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5"/>
      <c r="AJ18" s="285"/>
      <c r="AK18" s="352"/>
    </row>
    <row r="19" spans="1:37" ht="14.25" customHeight="1" x14ac:dyDescent="0.45">
      <c r="A19" s="618"/>
      <c r="B19" s="215"/>
      <c r="C19" s="224" t="s">
        <v>899</v>
      </c>
      <c r="D19" s="295">
        <f>SUM(D20,D25,D28)</f>
        <v>2102.6505999999999</v>
      </c>
      <c r="E19" s="295">
        <f>SUM(E20,E25,E28)</f>
        <v>2055.0506</v>
      </c>
      <c r="F19" s="295">
        <f>SUM(F20,F25,F28)</f>
        <v>2055.0506</v>
      </c>
      <c r="G19" s="295">
        <f>SUM(G20,G25,G28)</f>
        <v>2063.4705999999996</v>
      </c>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352"/>
    </row>
    <row r="20" spans="1:37" ht="14.25" customHeight="1" x14ac:dyDescent="0.45">
      <c r="A20" s="618"/>
      <c r="B20" s="215"/>
      <c r="C20" s="228" t="s">
        <v>180</v>
      </c>
      <c r="D20" s="229">
        <f>SUM(D21:D24)</f>
        <v>836.05560000000003</v>
      </c>
      <c r="E20" s="229">
        <f>SUM(E21:E24)</f>
        <v>788.4556</v>
      </c>
      <c r="F20" s="229">
        <f>SUM(F21:F24)</f>
        <v>788.4556</v>
      </c>
      <c r="G20" s="229">
        <f>SUM(G21:G24)</f>
        <v>797.67559999999992</v>
      </c>
      <c r="H20" s="285"/>
      <c r="I20" s="285"/>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352"/>
    </row>
    <row r="21" spans="1:37" ht="14.25" customHeight="1" x14ac:dyDescent="0.45">
      <c r="A21" s="618"/>
      <c r="B21" s="215"/>
      <c r="C21" s="221" t="s">
        <v>190</v>
      </c>
      <c r="D21" s="232">
        <v>309.98559999999998</v>
      </c>
      <c r="E21" s="232">
        <v>262.38560000000001</v>
      </c>
      <c r="F21" s="232">
        <v>262.38560000000001</v>
      </c>
      <c r="G21" s="232">
        <v>262.38560000000001</v>
      </c>
      <c r="H21" s="285"/>
      <c r="I21" s="285"/>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352"/>
    </row>
    <row r="22" spans="1:37" ht="14.25" customHeight="1" x14ac:dyDescent="0.45">
      <c r="A22" s="618"/>
      <c r="B22" s="215"/>
      <c r="C22" s="221" t="s">
        <v>195</v>
      </c>
      <c r="D22" s="232">
        <v>437.21999999999997</v>
      </c>
      <c r="E22" s="232">
        <v>437.21999999999997</v>
      </c>
      <c r="F22" s="232">
        <v>437.21999999999997</v>
      </c>
      <c r="G22" s="232">
        <v>446.43999999999994</v>
      </c>
      <c r="H22" s="285"/>
      <c r="I22" s="285"/>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352"/>
    </row>
    <row r="23" spans="1:37" ht="14.25" customHeight="1" x14ac:dyDescent="0.45">
      <c r="A23" s="618"/>
      <c r="B23" s="215"/>
      <c r="C23" s="221" t="s">
        <v>344</v>
      </c>
      <c r="D23" s="232">
        <v>2.25</v>
      </c>
      <c r="E23" s="232">
        <v>2.25</v>
      </c>
      <c r="F23" s="232">
        <v>2.25</v>
      </c>
      <c r="G23" s="232">
        <v>2.25</v>
      </c>
      <c r="H23" s="285"/>
      <c r="I23" s="285"/>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352"/>
    </row>
    <row r="24" spans="1:37" ht="14.25" customHeight="1" x14ac:dyDescent="0.45">
      <c r="A24" s="618"/>
      <c r="B24" s="215"/>
      <c r="C24" s="221" t="s">
        <v>345</v>
      </c>
      <c r="D24" s="232">
        <v>86.6</v>
      </c>
      <c r="E24" s="232">
        <v>86.6</v>
      </c>
      <c r="F24" s="232">
        <v>86.6</v>
      </c>
      <c r="G24" s="232">
        <v>86.6</v>
      </c>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352"/>
    </row>
    <row r="25" spans="1:37" ht="14.25" customHeight="1" x14ac:dyDescent="0.45">
      <c r="A25" s="618"/>
      <c r="B25" s="215"/>
      <c r="C25" s="228" t="s">
        <v>188</v>
      </c>
      <c r="D25" s="229">
        <f>SUM(D26:D27)</f>
        <v>820.59499999999991</v>
      </c>
      <c r="E25" s="229">
        <f>SUM(E26:E27)</f>
        <v>820.59499999999991</v>
      </c>
      <c r="F25" s="229">
        <f>SUM(F26:F27)</f>
        <v>820.59499999999991</v>
      </c>
      <c r="G25" s="229">
        <f>SUM(G26:G27)</f>
        <v>819.79499999999996</v>
      </c>
      <c r="H25" s="285"/>
      <c r="I25" s="285"/>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352"/>
    </row>
    <row r="26" spans="1:37" ht="14.25" customHeight="1" x14ac:dyDescent="0.45">
      <c r="A26" s="618"/>
      <c r="B26" s="215"/>
      <c r="C26" s="221" t="s">
        <v>190</v>
      </c>
      <c r="D26" s="28">
        <v>545.2349999999999</v>
      </c>
      <c r="E26" s="232">
        <v>545.2349999999999</v>
      </c>
      <c r="F26" s="232">
        <v>545.2349999999999</v>
      </c>
      <c r="G26" s="232">
        <v>544.43499999999995</v>
      </c>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352"/>
    </row>
    <row r="27" spans="1:37" ht="14.25" customHeight="1" x14ac:dyDescent="0.45">
      <c r="A27" s="618"/>
      <c r="B27" s="215"/>
      <c r="C27" s="221" t="s">
        <v>411</v>
      </c>
      <c r="D27" s="28">
        <v>275.36</v>
      </c>
      <c r="E27" s="232">
        <v>275.36</v>
      </c>
      <c r="F27" s="232">
        <v>275.36</v>
      </c>
      <c r="G27" s="232">
        <v>275.36</v>
      </c>
      <c r="H27" s="285"/>
      <c r="I27" s="285"/>
      <c r="J27" s="285"/>
      <c r="K27" s="285"/>
      <c r="L27" s="285"/>
      <c r="M27" s="285"/>
      <c r="N27" s="285"/>
      <c r="O27" s="285"/>
      <c r="P27" s="285"/>
      <c r="Q27" s="285"/>
      <c r="R27" s="285"/>
      <c r="S27" s="285"/>
      <c r="T27" s="285"/>
      <c r="U27" s="285"/>
      <c r="V27" s="285"/>
      <c r="W27" s="285"/>
      <c r="X27" s="285"/>
      <c r="Y27" s="285"/>
      <c r="Z27" s="285"/>
      <c r="AA27" s="285"/>
      <c r="AB27" s="285"/>
      <c r="AC27" s="285"/>
      <c r="AD27" s="285"/>
      <c r="AE27" s="285"/>
      <c r="AF27" s="285"/>
      <c r="AG27" s="285"/>
      <c r="AH27" s="285"/>
      <c r="AI27" s="285"/>
      <c r="AJ27" s="285"/>
      <c r="AK27" s="352"/>
    </row>
    <row r="28" spans="1:37" ht="14.25" customHeight="1" x14ac:dyDescent="0.45">
      <c r="A28" s="618"/>
      <c r="B28" s="215"/>
      <c r="C28" s="228" t="s">
        <v>193</v>
      </c>
      <c r="D28" s="229">
        <f>SUM(D29)</f>
        <v>446</v>
      </c>
      <c r="E28" s="229">
        <f>SUM(E29)</f>
        <v>446</v>
      </c>
      <c r="F28" s="229">
        <f>SUM(F29)</f>
        <v>446</v>
      </c>
      <c r="G28" s="229">
        <f>SUM(G29)</f>
        <v>446</v>
      </c>
      <c r="H28" s="285"/>
      <c r="I28" s="285"/>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352"/>
    </row>
    <row r="29" spans="1:37" ht="14.25" customHeight="1" x14ac:dyDescent="0.45">
      <c r="A29" s="618"/>
      <c r="B29" s="215"/>
      <c r="C29" s="221" t="s">
        <v>195</v>
      </c>
      <c r="D29" s="28">
        <v>446</v>
      </c>
      <c r="E29" s="232">
        <v>446</v>
      </c>
      <c r="F29" s="232">
        <v>446</v>
      </c>
      <c r="G29" s="232">
        <v>446</v>
      </c>
      <c r="H29" s="285"/>
      <c r="I29" s="285"/>
      <c r="J29" s="285"/>
      <c r="K29" s="285"/>
      <c r="L29" s="285"/>
      <c r="M29" s="285"/>
      <c r="N29" s="285"/>
      <c r="O29" s="285"/>
      <c r="P29" s="285"/>
      <c r="Q29" s="285"/>
      <c r="R29" s="285"/>
      <c r="S29" s="285"/>
      <c r="T29" s="285"/>
      <c r="U29" s="285"/>
      <c r="V29" s="285"/>
      <c r="W29" s="285"/>
      <c r="X29" s="285"/>
      <c r="Y29" s="285"/>
      <c r="Z29" s="285"/>
      <c r="AA29" s="285"/>
      <c r="AB29" s="285"/>
      <c r="AC29" s="285"/>
      <c r="AD29" s="285"/>
      <c r="AE29" s="285"/>
      <c r="AF29" s="285"/>
      <c r="AG29" s="285"/>
      <c r="AH29" s="285"/>
      <c r="AI29" s="285"/>
      <c r="AJ29" s="285"/>
      <c r="AK29" s="352"/>
    </row>
    <row r="30" spans="1:37" ht="14.25" customHeight="1" x14ac:dyDescent="0.45">
      <c r="A30" s="618"/>
      <c r="B30" s="215"/>
      <c r="C30" s="224" t="s">
        <v>900</v>
      </c>
      <c r="D30" s="295">
        <f>SUM(D32)</f>
        <v>7.26</v>
      </c>
      <c r="E30" s="295">
        <f>SUM(E32)</f>
        <v>7.26</v>
      </c>
      <c r="F30" s="295">
        <f>SUM(F32)</f>
        <v>7.26</v>
      </c>
      <c r="G30" s="295">
        <f>SUM(G32)</f>
        <v>8.32</v>
      </c>
      <c r="H30" s="285"/>
      <c r="I30" s="285"/>
      <c r="J30" s="285"/>
      <c r="K30" s="285"/>
      <c r="L30" s="285"/>
      <c r="M30" s="285"/>
      <c r="N30" s="285"/>
      <c r="O30" s="285"/>
      <c r="P30" s="285"/>
      <c r="Q30" s="285"/>
      <c r="R30" s="285"/>
      <c r="S30" s="285"/>
      <c r="T30" s="285"/>
      <c r="U30" s="285"/>
      <c r="V30" s="285"/>
      <c r="W30" s="285"/>
      <c r="X30" s="285"/>
      <c r="Y30" s="285"/>
      <c r="Z30" s="285"/>
      <c r="AA30" s="285"/>
      <c r="AB30" s="285"/>
      <c r="AC30" s="285"/>
      <c r="AD30" s="285"/>
      <c r="AE30" s="285"/>
      <c r="AF30" s="285"/>
      <c r="AG30" s="285"/>
      <c r="AH30" s="285"/>
      <c r="AI30" s="285"/>
      <c r="AJ30" s="285"/>
      <c r="AK30" s="352"/>
    </row>
    <row r="31" spans="1:37" ht="14.25" customHeight="1" x14ac:dyDescent="0.45">
      <c r="A31" s="618"/>
      <c r="B31" s="215"/>
      <c r="C31" s="228" t="s">
        <v>197</v>
      </c>
      <c r="D31" s="229"/>
      <c r="E31" s="229"/>
      <c r="F31" s="229"/>
      <c r="G31" s="229"/>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352"/>
    </row>
    <row r="32" spans="1:37" ht="14.25" customHeight="1" x14ac:dyDescent="0.45">
      <c r="A32" s="618"/>
      <c r="B32" s="215"/>
      <c r="C32" s="221" t="s">
        <v>196</v>
      </c>
      <c r="D32" s="232">
        <v>7.26</v>
      </c>
      <c r="E32" s="232">
        <v>7.26</v>
      </c>
      <c r="F32" s="232">
        <v>7.26</v>
      </c>
      <c r="G32" s="232">
        <v>8.32</v>
      </c>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352"/>
    </row>
    <row r="33" spans="1:37" ht="14.25" customHeight="1" x14ac:dyDescent="0.45">
      <c r="A33" s="618"/>
      <c r="B33" s="215"/>
      <c r="C33" s="234" t="s">
        <v>901</v>
      </c>
      <c r="D33" s="218"/>
      <c r="E33" s="218"/>
      <c r="F33" s="218"/>
      <c r="G33" s="218"/>
      <c r="H33" s="32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row>
    <row r="34" spans="1:37" ht="14.25" customHeight="1" x14ac:dyDescent="0.45">
      <c r="A34" s="618"/>
      <c r="B34" s="215"/>
      <c r="C34" s="304" t="s">
        <v>201</v>
      </c>
      <c r="D34" s="232">
        <v>42.2</v>
      </c>
      <c r="E34" s="232">
        <v>42.2</v>
      </c>
      <c r="F34" s="232">
        <v>42.2</v>
      </c>
      <c r="G34" s="232">
        <v>42.2</v>
      </c>
      <c r="H34" s="32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row>
    <row r="35" spans="1:37" ht="14.25" customHeight="1" x14ac:dyDescent="0.45">
      <c r="A35" s="618"/>
      <c r="B35" s="215"/>
      <c r="C35" s="304" t="s">
        <v>203</v>
      </c>
      <c r="D35" s="232">
        <v>213</v>
      </c>
      <c r="E35" s="232">
        <v>213</v>
      </c>
      <c r="F35" s="232">
        <v>213</v>
      </c>
      <c r="G35" s="232">
        <v>213</v>
      </c>
      <c r="H35" s="32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row>
    <row r="36" spans="1:37" ht="14.25" customHeight="1" x14ac:dyDescent="0.45">
      <c r="A36" s="618"/>
      <c r="B36" s="215"/>
      <c r="C36" s="304" t="s">
        <v>205</v>
      </c>
      <c r="D36" s="232" t="s">
        <v>221</v>
      </c>
      <c r="E36" s="232" t="s">
        <v>221</v>
      </c>
      <c r="F36" s="232" t="s">
        <v>221</v>
      </c>
      <c r="G36" s="232" t="s">
        <v>221</v>
      </c>
      <c r="H36" s="325"/>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row>
    <row r="37" spans="1:37" ht="14.25" customHeight="1" x14ac:dyDescent="0.45">
      <c r="A37" s="618"/>
      <c r="B37" s="215"/>
      <c r="C37" s="304" t="s">
        <v>207</v>
      </c>
      <c r="D37" s="232" t="s">
        <v>221</v>
      </c>
      <c r="E37" s="232" t="s">
        <v>221</v>
      </c>
      <c r="F37" s="232" t="s">
        <v>221</v>
      </c>
      <c r="G37" s="232" t="s">
        <v>221</v>
      </c>
      <c r="H37" s="32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row>
    <row r="38" spans="1:37" ht="14.25" customHeight="1" x14ac:dyDescent="0.45">
      <c r="A38" s="618"/>
      <c r="B38" s="215"/>
      <c r="C38" s="304" t="s">
        <v>209</v>
      </c>
      <c r="D38" s="232">
        <v>403</v>
      </c>
      <c r="E38" s="232">
        <v>403</v>
      </c>
      <c r="F38" s="232">
        <v>403</v>
      </c>
      <c r="G38" s="232">
        <v>403</v>
      </c>
      <c r="H38" s="325"/>
      <c r="I38" s="285"/>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row>
    <row r="39" spans="1:37" ht="14.25" customHeight="1" x14ac:dyDescent="0.45">
      <c r="A39" s="618"/>
      <c r="B39" s="215"/>
      <c r="C39" s="304" t="s">
        <v>211</v>
      </c>
      <c r="D39" s="232">
        <v>1075</v>
      </c>
      <c r="E39" s="232">
        <v>1075</v>
      </c>
      <c r="F39" s="232">
        <v>1075</v>
      </c>
      <c r="G39" s="232">
        <v>1075</v>
      </c>
      <c r="H39" s="32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row>
    <row r="40" spans="1:37" ht="14.25" customHeight="1" x14ac:dyDescent="0.45">
      <c r="A40" s="618"/>
      <c r="B40" s="215"/>
      <c r="C40" s="234" t="s">
        <v>902</v>
      </c>
      <c r="D40" s="218"/>
      <c r="E40" s="218"/>
      <c r="F40" s="218"/>
      <c r="G40" s="218"/>
      <c r="H40" s="32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row>
    <row r="41" spans="1:37" ht="14.25" customHeight="1" x14ac:dyDescent="0.45">
      <c r="A41" s="618"/>
      <c r="B41" s="215"/>
      <c r="C41" s="304" t="s">
        <v>201</v>
      </c>
      <c r="D41" s="232">
        <v>54.393999999999998</v>
      </c>
      <c r="E41" s="232">
        <v>54.393999999999991</v>
      </c>
      <c r="F41" s="232">
        <v>64.539999999999992</v>
      </c>
      <c r="G41" s="232">
        <v>64.539999999999992</v>
      </c>
      <c r="H41" s="32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row>
    <row r="42" spans="1:37" ht="14.25" customHeight="1" x14ac:dyDescent="0.45">
      <c r="A42" s="618"/>
      <c r="B42" s="215"/>
      <c r="C42" s="304" t="s">
        <v>203</v>
      </c>
      <c r="D42" s="232">
        <v>333.36</v>
      </c>
      <c r="E42" s="232">
        <v>333.36</v>
      </c>
      <c r="F42" s="232">
        <v>333.36</v>
      </c>
      <c r="G42" s="232">
        <v>333.36</v>
      </c>
      <c r="H42" s="32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row>
    <row r="43" spans="1:37" ht="14.25" customHeight="1" x14ac:dyDescent="0.45">
      <c r="A43" s="618"/>
      <c r="B43" s="215"/>
      <c r="C43" s="304" t="s">
        <v>205</v>
      </c>
      <c r="D43" s="232" t="s">
        <v>221</v>
      </c>
      <c r="E43" s="232" t="s">
        <v>221</v>
      </c>
      <c r="F43" s="232" t="s">
        <v>221</v>
      </c>
      <c r="G43" s="232" t="s">
        <v>221</v>
      </c>
      <c r="H43" s="32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row>
    <row r="44" spans="1:37" ht="14.25" customHeight="1" x14ac:dyDescent="0.45">
      <c r="A44" s="618"/>
      <c r="B44" s="215"/>
      <c r="C44" s="304" t="s">
        <v>207</v>
      </c>
      <c r="D44" s="232">
        <v>542.39</v>
      </c>
      <c r="E44" s="232">
        <v>552.3900000000001</v>
      </c>
      <c r="F44" s="232">
        <v>500.28200000000004</v>
      </c>
      <c r="G44" s="232">
        <v>508.38200000000001</v>
      </c>
      <c r="H44" s="32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row>
    <row r="45" spans="1:37" ht="14.25" customHeight="1" x14ac:dyDescent="0.45">
      <c r="A45" s="618"/>
      <c r="B45" s="215"/>
      <c r="C45" s="304" t="s">
        <v>209</v>
      </c>
      <c r="D45" s="232">
        <v>410</v>
      </c>
      <c r="E45" s="232">
        <v>410</v>
      </c>
      <c r="F45" s="232">
        <v>474.30399999999997</v>
      </c>
      <c r="G45" s="232">
        <v>474.30399999999997</v>
      </c>
      <c r="H45" s="32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row>
    <row r="46" spans="1:37" ht="14.25" customHeight="1" x14ac:dyDescent="0.45">
      <c r="A46" s="618"/>
      <c r="B46" s="215"/>
      <c r="C46" s="304" t="s">
        <v>211</v>
      </c>
      <c r="D46" s="232">
        <v>1986.99999</v>
      </c>
      <c r="E46" s="232">
        <v>1986.99999</v>
      </c>
      <c r="F46" s="232">
        <v>1986.99999</v>
      </c>
      <c r="G46" s="232">
        <v>1986.99999</v>
      </c>
      <c r="H46" s="32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row>
    <row r="47" spans="1:37" ht="14.25" customHeight="1" x14ac:dyDescent="0.45">
      <c r="A47" s="618"/>
      <c r="B47" s="215"/>
      <c r="C47" s="221" t="s">
        <v>59</v>
      </c>
      <c r="D47" s="28">
        <f>D7+D10+D11+D18+D19+D30</f>
        <v>7355.5154100000009</v>
      </c>
      <c r="E47" s="28">
        <f>E7+E10+E11+E18+E19+E30</f>
        <v>7317.9154100000014</v>
      </c>
      <c r="F47" s="28">
        <f>F7+F10+F11+F18+F19+F30</f>
        <v>7340.2574100000002</v>
      </c>
      <c r="G47" s="28">
        <f>G7+G10+G11+G18+G19+G30</f>
        <v>7357.8374099999992</v>
      </c>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352"/>
    </row>
    <row r="48" spans="1:37" ht="14.25" customHeight="1" x14ac:dyDescent="0.45">
      <c r="A48" s="618"/>
      <c r="B48" s="215"/>
      <c r="C48" s="221"/>
      <c r="D48" s="232"/>
      <c r="E48" s="232"/>
      <c r="F48" s="232"/>
      <c r="G48" s="232"/>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352"/>
    </row>
    <row r="49" spans="1:37" ht="14.25" customHeight="1" x14ac:dyDescent="0.45">
      <c r="A49" s="618"/>
      <c r="B49" s="215"/>
      <c r="C49" s="243" t="s">
        <v>219</v>
      </c>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352"/>
    </row>
    <row r="50" spans="1:37" ht="14.25" customHeight="1" x14ac:dyDescent="0.45">
      <c r="A50" s="618"/>
      <c r="B50" s="215"/>
      <c r="C50" s="224" t="s">
        <v>895</v>
      </c>
      <c r="D50" s="295"/>
      <c r="E50" s="295"/>
      <c r="F50" s="295"/>
      <c r="G50" s="29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352"/>
    </row>
    <row r="51" spans="1:37" ht="14.25" customHeight="1" x14ac:dyDescent="0.45">
      <c r="A51" s="618"/>
      <c r="B51" s="215"/>
      <c r="C51" s="224" t="s">
        <v>896</v>
      </c>
      <c r="D51" s="295">
        <f>D52</f>
        <v>4.6500000000000004</v>
      </c>
      <c r="E51" s="295">
        <f>E52</f>
        <v>4.6500000000000004</v>
      </c>
      <c r="F51" s="295">
        <f>F52</f>
        <v>4.6500000000000004</v>
      </c>
      <c r="G51" s="295">
        <f>G52</f>
        <v>4.6500000000000004</v>
      </c>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352"/>
    </row>
    <row r="52" spans="1:37" ht="14.25" customHeight="1" x14ac:dyDescent="0.45">
      <c r="A52" s="618"/>
      <c r="B52" s="215"/>
      <c r="C52" s="247" t="s">
        <v>223</v>
      </c>
      <c r="D52" s="306">
        <v>4.6500000000000004</v>
      </c>
      <c r="E52" s="306">
        <v>4.6500000000000004</v>
      </c>
      <c r="F52" s="306">
        <v>4.6500000000000004</v>
      </c>
      <c r="G52" s="306">
        <v>4.6500000000000004</v>
      </c>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352"/>
    </row>
    <row r="53" spans="1:37" ht="14.25" customHeight="1" x14ac:dyDescent="0.45">
      <c r="A53" s="618"/>
      <c r="B53" s="215"/>
      <c r="C53" s="224" t="s">
        <v>897</v>
      </c>
      <c r="D53" s="295">
        <f>SUM(D54)</f>
        <v>6.0600000000000005</v>
      </c>
      <c r="E53" s="295">
        <f>SUM(E54)</f>
        <v>6.0600000000000005</v>
      </c>
      <c r="F53" s="295">
        <f>SUM(F54)</f>
        <v>6.0600000000000005</v>
      </c>
      <c r="G53" s="295">
        <f>SUM(G54)</f>
        <v>6.0600000000000005</v>
      </c>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352"/>
    </row>
    <row r="54" spans="1:37" ht="14.25" customHeight="1" x14ac:dyDescent="0.45">
      <c r="A54" s="618"/>
      <c r="B54" s="215"/>
      <c r="C54" s="228" t="s">
        <v>224</v>
      </c>
      <c r="D54" s="229">
        <f>SUM(D56:D57,D59:D60)</f>
        <v>6.0600000000000005</v>
      </c>
      <c r="E54" s="229">
        <f>SUM(E56:E57,E59:E60)</f>
        <v>6.0600000000000005</v>
      </c>
      <c r="F54" s="229">
        <f>SUM(F56:F57,F59:F60)</f>
        <v>6.0600000000000005</v>
      </c>
      <c r="G54" s="229">
        <f>SUM(G56:G57,G59:G60)</f>
        <v>6.0600000000000005</v>
      </c>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352"/>
    </row>
    <row r="55" spans="1:37" ht="14.25" customHeight="1" x14ac:dyDescent="0.45">
      <c r="A55" s="618"/>
      <c r="B55" s="215"/>
      <c r="C55" s="247" t="s">
        <v>225</v>
      </c>
      <c r="D55" s="306"/>
      <c r="E55" s="306"/>
      <c r="F55" s="306"/>
      <c r="G55" s="306"/>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285"/>
      <c r="AH55" s="285"/>
      <c r="AI55" s="285"/>
      <c r="AJ55" s="285"/>
      <c r="AK55" s="352"/>
    </row>
    <row r="56" spans="1:37" ht="14.25" customHeight="1" x14ac:dyDescent="0.45">
      <c r="A56" s="618"/>
      <c r="B56" s="215"/>
      <c r="C56" s="221" t="s">
        <v>227</v>
      </c>
      <c r="D56" s="232">
        <v>1.1600000000000001</v>
      </c>
      <c r="E56" s="232">
        <v>1.1600000000000001</v>
      </c>
      <c r="F56" s="232">
        <v>1.1600000000000001</v>
      </c>
      <c r="G56" s="232">
        <v>1.1600000000000001</v>
      </c>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352"/>
    </row>
    <row r="57" spans="1:37" ht="14.25" customHeight="1" x14ac:dyDescent="0.45">
      <c r="A57" s="618"/>
      <c r="B57" s="215"/>
      <c r="C57" s="221" t="s">
        <v>229</v>
      </c>
      <c r="D57" s="232">
        <v>2.9</v>
      </c>
      <c r="E57" s="232">
        <v>2.9</v>
      </c>
      <c r="F57" s="232">
        <v>2.9</v>
      </c>
      <c r="G57" s="232">
        <v>2.9</v>
      </c>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352"/>
    </row>
    <row r="58" spans="1:37" ht="14.25" customHeight="1" x14ac:dyDescent="0.45">
      <c r="A58" s="618"/>
      <c r="B58" s="215"/>
      <c r="C58" s="247" t="s">
        <v>230</v>
      </c>
      <c r="D58" s="306"/>
      <c r="E58" s="306"/>
      <c r="F58" s="306"/>
      <c r="G58" s="306"/>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352"/>
    </row>
    <row r="59" spans="1:37" ht="14.25" customHeight="1" x14ac:dyDescent="0.45">
      <c r="A59" s="618"/>
      <c r="B59" s="215"/>
      <c r="C59" s="221" t="s">
        <v>227</v>
      </c>
      <c r="D59" s="232">
        <v>2</v>
      </c>
      <c r="E59" s="232">
        <v>2</v>
      </c>
      <c r="F59" s="232">
        <v>2</v>
      </c>
      <c r="G59" s="232">
        <v>2</v>
      </c>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5"/>
      <c r="AJ59" s="285"/>
      <c r="AK59" s="352"/>
    </row>
    <row r="60" spans="1:37" ht="14.25" customHeight="1" x14ac:dyDescent="0.45">
      <c r="A60" s="618"/>
      <c r="B60" s="215"/>
      <c r="C60" s="221" t="s">
        <v>229</v>
      </c>
      <c r="D60" s="232">
        <v>0</v>
      </c>
      <c r="E60" s="232">
        <v>0</v>
      </c>
      <c r="F60" s="232">
        <v>0</v>
      </c>
      <c r="G60" s="232">
        <v>0</v>
      </c>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352"/>
    </row>
    <row r="61" spans="1:37" ht="14.25" customHeight="1" x14ac:dyDescent="0.45">
      <c r="A61" s="618"/>
      <c r="B61" s="215"/>
      <c r="C61" s="224" t="s">
        <v>898</v>
      </c>
      <c r="D61" s="295">
        <f>SUM(D62:D63)</f>
        <v>3.1690199999999997</v>
      </c>
      <c r="E61" s="295">
        <f>SUM(E62:E63)</f>
        <v>3.1690199999999997</v>
      </c>
      <c r="F61" s="295">
        <f>SUM(F62:F63)</f>
        <v>3.1690199999999997</v>
      </c>
      <c r="G61" s="295">
        <f>SUM(G62:G63)</f>
        <v>3.1923599999999999</v>
      </c>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352"/>
    </row>
    <row r="62" spans="1:37" ht="14.25" customHeight="1" x14ac:dyDescent="0.45">
      <c r="A62" s="618"/>
      <c r="B62" s="215"/>
      <c r="C62" s="247" t="s">
        <v>223</v>
      </c>
      <c r="D62" s="306">
        <v>2.5964199999999997</v>
      </c>
      <c r="E62" s="306">
        <v>2.5964199999999997</v>
      </c>
      <c r="F62" s="306">
        <v>2.5964199999999997</v>
      </c>
      <c r="G62" s="306">
        <v>2.6197599999999999</v>
      </c>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352"/>
    </row>
    <row r="63" spans="1:37" ht="14.25" customHeight="1" x14ac:dyDescent="0.45">
      <c r="A63" s="618"/>
      <c r="B63" s="215"/>
      <c r="C63" s="247" t="s">
        <v>225</v>
      </c>
      <c r="D63" s="306">
        <v>0.5726</v>
      </c>
      <c r="E63" s="306">
        <v>0.5726</v>
      </c>
      <c r="F63" s="306">
        <v>0.5726</v>
      </c>
      <c r="G63" s="306">
        <v>0.5726</v>
      </c>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352"/>
    </row>
    <row r="64" spans="1:37" ht="14.25" customHeight="1" x14ac:dyDescent="0.45">
      <c r="A64" s="618"/>
      <c r="B64" s="215"/>
      <c r="C64" s="224" t="s">
        <v>899</v>
      </c>
      <c r="D64" s="295">
        <f>SUM(D65,D75,D80)</f>
        <v>1292.5077799999999</v>
      </c>
      <c r="E64" s="295">
        <f>SUM(E65,E75,E80)</f>
        <v>1353.2197799999999</v>
      </c>
      <c r="F64" s="295">
        <f>SUM(F65,F75,F80)</f>
        <v>1358.1607800000002</v>
      </c>
      <c r="G64" s="295">
        <f>SUM(G65,G75,G80)</f>
        <v>1362.6707800000001</v>
      </c>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352"/>
    </row>
    <row r="65" spans="1:37" ht="14.25" customHeight="1" x14ac:dyDescent="0.45">
      <c r="A65" s="618"/>
      <c r="B65" s="215"/>
      <c r="C65" s="228" t="s">
        <v>180</v>
      </c>
      <c r="D65" s="229">
        <f>SUM(D67:D74)</f>
        <v>1175.38878</v>
      </c>
      <c r="E65" s="229">
        <f>SUM(E67:E74)</f>
        <v>1236.34078</v>
      </c>
      <c r="F65" s="229">
        <f>SUM(F67:F74)</f>
        <v>1241.2817800000003</v>
      </c>
      <c r="G65" s="229">
        <f>SUM(G67:G74)</f>
        <v>1222.9917800000001</v>
      </c>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352"/>
    </row>
    <row r="66" spans="1:37" ht="14.25" customHeight="1" x14ac:dyDescent="0.45">
      <c r="A66" s="618"/>
      <c r="B66" s="215"/>
      <c r="C66" s="247" t="s">
        <v>225</v>
      </c>
      <c r="D66" s="306"/>
      <c r="E66" s="306"/>
      <c r="F66" s="306"/>
      <c r="G66" s="306"/>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352"/>
    </row>
    <row r="67" spans="1:37" ht="14.25" customHeight="1" x14ac:dyDescent="0.45">
      <c r="A67" s="618"/>
      <c r="B67" s="215"/>
      <c r="C67" s="221" t="s">
        <v>236</v>
      </c>
      <c r="D67" s="232">
        <v>32.799999999999997</v>
      </c>
      <c r="E67" s="232">
        <v>32.25</v>
      </c>
      <c r="F67" s="232">
        <v>33.65</v>
      </c>
      <c r="G67" s="232">
        <v>13.25</v>
      </c>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352"/>
    </row>
    <row r="68" spans="1:37" ht="14.25" customHeight="1" x14ac:dyDescent="0.45">
      <c r="A68" s="618"/>
      <c r="B68" s="215"/>
      <c r="C68" s="247" t="s">
        <v>223</v>
      </c>
      <c r="D68" s="306"/>
      <c r="E68" s="306"/>
      <c r="F68" s="306"/>
      <c r="G68" s="306"/>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352"/>
    </row>
    <row r="69" spans="1:37" ht="14.25" customHeight="1" x14ac:dyDescent="0.45">
      <c r="A69" s="618"/>
      <c r="B69" s="215"/>
      <c r="C69" s="221" t="s">
        <v>236</v>
      </c>
      <c r="D69" s="232">
        <v>27.581999999999997</v>
      </c>
      <c r="E69" s="232">
        <v>24.146999999999998</v>
      </c>
      <c r="F69" s="232">
        <v>24.285</v>
      </c>
      <c r="G69" s="232">
        <v>24.285</v>
      </c>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352"/>
    </row>
    <row r="70" spans="1:37" ht="14.25" customHeight="1" x14ac:dyDescent="0.45">
      <c r="A70" s="618"/>
      <c r="B70" s="215"/>
      <c r="C70" s="247" t="s">
        <v>238</v>
      </c>
      <c r="D70" s="306"/>
      <c r="E70" s="306"/>
      <c r="F70" s="306"/>
      <c r="G70" s="306"/>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352"/>
    </row>
    <row r="71" spans="1:37" ht="14.25" customHeight="1" x14ac:dyDescent="0.45">
      <c r="A71" s="618"/>
      <c r="B71" s="215"/>
      <c r="C71" s="221" t="s">
        <v>240</v>
      </c>
      <c r="D71" s="232">
        <v>378.58699999999993</v>
      </c>
      <c r="E71" s="232">
        <v>378.58699999999993</v>
      </c>
      <c r="F71" s="232">
        <v>378.53699999999992</v>
      </c>
      <c r="G71" s="232">
        <v>432.29199999999997</v>
      </c>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352"/>
    </row>
    <row r="72" spans="1:37" ht="14.25" customHeight="1" x14ac:dyDescent="0.45">
      <c r="A72" s="618"/>
      <c r="B72" s="215"/>
      <c r="C72" s="221" t="s">
        <v>236</v>
      </c>
      <c r="D72" s="232">
        <v>530.94777999999997</v>
      </c>
      <c r="E72" s="232">
        <v>590.61478</v>
      </c>
      <c r="F72" s="232">
        <v>592.51978000000008</v>
      </c>
      <c r="G72" s="232">
        <v>541.50778000000003</v>
      </c>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352"/>
    </row>
    <row r="73" spans="1:37" ht="14.25" customHeight="1" x14ac:dyDescent="0.45">
      <c r="A73" s="618"/>
      <c r="B73" s="215"/>
      <c r="C73" s="221" t="s">
        <v>243</v>
      </c>
      <c r="D73" s="232">
        <v>14.4</v>
      </c>
      <c r="E73" s="232">
        <v>14.4</v>
      </c>
      <c r="F73" s="232">
        <v>14.4</v>
      </c>
      <c r="G73" s="232">
        <v>14.4</v>
      </c>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352"/>
    </row>
    <row r="74" spans="1:37" ht="14.25" customHeight="1" x14ac:dyDescent="0.45">
      <c r="A74" s="618"/>
      <c r="B74" s="215"/>
      <c r="C74" s="221" t="s">
        <v>245</v>
      </c>
      <c r="D74" s="232">
        <v>191.07200000000003</v>
      </c>
      <c r="E74" s="232">
        <v>196.34200000000007</v>
      </c>
      <c r="F74" s="232">
        <v>197.89000000000001</v>
      </c>
      <c r="G74" s="232">
        <v>197.25700000000001</v>
      </c>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352"/>
    </row>
    <row r="75" spans="1:37" ht="14.25" customHeight="1" x14ac:dyDescent="0.45">
      <c r="A75" s="618"/>
      <c r="B75" s="215"/>
      <c r="C75" s="228" t="s">
        <v>188</v>
      </c>
      <c r="D75" s="229">
        <f>SUM(D77:D79)</f>
        <v>101.254</v>
      </c>
      <c r="E75" s="229">
        <f>SUM(E77:E79)</f>
        <v>101.254</v>
      </c>
      <c r="F75" s="229">
        <f>SUM(F77:F79)</f>
        <v>101.254</v>
      </c>
      <c r="G75" s="229">
        <f>SUM(G77:G79)</f>
        <v>124.05400000000002</v>
      </c>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352"/>
    </row>
    <row r="76" spans="1:37" ht="14.25" customHeight="1" x14ac:dyDescent="0.45">
      <c r="A76" s="618"/>
      <c r="B76" s="215"/>
      <c r="C76" s="247" t="s">
        <v>238</v>
      </c>
      <c r="D76" s="306"/>
      <c r="E76" s="306"/>
      <c r="F76" s="306"/>
      <c r="G76" s="306"/>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352"/>
    </row>
    <row r="77" spans="1:37" ht="14.25" customHeight="1" x14ac:dyDescent="0.45">
      <c r="A77" s="618"/>
      <c r="B77" s="215"/>
      <c r="C77" s="221" t="s">
        <v>236</v>
      </c>
      <c r="D77" s="28">
        <v>50.4</v>
      </c>
      <c r="E77" s="232">
        <v>50.4</v>
      </c>
      <c r="F77" s="232">
        <v>50.4</v>
      </c>
      <c r="G77" s="232">
        <v>50.4</v>
      </c>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352"/>
    </row>
    <row r="78" spans="1:37" ht="14.25" customHeight="1" x14ac:dyDescent="0.45">
      <c r="A78" s="618"/>
      <c r="B78" s="215"/>
      <c r="C78" s="221" t="s">
        <v>245</v>
      </c>
      <c r="D78" s="232">
        <v>45.85</v>
      </c>
      <c r="E78" s="232">
        <v>45.85</v>
      </c>
      <c r="F78" s="232">
        <v>45.85</v>
      </c>
      <c r="G78" s="232">
        <v>68.650000000000006</v>
      </c>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352"/>
    </row>
    <row r="79" spans="1:37" ht="14.25" customHeight="1" x14ac:dyDescent="0.45">
      <c r="A79" s="618"/>
      <c r="B79" s="215"/>
      <c r="C79" s="221" t="s">
        <v>240</v>
      </c>
      <c r="D79" s="232">
        <v>5.0039999999999996</v>
      </c>
      <c r="E79" s="232">
        <v>5.0039999999999996</v>
      </c>
      <c r="F79" s="232">
        <v>5.0039999999999996</v>
      </c>
      <c r="G79" s="232">
        <v>5.0039999999999996</v>
      </c>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352"/>
    </row>
    <row r="80" spans="1:37" ht="14.25" customHeight="1" x14ac:dyDescent="0.45">
      <c r="A80" s="618"/>
      <c r="B80" s="215"/>
      <c r="C80" s="228" t="s">
        <v>193</v>
      </c>
      <c r="D80" s="229">
        <f>SUM(D82:D86)</f>
        <v>15.865</v>
      </c>
      <c r="E80" s="229">
        <f>SUM(E82:E86)</f>
        <v>15.625</v>
      </c>
      <c r="F80" s="229">
        <f>SUM(F82:F86)</f>
        <v>15.625</v>
      </c>
      <c r="G80" s="229">
        <f>SUM(G82:G86)</f>
        <v>15.625</v>
      </c>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352"/>
    </row>
    <row r="81" spans="1:37" ht="14.25" customHeight="1" x14ac:dyDescent="0.45">
      <c r="A81" s="618"/>
      <c r="B81" s="215"/>
      <c r="C81" s="247" t="s">
        <v>225</v>
      </c>
      <c r="D81" s="306"/>
      <c r="E81" s="306"/>
      <c r="F81" s="306"/>
      <c r="G81" s="306"/>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c r="AJ81" s="285"/>
      <c r="AK81" s="352"/>
    </row>
    <row r="82" spans="1:37" ht="14.25" customHeight="1" x14ac:dyDescent="0.45">
      <c r="A82" s="618"/>
      <c r="B82" s="215"/>
      <c r="C82" s="221" t="s">
        <v>236</v>
      </c>
      <c r="D82" s="28">
        <v>0.24</v>
      </c>
      <c r="E82" s="232">
        <v>0</v>
      </c>
      <c r="F82" s="232">
        <v>0</v>
      </c>
      <c r="G82" s="232">
        <v>0</v>
      </c>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352"/>
    </row>
    <row r="83" spans="1:37" ht="14.25" customHeight="1" x14ac:dyDescent="0.45">
      <c r="A83" s="618"/>
      <c r="B83" s="215"/>
      <c r="C83" s="247" t="s">
        <v>230</v>
      </c>
      <c r="D83" s="306"/>
      <c r="E83" s="306"/>
      <c r="F83" s="306"/>
      <c r="G83" s="306"/>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352"/>
    </row>
    <row r="84" spans="1:37" ht="14.25" customHeight="1" x14ac:dyDescent="0.45">
      <c r="A84" s="618"/>
      <c r="B84" s="215"/>
      <c r="C84" s="221" t="s">
        <v>236</v>
      </c>
      <c r="D84" s="232">
        <v>3.625</v>
      </c>
      <c r="E84" s="232">
        <v>3.625</v>
      </c>
      <c r="F84" s="232">
        <v>3.625</v>
      </c>
      <c r="G84" s="232">
        <v>3.625</v>
      </c>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c r="AJ84" s="285"/>
      <c r="AK84" s="352"/>
    </row>
    <row r="85" spans="1:37" ht="14.25" customHeight="1" x14ac:dyDescent="0.45">
      <c r="A85" s="618"/>
      <c r="B85" s="215"/>
      <c r="C85" s="247" t="s">
        <v>238</v>
      </c>
      <c r="D85" s="306"/>
      <c r="E85" s="306"/>
      <c r="F85" s="306"/>
      <c r="G85" s="306"/>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c r="AJ85" s="285"/>
      <c r="AK85" s="352"/>
    </row>
    <row r="86" spans="1:37" ht="14.25" customHeight="1" x14ac:dyDescent="0.45">
      <c r="A86" s="618"/>
      <c r="B86" s="215"/>
      <c r="C86" s="221" t="s">
        <v>245</v>
      </c>
      <c r="D86" s="232">
        <v>12</v>
      </c>
      <c r="E86" s="232">
        <v>12</v>
      </c>
      <c r="F86" s="232">
        <v>12</v>
      </c>
      <c r="G86" s="232">
        <v>12</v>
      </c>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c r="AJ86" s="285"/>
      <c r="AK86" s="352"/>
    </row>
    <row r="87" spans="1:37" ht="14.25" customHeight="1" x14ac:dyDescent="0.45">
      <c r="A87" s="618"/>
      <c r="B87" s="215"/>
      <c r="C87" s="224" t="s">
        <v>900</v>
      </c>
      <c r="D87" s="295"/>
      <c r="E87" s="295"/>
      <c r="F87" s="295"/>
      <c r="G87" s="29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c r="AJ87" s="285"/>
      <c r="AK87" s="352"/>
    </row>
    <row r="88" spans="1:37" ht="14.25" customHeight="1" x14ac:dyDescent="0.45">
      <c r="A88" s="618"/>
      <c r="B88" s="215"/>
      <c r="C88" s="221" t="s">
        <v>59</v>
      </c>
      <c r="D88" s="232">
        <f>D51+D50+D53+D61+D64+D87</f>
        <v>1306.3868</v>
      </c>
      <c r="E88" s="232">
        <f>E51+E50+E53+E61+E64+E87</f>
        <v>1367.0988</v>
      </c>
      <c r="F88" s="232">
        <f>F51+F50+F53+F61+F64+F87</f>
        <v>1372.0398000000002</v>
      </c>
      <c r="G88" s="232">
        <f>G51+G50+G53+G61+G64+G87</f>
        <v>1376.5731400000002</v>
      </c>
      <c r="H88" s="232"/>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352"/>
    </row>
    <row r="89" spans="1:37" ht="14.25" customHeight="1" x14ac:dyDescent="0.45">
      <c r="A89" s="618"/>
      <c r="B89" s="215"/>
      <c r="C89" s="243"/>
      <c r="D89" s="232"/>
      <c r="E89" s="232"/>
      <c r="F89" s="232"/>
      <c r="G89" s="232"/>
      <c r="H89" s="232"/>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352"/>
    </row>
    <row r="90" spans="1:37" ht="14.25" customHeight="1" x14ac:dyDescent="0.45">
      <c r="A90" s="618"/>
      <c r="B90" s="215"/>
      <c r="C90" s="243" t="s">
        <v>254</v>
      </c>
      <c r="D90" s="285"/>
      <c r="E90" s="285"/>
      <c r="F90" s="285"/>
      <c r="G90" s="232"/>
      <c r="H90" s="232"/>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352"/>
    </row>
    <row r="91" spans="1:37" ht="14.25" customHeight="1" x14ac:dyDescent="0.45">
      <c r="A91" s="618"/>
      <c r="B91" s="215"/>
      <c r="C91" s="224" t="s">
        <v>895</v>
      </c>
      <c r="D91" s="295">
        <f>SUM(D7,D50)</f>
        <v>144.30000000000001</v>
      </c>
      <c r="E91" s="295">
        <f>SUM(E7,E50)</f>
        <v>144.30000000000001</v>
      </c>
      <c r="F91" s="295">
        <f>SUM(F7,F50)</f>
        <v>144.30000000000001</v>
      </c>
      <c r="G91" s="295">
        <f>SUM(G7,G50)</f>
        <v>144.30000000000001</v>
      </c>
      <c r="H91" s="232"/>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352"/>
    </row>
    <row r="92" spans="1:37" ht="14.25" customHeight="1" x14ac:dyDescent="0.45">
      <c r="A92" s="618"/>
      <c r="B92" s="215"/>
      <c r="C92" s="224" t="s">
        <v>896</v>
      </c>
      <c r="D92" s="295">
        <f>SUM(D10,D51)</f>
        <v>21.15</v>
      </c>
      <c r="E92" s="295">
        <f>SUM(E10,E51)</f>
        <v>21.15</v>
      </c>
      <c r="F92" s="295">
        <f>SUM(F10,F51)</f>
        <v>21.15</v>
      </c>
      <c r="G92" s="295">
        <f>SUM(G10,G51)</f>
        <v>21.15</v>
      </c>
      <c r="H92" s="232"/>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352"/>
    </row>
    <row r="93" spans="1:37" ht="14.25" customHeight="1" x14ac:dyDescent="0.45">
      <c r="A93" s="618"/>
      <c r="B93" s="215"/>
      <c r="C93" s="224" t="s">
        <v>897</v>
      </c>
      <c r="D93" s="295">
        <f>SUM(D94:D95)</f>
        <v>5066.4039899999998</v>
      </c>
      <c r="E93" s="295">
        <f>SUM(E94:E95)</f>
        <v>5076.4039899999998</v>
      </c>
      <c r="F93" s="295">
        <f>SUM(F94:F95)</f>
        <v>5098.7459900000003</v>
      </c>
      <c r="G93" s="295">
        <f>SUM(G94:G95)</f>
        <v>5106.8459899999998</v>
      </c>
      <c r="H93" s="232"/>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352"/>
    </row>
    <row r="94" spans="1:37" ht="14.25" customHeight="1" x14ac:dyDescent="0.45">
      <c r="A94" s="618"/>
      <c r="B94" s="215"/>
      <c r="C94" s="228" t="s">
        <v>173</v>
      </c>
      <c r="D94" s="229">
        <f>SUM(D12)</f>
        <v>1733.2</v>
      </c>
      <c r="E94" s="229">
        <f>SUM(E12)</f>
        <v>1733.2</v>
      </c>
      <c r="F94" s="229">
        <f>SUM(F12)</f>
        <v>1733.2</v>
      </c>
      <c r="G94" s="229">
        <f>SUM(G12)</f>
        <v>1733.2</v>
      </c>
      <c r="H94" s="232"/>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c r="AJ94" s="285"/>
      <c r="AK94" s="352"/>
    </row>
    <row r="95" spans="1:37" ht="14.25" customHeight="1" x14ac:dyDescent="0.45">
      <c r="A95" s="618"/>
      <c r="B95" s="215"/>
      <c r="C95" s="228" t="s">
        <v>176</v>
      </c>
      <c r="D95" s="229">
        <f>SUM(D15,D54)</f>
        <v>3333.20399</v>
      </c>
      <c r="E95" s="229">
        <f>SUM(E15,E54)</f>
        <v>3343.20399</v>
      </c>
      <c r="F95" s="229">
        <f>SUM(F15,F54)</f>
        <v>3365.5459900000001</v>
      </c>
      <c r="G95" s="229">
        <f>SUM(G15,G54)</f>
        <v>3373.64599</v>
      </c>
      <c r="H95" s="232"/>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c r="AJ95" s="285"/>
      <c r="AK95" s="352"/>
    </row>
    <row r="96" spans="1:37" ht="14.25" customHeight="1" x14ac:dyDescent="0.45">
      <c r="A96" s="618"/>
      <c r="B96" s="215"/>
      <c r="C96" s="224" t="s">
        <v>898</v>
      </c>
      <c r="D96" s="295">
        <f>SUM(D18,D61)</f>
        <v>27.629839999999991</v>
      </c>
      <c r="E96" s="295">
        <f>SUM(E18,E61)</f>
        <v>27.629839999999991</v>
      </c>
      <c r="F96" s="295">
        <f>SUM(F18,F61)</f>
        <v>27.629839999999991</v>
      </c>
      <c r="G96" s="295">
        <f>SUM(G18,G61)</f>
        <v>27.653179999999992</v>
      </c>
      <c r="H96" s="232"/>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352"/>
    </row>
    <row r="97" spans="1:37" ht="14.25" customHeight="1" x14ac:dyDescent="0.45">
      <c r="A97" s="618"/>
      <c r="B97" s="215"/>
      <c r="C97" s="224" t="s">
        <v>899</v>
      </c>
      <c r="D97" s="295">
        <f>SUM(D98,D99,D100)</f>
        <v>3395.1583799999999</v>
      </c>
      <c r="E97" s="295">
        <f>SUM(E98,E99,E100)</f>
        <v>3408.2703799999999</v>
      </c>
      <c r="F97" s="295">
        <f>SUM(F98,F99,F100)</f>
        <v>3413.2113800000002</v>
      </c>
      <c r="G97" s="295">
        <f>SUM(G98,G99,G100)</f>
        <v>3426.14138</v>
      </c>
      <c r="H97" s="232"/>
      <c r="I97" s="285"/>
      <c r="J97" s="285"/>
      <c r="K97" s="285"/>
      <c r="L97" s="285"/>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c r="AJ97" s="285"/>
      <c r="AK97" s="352"/>
    </row>
    <row r="98" spans="1:37" ht="14.25" customHeight="1" x14ac:dyDescent="0.45">
      <c r="A98" s="618"/>
      <c r="B98" s="215"/>
      <c r="C98" s="228" t="s">
        <v>180</v>
      </c>
      <c r="D98" s="229">
        <f>SUM(D20,D65)</f>
        <v>2011.4443799999999</v>
      </c>
      <c r="E98" s="229">
        <f>SUM(E20,E65)</f>
        <v>2024.79638</v>
      </c>
      <c r="F98" s="229">
        <f>SUM(F20,F65)</f>
        <v>2029.7373800000003</v>
      </c>
      <c r="G98" s="229">
        <f>SUM(G20,G65)</f>
        <v>2020.6673799999999</v>
      </c>
      <c r="H98" s="232"/>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c r="AJ98" s="285"/>
      <c r="AK98" s="352"/>
    </row>
    <row r="99" spans="1:37" ht="14.25" customHeight="1" x14ac:dyDescent="0.45">
      <c r="A99" s="618"/>
      <c r="B99" s="215"/>
      <c r="C99" s="228" t="s">
        <v>188</v>
      </c>
      <c r="D99" s="229">
        <f>SUM(D25,D75)</f>
        <v>921.84899999999993</v>
      </c>
      <c r="E99" s="229">
        <f>SUM(E25,E75)</f>
        <v>921.84899999999993</v>
      </c>
      <c r="F99" s="229">
        <f>SUM(F25,F75)</f>
        <v>921.84899999999993</v>
      </c>
      <c r="G99" s="229">
        <f>SUM(G25,G75)</f>
        <v>943.84899999999993</v>
      </c>
      <c r="H99" s="232"/>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352"/>
    </row>
    <row r="100" spans="1:37" ht="14.25" customHeight="1" x14ac:dyDescent="0.45">
      <c r="A100" s="618"/>
      <c r="B100" s="215"/>
      <c r="C100" s="228" t="s">
        <v>193</v>
      </c>
      <c r="D100" s="229">
        <f>SUM(D28,D80)</f>
        <v>461.86500000000001</v>
      </c>
      <c r="E100" s="229">
        <f>SUM(E28,E80)</f>
        <v>461.625</v>
      </c>
      <c r="F100" s="229">
        <f>SUM(F28,F80)</f>
        <v>461.625</v>
      </c>
      <c r="G100" s="229">
        <f>SUM(G28,G80)</f>
        <v>461.625</v>
      </c>
      <c r="H100" s="232"/>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352"/>
    </row>
    <row r="101" spans="1:37" ht="14.25" customHeight="1" x14ac:dyDescent="0.45">
      <c r="A101" s="618"/>
      <c r="B101" s="215"/>
      <c r="C101" s="224" t="s">
        <v>900</v>
      </c>
      <c r="D101" s="295">
        <f>SUM(D30,D87)</f>
        <v>7.26</v>
      </c>
      <c r="E101" s="295">
        <f>SUM(E30,E87)</f>
        <v>7.26</v>
      </c>
      <c r="F101" s="295">
        <f>SUM(F30,F87)</f>
        <v>7.26</v>
      </c>
      <c r="G101" s="295">
        <f>SUM(G30,G87)</f>
        <v>8.32</v>
      </c>
      <c r="H101" s="232"/>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352"/>
    </row>
    <row r="102" spans="1:37" ht="14.25" customHeight="1" x14ac:dyDescent="0.45">
      <c r="A102" s="618"/>
      <c r="B102" s="215"/>
      <c r="C102" s="243" t="s">
        <v>59</v>
      </c>
      <c r="D102" s="232">
        <f>D91+D92+D93+D96+D97+D101</f>
        <v>8661.9022099999984</v>
      </c>
      <c r="E102" s="232">
        <f>E91+E92+E93+E96+E97+E101</f>
        <v>8685.0142099999994</v>
      </c>
      <c r="F102" s="232">
        <f>F91+F92+F93+F96+F97+F101</f>
        <v>8712.2972100000006</v>
      </c>
      <c r="G102" s="232">
        <f>G91+G92+G93+G96+G97+G101</f>
        <v>8734.4105500000005</v>
      </c>
      <c r="H102" s="232"/>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352"/>
    </row>
    <row r="103" spans="1:37" ht="14.25" customHeight="1" x14ac:dyDescent="0.45">
      <c r="A103" s="618"/>
      <c r="B103" s="215"/>
      <c r="C103" s="353"/>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c r="AA103" s="220"/>
      <c r="AB103" s="220"/>
      <c r="AC103" s="220"/>
      <c r="AD103" s="220"/>
      <c r="AE103" s="220"/>
      <c r="AF103" s="220"/>
      <c r="AG103" s="220"/>
      <c r="AH103" s="220"/>
      <c r="AI103" s="220"/>
      <c r="AJ103" s="220"/>
      <c r="AK103" s="352"/>
    </row>
    <row r="104" spans="1:37" ht="14.25" customHeight="1" x14ac:dyDescent="0.45">
      <c r="A104" s="618"/>
      <c r="B104" s="215"/>
      <c r="C104" s="361" t="s">
        <v>259</v>
      </c>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352"/>
    </row>
    <row r="105" spans="1:37" ht="14.25" customHeight="1" x14ac:dyDescent="0.45">
      <c r="A105" s="618"/>
      <c r="B105" s="215"/>
      <c r="C105" s="221" t="s">
        <v>220</v>
      </c>
      <c r="D105" s="285" t="s">
        <v>221</v>
      </c>
      <c r="E105" s="285" t="s">
        <v>221</v>
      </c>
      <c r="F105" s="285" t="s">
        <v>221</v>
      </c>
      <c r="G105" s="285" t="s">
        <v>221</v>
      </c>
      <c r="H105" s="285" t="s">
        <v>221</v>
      </c>
      <c r="I105" s="285" t="s">
        <v>221</v>
      </c>
      <c r="J105" s="285" t="s">
        <v>221</v>
      </c>
      <c r="K105" s="285" t="s">
        <v>221</v>
      </c>
      <c r="L105" s="285" t="s">
        <v>221</v>
      </c>
      <c r="M105" s="285">
        <v>100</v>
      </c>
      <c r="N105" s="285" t="s">
        <v>221</v>
      </c>
      <c r="O105" s="285" t="s">
        <v>221</v>
      </c>
      <c r="P105" s="285" t="s">
        <v>221</v>
      </c>
      <c r="Q105" s="285" t="s">
        <v>221</v>
      </c>
      <c r="R105" s="285"/>
      <c r="S105" s="285"/>
      <c r="T105" s="285"/>
      <c r="U105" s="285"/>
      <c r="V105" s="285"/>
      <c r="W105" s="285"/>
      <c r="X105" s="285"/>
      <c r="Y105" s="285"/>
      <c r="Z105" s="285"/>
      <c r="AA105" s="285"/>
      <c r="AB105" s="285"/>
      <c r="AC105" s="285"/>
      <c r="AD105" s="285"/>
      <c r="AE105" s="285"/>
      <c r="AF105" s="285"/>
      <c r="AG105" s="285"/>
      <c r="AH105" s="285"/>
      <c r="AI105" s="285"/>
      <c r="AJ105" s="285"/>
      <c r="AK105" s="352"/>
    </row>
    <row r="106" spans="1:37" ht="14.25" customHeight="1" x14ac:dyDescent="0.45">
      <c r="A106" s="618"/>
      <c r="B106" s="215"/>
      <c r="C106" s="221" t="s">
        <v>261</v>
      </c>
      <c r="D106" s="285" t="s">
        <v>221</v>
      </c>
      <c r="E106" s="285" t="s">
        <v>221</v>
      </c>
      <c r="F106" s="285" t="s">
        <v>221</v>
      </c>
      <c r="G106" s="285" t="s">
        <v>221</v>
      </c>
      <c r="H106" s="285" t="s">
        <v>221</v>
      </c>
      <c r="I106" s="285" t="s">
        <v>221</v>
      </c>
      <c r="J106" s="285" t="s">
        <v>221</v>
      </c>
      <c r="K106" s="285" t="s">
        <v>221</v>
      </c>
      <c r="L106" s="285" t="s">
        <v>221</v>
      </c>
      <c r="M106" s="285" t="s">
        <v>221</v>
      </c>
      <c r="N106" s="285" t="s">
        <v>221</v>
      </c>
      <c r="O106" s="285" t="s">
        <v>221</v>
      </c>
      <c r="P106" s="285" t="s">
        <v>221</v>
      </c>
      <c r="Q106" s="285" t="s">
        <v>221</v>
      </c>
      <c r="R106" s="285"/>
      <c r="S106" s="285"/>
      <c r="T106" s="285"/>
      <c r="U106" s="285"/>
      <c r="V106" s="285"/>
      <c r="W106" s="285"/>
      <c r="X106" s="285"/>
      <c r="Y106" s="285"/>
      <c r="Z106" s="285"/>
      <c r="AA106" s="285"/>
      <c r="AB106" s="285"/>
      <c r="AC106" s="285"/>
      <c r="AD106" s="285"/>
      <c r="AE106" s="285"/>
      <c r="AF106" s="285"/>
      <c r="AG106" s="285"/>
      <c r="AH106" s="285"/>
      <c r="AI106" s="285"/>
      <c r="AJ106" s="285"/>
      <c r="AK106" s="352"/>
    </row>
    <row r="107" spans="1:37" ht="14.25" customHeight="1" x14ac:dyDescent="0.45">
      <c r="A107" s="618">
        <v>4</v>
      </c>
      <c r="B107" s="215"/>
      <c r="C107" s="221" t="s">
        <v>903</v>
      </c>
      <c r="D107" s="285" t="s">
        <v>221</v>
      </c>
      <c r="E107" s="57" t="s">
        <v>221</v>
      </c>
      <c r="F107" s="57" t="s">
        <v>221</v>
      </c>
      <c r="G107" s="57" t="s">
        <v>221</v>
      </c>
      <c r="H107" s="57" t="s">
        <v>221</v>
      </c>
      <c r="I107" s="57" t="s">
        <v>221</v>
      </c>
      <c r="J107" s="57" t="s">
        <v>221</v>
      </c>
      <c r="K107" s="57" t="s">
        <v>221</v>
      </c>
      <c r="L107" s="57" t="s">
        <v>221</v>
      </c>
      <c r="M107" s="57" t="s">
        <v>221</v>
      </c>
      <c r="N107" s="164">
        <v>50</v>
      </c>
      <c r="O107" s="285" t="s">
        <v>221</v>
      </c>
      <c r="P107" s="285" t="s">
        <v>221</v>
      </c>
      <c r="Q107" s="285" t="s">
        <v>221</v>
      </c>
      <c r="R107" s="285"/>
      <c r="S107" s="285"/>
      <c r="T107" s="285"/>
      <c r="U107" s="285"/>
      <c r="V107" s="285"/>
      <c r="W107" s="285"/>
      <c r="X107" s="285"/>
      <c r="Y107" s="285"/>
      <c r="Z107" s="285"/>
      <c r="AA107" s="285"/>
      <c r="AB107" s="285"/>
      <c r="AC107" s="285"/>
      <c r="AD107" s="285"/>
      <c r="AE107" s="285"/>
      <c r="AF107" s="285"/>
      <c r="AG107" s="285"/>
      <c r="AH107" s="285"/>
      <c r="AI107" s="285"/>
      <c r="AJ107" s="285"/>
      <c r="AK107" s="352"/>
    </row>
    <row r="108" spans="1:37" ht="14.25" customHeight="1" x14ac:dyDescent="0.45">
      <c r="A108" s="618"/>
      <c r="B108" s="215"/>
      <c r="C108" s="221" t="s">
        <v>901</v>
      </c>
      <c r="D108" s="57"/>
      <c r="E108" s="57"/>
      <c r="F108" s="57"/>
      <c r="G108" s="57"/>
      <c r="H108" s="57"/>
      <c r="I108" s="57"/>
      <c r="J108" s="57"/>
      <c r="K108" s="57"/>
      <c r="L108" s="57"/>
      <c r="M108" s="57"/>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352"/>
    </row>
    <row r="109" spans="1:37" ht="14.25" customHeight="1" x14ac:dyDescent="0.45">
      <c r="A109" s="618" t="s">
        <v>904</v>
      </c>
      <c r="B109" s="215"/>
      <c r="C109" s="221" t="s">
        <v>201</v>
      </c>
      <c r="D109" s="57">
        <v>0</v>
      </c>
      <c r="E109" s="57" t="s">
        <v>221</v>
      </c>
      <c r="F109" s="57" t="s">
        <v>221</v>
      </c>
      <c r="G109" s="57" t="s">
        <v>221</v>
      </c>
      <c r="H109" s="58">
        <v>49</v>
      </c>
      <c r="I109" s="57" t="s">
        <v>221</v>
      </c>
      <c r="J109" s="57" t="s">
        <v>221</v>
      </c>
      <c r="K109" s="57" t="s">
        <v>221</v>
      </c>
      <c r="L109" s="57" t="s">
        <v>221</v>
      </c>
      <c r="M109" s="57" t="s">
        <v>221</v>
      </c>
      <c r="N109" s="285" t="s">
        <v>221</v>
      </c>
      <c r="O109" s="285" t="s">
        <v>221</v>
      </c>
      <c r="P109" s="285" t="s">
        <v>221</v>
      </c>
      <c r="Q109" s="285" t="s">
        <v>221</v>
      </c>
      <c r="R109" s="285"/>
      <c r="S109" s="285"/>
      <c r="T109" s="285"/>
      <c r="U109" s="285"/>
      <c r="V109" s="285"/>
      <c r="W109" s="285"/>
      <c r="X109" s="285"/>
      <c r="Y109" s="285"/>
      <c r="Z109" s="285"/>
      <c r="AA109" s="285"/>
      <c r="AB109" s="285"/>
      <c r="AC109" s="285"/>
      <c r="AD109" s="285"/>
      <c r="AE109" s="285"/>
      <c r="AF109" s="285"/>
      <c r="AG109" s="285"/>
      <c r="AH109" s="285"/>
      <c r="AI109" s="285"/>
      <c r="AJ109" s="285"/>
      <c r="AK109" s="352"/>
    </row>
    <row r="110" spans="1:37" ht="14.25" customHeight="1" x14ac:dyDescent="0.45">
      <c r="A110" s="618" t="s">
        <v>904</v>
      </c>
      <c r="B110" s="215"/>
      <c r="C110" s="221" t="s">
        <v>203</v>
      </c>
      <c r="D110" s="57">
        <v>0</v>
      </c>
      <c r="E110" s="57" t="s">
        <v>221</v>
      </c>
      <c r="F110" s="57" t="s">
        <v>221</v>
      </c>
      <c r="G110" s="57" t="s">
        <v>221</v>
      </c>
      <c r="H110" s="57" t="s">
        <v>221</v>
      </c>
      <c r="I110" s="58">
        <v>205.4</v>
      </c>
      <c r="J110" s="57" t="s">
        <v>221</v>
      </c>
      <c r="K110" s="57" t="s">
        <v>221</v>
      </c>
      <c r="L110" s="57" t="s">
        <v>221</v>
      </c>
      <c r="M110" s="57" t="s">
        <v>221</v>
      </c>
      <c r="N110" s="285" t="s">
        <v>221</v>
      </c>
      <c r="O110" s="285" t="s">
        <v>221</v>
      </c>
      <c r="P110" s="285" t="s">
        <v>221</v>
      </c>
      <c r="Q110" s="285" t="s">
        <v>221</v>
      </c>
      <c r="R110" s="285"/>
      <c r="S110" s="285"/>
      <c r="T110" s="285"/>
      <c r="U110" s="285"/>
      <c r="V110" s="285"/>
      <c r="W110" s="285"/>
      <c r="X110" s="285"/>
      <c r="Y110" s="285"/>
      <c r="Z110" s="285"/>
      <c r="AA110" s="285"/>
      <c r="AB110" s="285"/>
      <c r="AC110" s="285"/>
      <c r="AD110" s="285"/>
      <c r="AE110" s="285"/>
      <c r="AF110" s="285"/>
      <c r="AG110" s="285"/>
      <c r="AH110" s="285"/>
      <c r="AI110" s="285"/>
      <c r="AJ110" s="285"/>
      <c r="AK110" s="352"/>
    </row>
    <row r="111" spans="1:37" ht="14.25" customHeight="1" x14ac:dyDescent="0.45">
      <c r="A111" s="618">
        <v>2</v>
      </c>
      <c r="B111" s="215"/>
      <c r="C111" s="221" t="s">
        <v>205</v>
      </c>
      <c r="D111" s="57">
        <v>0</v>
      </c>
      <c r="E111" s="57" t="s">
        <v>221</v>
      </c>
      <c r="F111" s="57" t="s">
        <v>221</v>
      </c>
      <c r="G111" s="57" t="s">
        <v>221</v>
      </c>
      <c r="H111" s="57" t="s">
        <v>221</v>
      </c>
      <c r="I111" s="57" t="s">
        <v>221</v>
      </c>
      <c r="J111" s="57" t="s">
        <v>221</v>
      </c>
      <c r="K111" s="57" t="s">
        <v>221</v>
      </c>
      <c r="L111" s="57" t="s">
        <v>221</v>
      </c>
      <c r="M111" s="57" t="s">
        <v>221</v>
      </c>
      <c r="N111" s="285" t="s">
        <v>221</v>
      </c>
      <c r="O111" s="285" t="s">
        <v>221</v>
      </c>
      <c r="P111" s="285" t="s">
        <v>221</v>
      </c>
      <c r="Q111" s="285" t="s">
        <v>221</v>
      </c>
      <c r="R111" s="285"/>
      <c r="S111" s="285"/>
      <c r="T111" s="285"/>
      <c r="U111" s="285"/>
      <c r="V111" s="285"/>
      <c r="W111" s="285"/>
      <c r="X111" s="285"/>
      <c r="Y111" s="285"/>
      <c r="Z111" s="285"/>
      <c r="AA111" s="285"/>
      <c r="AB111" s="285"/>
      <c r="AC111" s="285"/>
      <c r="AD111" s="285"/>
      <c r="AE111" s="285"/>
      <c r="AF111" s="285"/>
      <c r="AG111" s="285"/>
      <c r="AH111" s="285"/>
      <c r="AI111" s="285"/>
      <c r="AJ111" s="285"/>
      <c r="AK111" s="352"/>
    </row>
    <row r="112" spans="1:37" ht="14.25" customHeight="1" x14ac:dyDescent="0.45">
      <c r="A112" s="618">
        <v>2</v>
      </c>
      <c r="B112" s="215"/>
      <c r="C112" s="221" t="s">
        <v>207</v>
      </c>
      <c r="D112" s="57">
        <v>0</v>
      </c>
      <c r="E112" s="57" t="s">
        <v>221</v>
      </c>
      <c r="F112" s="57" t="s">
        <v>221</v>
      </c>
      <c r="G112" s="57" t="s">
        <v>221</v>
      </c>
      <c r="H112" s="57" t="s">
        <v>221</v>
      </c>
      <c r="I112" s="57" t="s">
        <v>221</v>
      </c>
      <c r="J112" s="58">
        <f>7.2</f>
        <v>7.2</v>
      </c>
      <c r="K112" s="58">
        <v>14.6</v>
      </c>
      <c r="L112" s="57" t="s">
        <v>221</v>
      </c>
      <c r="M112" s="57" t="s">
        <v>221</v>
      </c>
      <c r="N112" s="285" t="s">
        <v>221</v>
      </c>
      <c r="O112" s="285" t="s">
        <v>221</v>
      </c>
      <c r="P112" s="285" t="s">
        <v>221</v>
      </c>
      <c r="Q112" s="285" t="s">
        <v>221</v>
      </c>
      <c r="R112" s="285"/>
      <c r="S112" s="285"/>
      <c r="T112" s="285"/>
      <c r="U112" s="285"/>
      <c r="V112" s="285"/>
      <c r="W112" s="285"/>
      <c r="X112" s="285"/>
      <c r="Y112" s="285"/>
      <c r="Z112" s="285"/>
      <c r="AA112" s="285"/>
      <c r="AB112" s="285"/>
      <c r="AC112" s="285"/>
      <c r="AD112" s="285"/>
      <c r="AE112" s="285"/>
      <c r="AF112" s="285"/>
      <c r="AG112" s="285"/>
      <c r="AH112" s="285"/>
      <c r="AI112" s="285"/>
      <c r="AJ112" s="285"/>
      <c r="AK112" s="352"/>
    </row>
    <row r="113" spans="1:37" ht="14.25" customHeight="1" x14ac:dyDescent="0.45">
      <c r="A113" s="618">
        <v>2</v>
      </c>
      <c r="B113" s="215"/>
      <c r="C113" s="221" t="s">
        <v>209</v>
      </c>
      <c r="D113" s="57">
        <v>0</v>
      </c>
      <c r="E113" s="57" t="s">
        <v>221</v>
      </c>
      <c r="F113" s="57" t="s">
        <v>221</v>
      </c>
      <c r="G113" s="57" t="s">
        <v>221</v>
      </c>
      <c r="H113" s="57" t="s">
        <v>221</v>
      </c>
      <c r="I113" s="57" t="s">
        <v>221</v>
      </c>
      <c r="J113" s="57" t="s">
        <v>221</v>
      </c>
      <c r="K113" s="57" t="s">
        <v>221</v>
      </c>
      <c r="L113" s="57" t="s">
        <v>221</v>
      </c>
      <c r="M113" s="57" t="s">
        <v>221</v>
      </c>
      <c r="N113" s="285" t="s">
        <v>221</v>
      </c>
      <c r="O113" s="285" t="s">
        <v>221</v>
      </c>
      <c r="P113" s="285" t="s">
        <v>221</v>
      </c>
      <c r="Q113" s="285" t="s">
        <v>221</v>
      </c>
      <c r="R113" s="285"/>
      <c r="S113" s="285"/>
      <c r="T113" s="285"/>
      <c r="U113" s="285"/>
      <c r="V113" s="285"/>
      <c r="W113" s="285"/>
      <c r="X113" s="285"/>
      <c r="Y113" s="285"/>
      <c r="Z113" s="285"/>
      <c r="AA113" s="285"/>
      <c r="AB113" s="285"/>
      <c r="AC113" s="285"/>
      <c r="AD113" s="285"/>
      <c r="AE113" s="285"/>
      <c r="AF113" s="285"/>
      <c r="AG113" s="285"/>
      <c r="AH113" s="285"/>
      <c r="AI113" s="285"/>
      <c r="AJ113" s="285"/>
      <c r="AK113" s="352"/>
    </row>
    <row r="114" spans="1:37" ht="14.25" customHeight="1" x14ac:dyDescent="0.45">
      <c r="A114" s="618">
        <v>2</v>
      </c>
      <c r="B114" s="215"/>
      <c r="C114" s="221" t="s">
        <v>211</v>
      </c>
      <c r="D114" s="57">
        <v>3600</v>
      </c>
      <c r="E114" s="57" t="s">
        <v>221</v>
      </c>
      <c r="F114" s="57" t="s">
        <v>221</v>
      </c>
      <c r="G114" s="57" t="s">
        <v>221</v>
      </c>
      <c r="H114" s="57" t="s">
        <v>221</v>
      </c>
      <c r="I114" s="57" t="s">
        <v>221</v>
      </c>
      <c r="J114" s="57" t="s">
        <v>221</v>
      </c>
      <c r="K114" s="57" t="s">
        <v>221</v>
      </c>
      <c r="L114" s="57" t="s">
        <v>221</v>
      </c>
      <c r="M114" s="57" t="s">
        <v>221</v>
      </c>
      <c r="N114" s="285" t="s">
        <v>221</v>
      </c>
      <c r="O114" s="285" t="s">
        <v>221</v>
      </c>
      <c r="P114" s="164">
        <v>595.6</v>
      </c>
      <c r="Q114" s="285" t="s">
        <v>221</v>
      </c>
      <c r="R114" s="497">
        <f>1200+1200</f>
        <v>2400</v>
      </c>
      <c r="S114" s="285"/>
      <c r="T114" s="285"/>
      <c r="U114" s="285"/>
      <c r="V114" s="285"/>
      <c r="W114" s="285"/>
      <c r="X114" s="285"/>
      <c r="Y114" s="285"/>
      <c r="Z114" s="285"/>
      <c r="AA114" s="285"/>
      <c r="AB114" s="285"/>
      <c r="AC114" s="285"/>
      <c r="AD114" s="285"/>
      <c r="AE114" s="285"/>
      <c r="AF114" s="285"/>
      <c r="AG114" s="285"/>
      <c r="AH114" s="285"/>
      <c r="AI114" s="285"/>
      <c r="AJ114" s="285"/>
      <c r="AK114" s="352"/>
    </row>
    <row r="115" spans="1:37" ht="14.25" customHeight="1" x14ac:dyDescent="0.45">
      <c r="A115" s="618"/>
      <c r="B115" s="215"/>
      <c r="C115" s="221" t="s">
        <v>902</v>
      </c>
      <c r="D115" s="57"/>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352"/>
    </row>
    <row r="116" spans="1:37" ht="14.25" customHeight="1" x14ac:dyDescent="0.45">
      <c r="A116" s="618" t="s">
        <v>904</v>
      </c>
      <c r="B116" s="215"/>
      <c r="C116" s="221" t="s">
        <v>201</v>
      </c>
      <c r="D116" s="57">
        <v>1212.5</v>
      </c>
      <c r="E116" s="285" t="s">
        <v>221</v>
      </c>
      <c r="F116" s="285">
        <v>5.95</v>
      </c>
      <c r="G116" s="285">
        <f>7.59</f>
        <v>7.59</v>
      </c>
      <c r="H116" s="57" t="s">
        <v>221</v>
      </c>
      <c r="I116" s="498">
        <v>9</v>
      </c>
      <c r="J116" s="285">
        <f>20+30</f>
        <v>50</v>
      </c>
      <c r="K116" s="285" t="s">
        <v>221</v>
      </c>
      <c r="L116" s="285" t="s">
        <v>221</v>
      </c>
      <c r="M116" s="285" t="s">
        <v>221</v>
      </c>
      <c r="N116" s="285" t="s">
        <v>221</v>
      </c>
      <c r="O116" s="285" t="s">
        <v>221</v>
      </c>
      <c r="P116" s="285" t="s">
        <v>221</v>
      </c>
      <c r="Q116" s="285" t="s">
        <v>221</v>
      </c>
      <c r="R116" s="285"/>
      <c r="S116" s="285"/>
      <c r="T116" s="285"/>
      <c r="U116" s="285"/>
      <c r="V116" s="285"/>
      <c r="W116" s="285"/>
      <c r="X116" s="285"/>
      <c r="Y116" s="285"/>
      <c r="Z116" s="285"/>
      <c r="AA116" s="285"/>
      <c r="AB116" s="285"/>
      <c r="AC116" s="285"/>
      <c r="AD116" s="285"/>
      <c r="AE116" s="285"/>
      <c r="AF116" s="285"/>
      <c r="AG116" s="285"/>
      <c r="AH116" s="285"/>
      <c r="AI116" s="285"/>
      <c r="AJ116" s="285"/>
      <c r="AK116" s="352"/>
    </row>
    <row r="117" spans="1:37" ht="14.25" customHeight="1" x14ac:dyDescent="0.45">
      <c r="A117" s="618">
        <v>2</v>
      </c>
      <c r="B117" s="215"/>
      <c r="C117" s="221" t="s">
        <v>203</v>
      </c>
      <c r="D117" s="57">
        <v>1358.4</v>
      </c>
      <c r="E117" s="285" t="s">
        <v>221</v>
      </c>
      <c r="F117" s="285" t="s">
        <v>221</v>
      </c>
      <c r="G117" s="285" t="s">
        <v>221</v>
      </c>
      <c r="H117" s="285" t="s">
        <v>221</v>
      </c>
      <c r="I117" s="285" t="s">
        <v>221</v>
      </c>
      <c r="J117" s="285" t="s">
        <v>221</v>
      </c>
      <c r="K117" s="285" t="s">
        <v>221</v>
      </c>
      <c r="L117" s="285" t="s">
        <v>221</v>
      </c>
      <c r="M117" s="285" t="s">
        <v>221</v>
      </c>
      <c r="N117" s="164">
        <v>194</v>
      </c>
      <c r="O117" s="285" t="s">
        <v>221</v>
      </c>
      <c r="P117" s="285" t="s">
        <v>221</v>
      </c>
      <c r="Q117" s="285" t="s">
        <v>221</v>
      </c>
      <c r="R117" s="285"/>
      <c r="S117" s="285"/>
      <c r="T117" s="285"/>
      <c r="U117" s="285"/>
      <c r="V117" s="285"/>
      <c r="W117" s="285"/>
      <c r="X117" s="285"/>
      <c r="Y117" s="285"/>
      <c r="Z117" s="285"/>
      <c r="AA117" s="285"/>
      <c r="AB117" s="285"/>
      <c r="AC117" s="285"/>
      <c r="AD117" s="285"/>
      <c r="AE117" s="285"/>
      <c r="AF117" s="285"/>
      <c r="AG117" s="285"/>
      <c r="AH117" s="285"/>
      <c r="AI117" s="285"/>
      <c r="AJ117" s="285"/>
      <c r="AK117" s="352"/>
    </row>
    <row r="118" spans="1:37" ht="14.25" customHeight="1" x14ac:dyDescent="0.45">
      <c r="A118" s="618">
        <v>2</v>
      </c>
      <c r="B118" s="215"/>
      <c r="C118" s="221" t="s">
        <v>205</v>
      </c>
      <c r="D118" s="57">
        <v>468</v>
      </c>
      <c r="E118" s="285" t="s">
        <v>221</v>
      </c>
      <c r="F118" s="285" t="s">
        <v>221</v>
      </c>
      <c r="G118" s="285" t="s">
        <v>221</v>
      </c>
      <c r="H118" s="285" t="s">
        <v>221</v>
      </c>
      <c r="I118" s="285" t="s">
        <v>221</v>
      </c>
      <c r="J118" s="285" t="s">
        <v>221</v>
      </c>
      <c r="K118" s="285" t="s">
        <v>221</v>
      </c>
      <c r="L118" s="285" t="s">
        <v>221</v>
      </c>
      <c r="M118" s="285" t="s">
        <v>221</v>
      </c>
      <c r="N118" s="285" t="s">
        <v>221</v>
      </c>
      <c r="O118" s="285" t="s">
        <v>221</v>
      </c>
      <c r="P118" s="285" t="s">
        <v>221</v>
      </c>
      <c r="Q118" s="285" t="s">
        <v>221</v>
      </c>
      <c r="R118" s="285"/>
      <c r="S118" s="285"/>
      <c r="T118" s="285"/>
      <c r="U118" s="285"/>
      <c r="V118" s="285"/>
      <c r="W118" s="285"/>
      <c r="X118" s="285"/>
      <c r="Y118" s="285"/>
      <c r="Z118" s="285"/>
      <c r="AA118" s="285"/>
      <c r="AB118" s="285"/>
      <c r="AC118" s="285"/>
      <c r="AD118" s="285"/>
      <c r="AE118" s="285"/>
      <c r="AF118" s="285"/>
      <c r="AG118" s="285"/>
      <c r="AH118" s="285"/>
      <c r="AI118" s="285"/>
      <c r="AJ118" s="285"/>
      <c r="AK118" s="352"/>
    </row>
    <row r="119" spans="1:37" ht="14.25" customHeight="1" x14ac:dyDescent="0.45">
      <c r="A119" s="618">
        <v>2</v>
      </c>
      <c r="B119" s="215"/>
      <c r="C119" s="221" t="s">
        <v>207</v>
      </c>
      <c r="D119" s="57">
        <v>361.4</v>
      </c>
      <c r="E119" s="285" t="s">
        <v>221</v>
      </c>
      <c r="F119" s="285" t="s">
        <v>221</v>
      </c>
      <c r="G119" s="285" t="s">
        <v>221</v>
      </c>
      <c r="H119" s="164">
        <f>30</f>
        <v>30</v>
      </c>
      <c r="I119" s="285" t="s">
        <v>221</v>
      </c>
      <c r="J119" s="164">
        <f>4</f>
        <v>4</v>
      </c>
      <c r="K119" s="164">
        <f>7.38+7.2</f>
        <v>14.58</v>
      </c>
      <c r="L119" s="285" t="s">
        <v>221</v>
      </c>
      <c r="M119" s="285" t="s">
        <v>221</v>
      </c>
      <c r="N119" s="285" t="s">
        <v>221</v>
      </c>
      <c r="O119" s="285" t="s">
        <v>221</v>
      </c>
      <c r="P119" s="285" t="s">
        <v>221</v>
      </c>
      <c r="Q119" s="285" t="s">
        <v>221</v>
      </c>
      <c r="R119" s="285"/>
      <c r="S119" s="285"/>
      <c r="T119" s="285"/>
      <c r="U119" s="285"/>
      <c r="V119" s="285"/>
      <c r="W119" s="285"/>
      <c r="X119" s="285"/>
      <c r="Y119" s="285"/>
      <c r="Z119" s="285"/>
      <c r="AA119" s="285"/>
      <c r="AB119" s="285"/>
      <c r="AC119" s="285"/>
      <c r="AD119" s="285"/>
      <c r="AE119" s="285"/>
      <c r="AF119" s="285"/>
      <c r="AG119" s="285"/>
      <c r="AH119" s="285"/>
      <c r="AI119" s="285"/>
      <c r="AJ119" s="285"/>
      <c r="AK119" s="352"/>
    </row>
    <row r="120" spans="1:37" ht="14.25" customHeight="1" x14ac:dyDescent="0.45">
      <c r="A120" s="618">
        <v>2</v>
      </c>
      <c r="B120" s="215"/>
      <c r="C120" s="221" t="s">
        <v>209</v>
      </c>
      <c r="D120" s="57">
        <v>1237.5</v>
      </c>
      <c r="E120" s="285" t="s">
        <v>221</v>
      </c>
      <c r="F120" s="285" t="s">
        <v>221</v>
      </c>
      <c r="G120" s="285" t="s">
        <v>221</v>
      </c>
      <c r="H120" s="285" t="s">
        <v>221</v>
      </c>
      <c r="I120" s="285" t="s">
        <v>221</v>
      </c>
      <c r="J120" s="285" t="s">
        <v>221</v>
      </c>
      <c r="K120" s="285">
        <v>50</v>
      </c>
      <c r="L120" s="285" t="s">
        <v>221</v>
      </c>
      <c r="M120" s="285" t="s">
        <v>221</v>
      </c>
      <c r="N120" s="285" t="s">
        <v>221</v>
      </c>
      <c r="O120" s="285" t="s">
        <v>221</v>
      </c>
      <c r="P120" s="285" t="s">
        <v>221</v>
      </c>
      <c r="Q120" s="285" t="s">
        <v>221</v>
      </c>
      <c r="R120" s="285"/>
      <c r="S120" s="285"/>
      <c r="T120" s="285"/>
      <c r="U120" s="285"/>
      <c r="V120" s="285"/>
      <c r="W120" s="285"/>
      <c r="X120" s="285"/>
      <c r="Y120" s="285"/>
      <c r="Z120" s="285"/>
      <c r="AA120" s="285"/>
      <c r="AB120" s="285"/>
      <c r="AC120" s="285"/>
      <c r="AD120" s="285"/>
      <c r="AE120" s="285"/>
      <c r="AF120" s="285"/>
      <c r="AG120" s="285"/>
      <c r="AH120" s="285"/>
      <c r="AI120" s="285"/>
      <c r="AJ120" s="285"/>
      <c r="AK120" s="352"/>
    </row>
    <row r="121" spans="1:37" ht="14.25" customHeight="1" x14ac:dyDescent="0.45">
      <c r="A121" s="618">
        <v>2</v>
      </c>
      <c r="B121" s="215"/>
      <c r="C121" s="221" t="s">
        <v>211</v>
      </c>
      <c r="D121" s="57">
        <v>4836</v>
      </c>
      <c r="E121" s="285" t="s">
        <v>221</v>
      </c>
      <c r="F121" s="285" t="s">
        <v>221</v>
      </c>
      <c r="G121" s="285" t="s">
        <v>221</v>
      </c>
      <c r="H121" s="285" t="s">
        <v>221</v>
      </c>
      <c r="I121" s="285" t="s">
        <v>221</v>
      </c>
      <c r="J121" s="285" t="s">
        <v>221</v>
      </c>
      <c r="K121" s="285" t="s">
        <v>221</v>
      </c>
      <c r="L121" s="285" t="s">
        <v>221</v>
      </c>
      <c r="M121" s="285" t="s">
        <v>221</v>
      </c>
      <c r="N121" s="285" t="s">
        <v>221</v>
      </c>
      <c r="O121" s="285" t="s">
        <v>221</v>
      </c>
      <c r="P121" s="285" t="s">
        <v>221</v>
      </c>
      <c r="Q121" s="285" t="s">
        <v>221</v>
      </c>
      <c r="R121" s="285"/>
      <c r="S121" s="285"/>
      <c r="T121" s="285"/>
      <c r="U121" s="285"/>
      <c r="V121" s="285"/>
      <c r="W121" s="285"/>
      <c r="X121" s="285"/>
      <c r="Y121" s="285"/>
      <c r="Z121" s="285"/>
      <c r="AA121" s="285"/>
      <c r="AB121" s="285"/>
      <c r="AC121" s="285"/>
      <c r="AD121" s="285"/>
      <c r="AE121" s="285"/>
      <c r="AF121" s="285"/>
      <c r="AG121" s="285"/>
      <c r="AH121" s="285"/>
      <c r="AI121" s="285"/>
      <c r="AJ121" s="285"/>
      <c r="AK121" s="352"/>
    </row>
    <row r="122" spans="1:37" ht="14.25" customHeight="1" x14ac:dyDescent="0.45">
      <c r="A122" s="618"/>
      <c r="B122" s="215"/>
      <c r="C122" s="221" t="s">
        <v>263</v>
      </c>
      <c r="D122" s="285" t="s">
        <v>221</v>
      </c>
      <c r="E122" s="285" t="s">
        <v>221</v>
      </c>
      <c r="F122" s="285" t="s">
        <v>221</v>
      </c>
      <c r="G122" s="285" t="s">
        <v>221</v>
      </c>
      <c r="H122" s="285" t="s">
        <v>221</v>
      </c>
      <c r="I122" s="285" t="s">
        <v>221</v>
      </c>
      <c r="J122" s="285" t="s">
        <v>221</v>
      </c>
      <c r="K122" s="285" t="s">
        <v>221</v>
      </c>
      <c r="L122" s="285" t="s">
        <v>221</v>
      </c>
      <c r="M122" s="285" t="s">
        <v>221</v>
      </c>
      <c r="N122" s="285" t="s">
        <v>221</v>
      </c>
      <c r="O122" s="285" t="s">
        <v>221</v>
      </c>
      <c r="P122" s="285" t="s">
        <v>221</v>
      </c>
      <c r="Q122" s="285" t="s">
        <v>221</v>
      </c>
      <c r="R122" s="285"/>
      <c r="S122" s="285"/>
      <c r="T122" s="285"/>
      <c r="U122" s="285"/>
      <c r="V122" s="285"/>
      <c r="W122" s="285"/>
      <c r="X122" s="285"/>
      <c r="Y122" s="285"/>
      <c r="Z122" s="285"/>
      <c r="AA122" s="285"/>
      <c r="AB122" s="285"/>
      <c r="AC122" s="285"/>
      <c r="AD122" s="285"/>
      <c r="AE122" s="285"/>
      <c r="AF122" s="285"/>
      <c r="AG122" s="285"/>
      <c r="AH122" s="285"/>
      <c r="AI122" s="285"/>
      <c r="AJ122" s="285"/>
      <c r="AK122" s="352"/>
    </row>
    <row r="123" spans="1:37" ht="14.25" customHeight="1" x14ac:dyDescent="0.45">
      <c r="A123" s="618">
        <v>4</v>
      </c>
      <c r="B123" s="215"/>
      <c r="C123" s="221" t="s">
        <v>905</v>
      </c>
      <c r="D123" s="285" t="s">
        <v>221</v>
      </c>
      <c r="E123" s="285" t="s">
        <v>221</v>
      </c>
      <c r="F123" s="285" t="s">
        <v>221</v>
      </c>
      <c r="G123" s="285" t="s">
        <v>221</v>
      </c>
      <c r="H123" s="285" t="s">
        <v>221</v>
      </c>
      <c r="I123" s="285" t="s">
        <v>221</v>
      </c>
      <c r="J123" s="164">
        <f>200</f>
        <v>200</v>
      </c>
      <c r="K123" s="285" t="s">
        <v>221</v>
      </c>
      <c r="L123" s="285" t="s">
        <v>221</v>
      </c>
      <c r="M123" s="285" t="s">
        <v>221</v>
      </c>
      <c r="N123" s="285" t="s">
        <v>221</v>
      </c>
      <c r="O123" s="285" t="s">
        <v>221</v>
      </c>
      <c r="P123" s="285" t="s">
        <v>221</v>
      </c>
      <c r="Q123" s="285" t="s">
        <v>221</v>
      </c>
      <c r="R123" s="285"/>
      <c r="S123" s="285"/>
      <c r="T123" s="285"/>
      <c r="U123" s="285"/>
      <c r="V123" s="285"/>
      <c r="W123" s="285"/>
      <c r="X123" s="285"/>
      <c r="Y123" s="285"/>
      <c r="Z123" s="285"/>
      <c r="AA123" s="285"/>
      <c r="AB123" s="285"/>
      <c r="AC123" s="285"/>
      <c r="AD123" s="285"/>
      <c r="AE123" s="285"/>
      <c r="AF123" s="285"/>
      <c r="AG123" s="285"/>
      <c r="AH123" s="285"/>
      <c r="AI123" s="285"/>
      <c r="AJ123" s="285"/>
      <c r="AK123" s="352"/>
    </row>
    <row r="124" spans="1:37" ht="14.25" customHeight="1" x14ac:dyDescent="0.45">
      <c r="A124" s="618">
        <v>4</v>
      </c>
      <c r="B124" s="215"/>
      <c r="C124" s="221" t="s">
        <v>906</v>
      </c>
      <c r="D124" s="285" t="s">
        <v>221</v>
      </c>
      <c r="E124" s="285" t="s">
        <v>221</v>
      </c>
      <c r="F124" s="285" t="s">
        <v>221</v>
      </c>
      <c r="G124" s="285" t="s">
        <v>221</v>
      </c>
      <c r="H124" s="285" t="s">
        <v>221</v>
      </c>
      <c r="I124" s="164">
        <f>50</f>
        <v>50</v>
      </c>
      <c r="J124" s="164">
        <v>110</v>
      </c>
      <c r="K124" s="285" t="s">
        <v>221</v>
      </c>
      <c r="L124" s="285" t="s">
        <v>221</v>
      </c>
      <c r="M124" s="285" t="s">
        <v>221</v>
      </c>
      <c r="N124" s="285" t="s">
        <v>221</v>
      </c>
      <c r="O124" s="285" t="s">
        <v>221</v>
      </c>
      <c r="P124" s="285" t="s">
        <v>221</v>
      </c>
      <c r="Q124" s="285" t="s">
        <v>221</v>
      </c>
      <c r="R124" s="285"/>
      <c r="S124" s="285"/>
      <c r="T124" s="285"/>
      <c r="U124" s="285"/>
      <c r="V124" s="285"/>
      <c r="W124" s="285"/>
      <c r="X124" s="285"/>
      <c r="Y124" s="285"/>
      <c r="Z124" s="285"/>
      <c r="AA124" s="285"/>
      <c r="AB124" s="285"/>
      <c r="AC124" s="285"/>
      <c r="AD124" s="285"/>
      <c r="AE124" s="285"/>
      <c r="AF124" s="285"/>
      <c r="AG124" s="285"/>
      <c r="AH124" s="285"/>
      <c r="AI124" s="285"/>
      <c r="AJ124" s="285"/>
      <c r="AK124" s="352"/>
    </row>
    <row r="125" spans="1:37" ht="14.25" customHeight="1" x14ac:dyDescent="0.45">
      <c r="A125" s="618"/>
      <c r="B125" s="215"/>
      <c r="C125" s="221" t="s">
        <v>266</v>
      </c>
      <c r="D125" s="285" t="s">
        <v>221</v>
      </c>
      <c r="E125" s="285" t="s">
        <v>221</v>
      </c>
      <c r="F125" s="285" t="s">
        <v>221</v>
      </c>
      <c r="G125" s="285" t="s">
        <v>221</v>
      </c>
      <c r="H125" s="285" t="s">
        <v>221</v>
      </c>
      <c r="I125" s="285" t="s">
        <v>221</v>
      </c>
      <c r="J125" s="285" t="s">
        <v>221</v>
      </c>
      <c r="K125" s="285" t="s">
        <v>221</v>
      </c>
      <c r="L125" s="285" t="s">
        <v>221</v>
      </c>
      <c r="M125" s="285" t="s">
        <v>221</v>
      </c>
      <c r="N125" s="285" t="s">
        <v>221</v>
      </c>
      <c r="O125" s="285" t="s">
        <v>221</v>
      </c>
      <c r="P125" s="285" t="s">
        <v>221</v>
      </c>
      <c r="Q125" s="285" t="s">
        <v>221</v>
      </c>
      <c r="R125" s="285"/>
      <c r="S125" s="285"/>
      <c r="T125" s="285"/>
      <c r="U125" s="285"/>
      <c r="V125" s="285"/>
      <c r="W125" s="285"/>
      <c r="X125" s="285"/>
      <c r="Y125" s="285"/>
      <c r="Z125" s="285"/>
      <c r="AA125" s="285"/>
      <c r="AB125" s="285"/>
      <c r="AC125" s="285"/>
      <c r="AD125" s="285"/>
      <c r="AE125" s="285"/>
      <c r="AF125" s="285"/>
      <c r="AG125" s="285"/>
      <c r="AH125" s="285"/>
      <c r="AI125" s="285"/>
      <c r="AJ125" s="285"/>
      <c r="AK125" s="352"/>
    </row>
    <row r="126" spans="1:37" ht="14.25" customHeight="1" x14ac:dyDescent="0.45">
      <c r="A126" s="618"/>
      <c r="B126" s="215"/>
      <c r="C126" s="221" t="s">
        <v>267</v>
      </c>
      <c r="D126" s="285" t="s">
        <v>221</v>
      </c>
      <c r="E126" s="285" t="s">
        <v>221</v>
      </c>
      <c r="F126" s="285" t="s">
        <v>221</v>
      </c>
      <c r="G126" s="285" t="s">
        <v>221</v>
      </c>
      <c r="H126" s="285" t="s">
        <v>221</v>
      </c>
      <c r="I126" s="285" t="s">
        <v>221</v>
      </c>
      <c r="J126" s="285" t="s">
        <v>221</v>
      </c>
      <c r="K126" s="285" t="s">
        <v>221</v>
      </c>
      <c r="L126" s="285" t="s">
        <v>221</v>
      </c>
      <c r="M126" s="285" t="s">
        <v>221</v>
      </c>
      <c r="N126" s="285" t="s">
        <v>221</v>
      </c>
      <c r="O126" s="285" t="s">
        <v>221</v>
      </c>
      <c r="P126" s="285" t="s">
        <v>221</v>
      </c>
      <c r="Q126" s="285" t="s">
        <v>221</v>
      </c>
      <c r="R126" s="285"/>
      <c r="S126" s="285"/>
      <c r="T126" s="285"/>
      <c r="U126" s="285"/>
      <c r="V126" s="285"/>
      <c r="W126" s="285"/>
      <c r="X126" s="285"/>
      <c r="Y126" s="285"/>
      <c r="Z126" s="285"/>
      <c r="AA126" s="285"/>
      <c r="AB126" s="285"/>
      <c r="AC126" s="285"/>
      <c r="AD126" s="285"/>
      <c r="AE126" s="285"/>
      <c r="AF126" s="285"/>
      <c r="AG126" s="285"/>
      <c r="AH126" s="285"/>
      <c r="AI126" s="285"/>
      <c r="AJ126" s="285"/>
      <c r="AK126" s="352"/>
    </row>
    <row r="127" spans="1:37" ht="14.25" customHeight="1" x14ac:dyDescent="0.45">
      <c r="A127" s="618"/>
      <c r="B127" s="215"/>
      <c r="C127" s="221" t="s">
        <v>268</v>
      </c>
      <c r="D127" s="285" t="s">
        <v>221</v>
      </c>
      <c r="E127" s="285" t="s">
        <v>221</v>
      </c>
      <c r="F127" s="285" t="s">
        <v>221</v>
      </c>
      <c r="G127" s="285" t="s">
        <v>221</v>
      </c>
      <c r="H127" s="285" t="s">
        <v>221</v>
      </c>
      <c r="I127" s="285" t="s">
        <v>221</v>
      </c>
      <c r="J127" s="285" t="s">
        <v>221</v>
      </c>
      <c r="K127" s="285" t="s">
        <v>221</v>
      </c>
      <c r="L127" s="285" t="s">
        <v>221</v>
      </c>
      <c r="M127" s="285" t="s">
        <v>221</v>
      </c>
      <c r="N127" s="285" t="s">
        <v>221</v>
      </c>
      <c r="O127" s="285" t="s">
        <v>221</v>
      </c>
      <c r="P127" s="285" t="s">
        <v>221</v>
      </c>
      <c r="Q127" s="285" t="s">
        <v>221</v>
      </c>
      <c r="R127" s="285"/>
      <c r="S127" s="285"/>
      <c r="T127" s="285"/>
      <c r="U127" s="285"/>
      <c r="V127" s="285"/>
      <c r="W127" s="285"/>
      <c r="X127" s="285"/>
      <c r="Y127" s="285"/>
      <c r="Z127" s="285"/>
      <c r="AA127" s="285"/>
      <c r="AB127" s="285"/>
      <c r="AC127" s="285"/>
      <c r="AD127" s="285"/>
      <c r="AE127" s="285"/>
      <c r="AF127" s="285"/>
      <c r="AG127" s="285"/>
      <c r="AH127" s="285"/>
      <c r="AI127" s="285"/>
      <c r="AJ127" s="285"/>
      <c r="AK127" s="352"/>
    </row>
    <row r="128" spans="1:37" ht="14.25" customHeight="1" x14ac:dyDescent="0.45">
      <c r="A128" s="618">
        <v>4</v>
      </c>
      <c r="B128" s="215"/>
      <c r="C128" s="323" t="s">
        <v>907</v>
      </c>
      <c r="D128" s="285" t="s">
        <v>221</v>
      </c>
      <c r="E128" s="285" t="s">
        <v>221</v>
      </c>
      <c r="F128" s="285" t="s">
        <v>221</v>
      </c>
      <c r="G128" s="285" t="s">
        <v>221</v>
      </c>
      <c r="H128" s="285" t="s">
        <v>221</v>
      </c>
      <c r="I128" s="285" t="s">
        <v>221</v>
      </c>
      <c r="J128" s="164">
        <f>77+110</f>
        <v>187</v>
      </c>
      <c r="K128" s="285" t="s">
        <v>221</v>
      </c>
      <c r="L128" s="285">
        <v>400</v>
      </c>
      <c r="M128" s="285" t="s">
        <v>221</v>
      </c>
      <c r="N128" s="285" t="s">
        <v>221</v>
      </c>
      <c r="O128" s="285" t="s">
        <v>221</v>
      </c>
      <c r="P128" s="285" t="s">
        <v>221</v>
      </c>
      <c r="Q128" s="285" t="s">
        <v>221</v>
      </c>
      <c r="R128" s="285"/>
      <c r="S128" s="285"/>
      <c r="T128" s="285"/>
      <c r="U128" s="285"/>
      <c r="V128" s="285"/>
      <c r="W128" s="285"/>
      <c r="X128" s="285"/>
      <c r="Y128" s="285"/>
      <c r="Z128" s="285"/>
      <c r="AA128" s="285"/>
      <c r="AB128" s="285"/>
      <c r="AC128" s="285"/>
      <c r="AD128" s="285"/>
      <c r="AE128" s="285"/>
      <c r="AF128" s="285"/>
      <c r="AG128" s="285"/>
      <c r="AH128" s="285"/>
      <c r="AI128" s="285"/>
      <c r="AJ128" s="285"/>
      <c r="AK128" s="352"/>
    </row>
    <row r="129" spans="1:37" ht="14.25" customHeight="1" x14ac:dyDescent="0.45">
      <c r="A129" s="618">
        <v>4</v>
      </c>
      <c r="B129" s="215"/>
      <c r="C129" s="323" t="s">
        <v>908</v>
      </c>
      <c r="D129" s="285" t="s">
        <v>221</v>
      </c>
      <c r="E129" s="285" t="s">
        <v>221</v>
      </c>
      <c r="F129" s="285" t="s">
        <v>221</v>
      </c>
      <c r="G129" s="285" t="s">
        <v>221</v>
      </c>
      <c r="H129" s="285" t="s">
        <v>221</v>
      </c>
      <c r="I129" s="285" t="s">
        <v>221</v>
      </c>
      <c r="J129" s="285" t="s">
        <v>221</v>
      </c>
      <c r="K129" s="164" t="s">
        <v>221</v>
      </c>
      <c r="L129" s="285" t="s">
        <v>221</v>
      </c>
      <c r="M129" s="164">
        <f>120</f>
        <v>120</v>
      </c>
      <c r="N129" s="164">
        <v>320</v>
      </c>
      <c r="O129" s="285" t="s">
        <v>221</v>
      </c>
      <c r="P129" s="285" t="s">
        <v>221</v>
      </c>
      <c r="Q129" s="285" t="s">
        <v>221</v>
      </c>
      <c r="R129" s="285"/>
      <c r="S129" s="285"/>
      <c r="T129" s="285"/>
      <c r="U129" s="285"/>
      <c r="V129" s="285"/>
      <c r="W129" s="285"/>
      <c r="X129" s="285"/>
      <c r="Y129" s="285"/>
      <c r="Z129" s="285"/>
      <c r="AA129" s="285"/>
      <c r="AB129" s="285"/>
      <c r="AC129" s="285"/>
      <c r="AD129" s="285"/>
      <c r="AE129" s="285"/>
      <c r="AF129" s="285"/>
      <c r="AG129" s="285"/>
      <c r="AH129" s="285"/>
      <c r="AI129" s="285"/>
      <c r="AJ129" s="285"/>
      <c r="AK129" s="352"/>
    </row>
    <row r="130" spans="1:37" ht="14.25" customHeight="1" x14ac:dyDescent="0.45">
      <c r="A130" s="618" t="s">
        <v>909</v>
      </c>
      <c r="B130" s="215"/>
      <c r="C130" s="323" t="s">
        <v>271</v>
      </c>
      <c r="D130" s="285" t="s">
        <v>221</v>
      </c>
      <c r="E130" s="285" t="s">
        <v>221</v>
      </c>
      <c r="F130" s="285" t="s">
        <v>221</v>
      </c>
      <c r="G130" s="285" t="s">
        <v>221</v>
      </c>
      <c r="H130" s="285" t="s">
        <v>221</v>
      </c>
      <c r="I130" s="285" t="s">
        <v>221</v>
      </c>
      <c r="J130" s="285">
        <v>44.81</v>
      </c>
      <c r="K130" s="285" t="s">
        <v>221</v>
      </c>
      <c r="L130" s="285" t="s">
        <v>221</v>
      </c>
      <c r="M130" s="285" t="s">
        <v>221</v>
      </c>
      <c r="N130" s="285" t="s">
        <v>221</v>
      </c>
      <c r="O130" s="285" t="s">
        <v>221</v>
      </c>
      <c r="P130" s="285" t="s">
        <v>221</v>
      </c>
      <c r="Q130" s="285" t="s">
        <v>221</v>
      </c>
      <c r="R130" s="285"/>
      <c r="S130" s="285"/>
      <c r="T130" s="285"/>
      <c r="U130" s="285"/>
      <c r="V130" s="285"/>
      <c r="W130" s="285"/>
      <c r="X130" s="285"/>
      <c r="Y130" s="285"/>
      <c r="Z130" s="285"/>
      <c r="AA130" s="285"/>
      <c r="AB130" s="285"/>
      <c r="AC130" s="285"/>
      <c r="AD130" s="285"/>
      <c r="AE130" s="285"/>
      <c r="AF130" s="285"/>
      <c r="AG130" s="285"/>
      <c r="AH130" s="285"/>
      <c r="AI130" s="285"/>
      <c r="AJ130" s="285"/>
      <c r="AK130" s="352"/>
    </row>
    <row r="131" spans="1:37" ht="14.25" customHeight="1" x14ac:dyDescent="0.45">
      <c r="A131" s="618" t="s">
        <v>909</v>
      </c>
      <c r="B131" s="215"/>
      <c r="C131" s="323" t="s">
        <v>272</v>
      </c>
      <c r="D131" s="285" t="s">
        <v>221</v>
      </c>
      <c r="E131" s="285" t="s">
        <v>221</v>
      </c>
      <c r="F131" s="285" t="s">
        <v>221</v>
      </c>
      <c r="G131" s="285" t="s">
        <v>221</v>
      </c>
      <c r="H131" s="285" t="s">
        <v>221</v>
      </c>
      <c r="I131" s="285" t="s">
        <v>221</v>
      </c>
      <c r="J131" s="285">
        <v>149.30000000000001</v>
      </c>
      <c r="K131" s="285" t="s">
        <v>221</v>
      </c>
      <c r="L131" s="164">
        <v>130</v>
      </c>
      <c r="M131" s="285" t="s">
        <v>221</v>
      </c>
      <c r="N131" s="285" t="s">
        <v>221</v>
      </c>
      <c r="O131" s="285" t="s">
        <v>221</v>
      </c>
      <c r="P131" s="285" t="s">
        <v>221</v>
      </c>
      <c r="Q131" s="285" t="s">
        <v>221</v>
      </c>
      <c r="R131" s="285"/>
      <c r="S131" s="285"/>
      <c r="T131" s="285"/>
      <c r="U131" s="285"/>
      <c r="V131" s="285"/>
      <c r="W131" s="285"/>
      <c r="X131" s="285"/>
      <c r="Y131" s="285"/>
      <c r="Z131" s="285"/>
      <c r="AA131" s="285"/>
      <c r="AB131" s="285"/>
      <c r="AC131" s="285"/>
      <c r="AD131" s="285"/>
      <c r="AE131" s="285"/>
      <c r="AF131" s="285"/>
      <c r="AG131" s="285"/>
      <c r="AH131" s="285"/>
      <c r="AI131" s="285"/>
      <c r="AJ131" s="285"/>
      <c r="AK131" s="352"/>
    </row>
    <row r="132" spans="1:37" ht="14.25" customHeight="1" x14ac:dyDescent="0.45">
      <c r="A132" s="618" t="s">
        <v>909</v>
      </c>
      <c r="B132" s="215"/>
      <c r="C132" s="323" t="s">
        <v>273</v>
      </c>
      <c r="D132" s="285" t="s">
        <v>221</v>
      </c>
      <c r="E132" s="285" t="s">
        <v>221</v>
      </c>
      <c r="F132" s="285" t="s">
        <v>221</v>
      </c>
      <c r="G132" s="285" t="s">
        <v>221</v>
      </c>
      <c r="H132" s="285" t="s">
        <v>221</v>
      </c>
      <c r="I132" s="285" t="s">
        <v>221</v>
      </c>
      <c r="J132" s="285">
        <v>317.60000000000002</v>
      </c>
      <c r="K132" s="285" t="s">
        <v>221</v>
      </c>
      <c r="L132" s="164">
        <v>270</v>
      </c>
      <c r="M132" s="285" t="s">
        <v>221</v>
      </c>
      <c r="N132" s="285" t="s">
        <v>221</v>
      </c>
      <c r="O132" s="285" t="s">
        <v>221</v>
      </c>
      <c r="P132" s="285" t="s">
        <v>221</v>
      </c>
      <c r="Q132" s="285" t="s">
        <v>221</v>
      </c>
      <c r="R132" s="285"/>
      <c r="S132" s="285"/>
      <c r="T132" s="285"/>
      <c r="U132" s="285"/>
      <c r="V132" s="285"/>
      <c r="W132" s="285"/>
      <c r="X132" s="285"/>
      <c r="Y132" s="285"/>
      <c r="Z132" s="285"/>
      <c r="AA132" s="285"/>
      <c r="AB132" s="285"/>
      <c r="AC132" s="285"/>
      <c r="AD132" s="285"/>
      <c r="AE132" s="285"/>
      <c r="AF132" s="285"/>
      <c r="AG132" s="285"/>
      <c r="AH132" s="285"/>
      <c r="AI132" s="285"/>
      <c r="AJ132" s="285"/>
      <c r="AK132" s="352"/>
    </row>
    <row r="133" spans="1:37" ht="14.25" customHeight="1" x14ac:dyDescent="0.45">
      <c r="A133" s="618">
        <v>5</v>
      </c>
      <c r="B133" s="215"/>
      <c r="C133" s="323" t="s">
        <v>274</v>
      </c>
      <c r="D133" s="285" t="s">
        <v>221</v>
      </c>
      <c r="E133" s="285" t="s">
        <v>221</v>
      </c>
      <c r="F133" s="285" t="s">
        <v>221</v>
      </c>
      <c r="G133" s="285" t="s">
        <v>221</v>
      </c>
      <c r="H133" s="285" t="s">
        <v>221</v>
      </c>
      <c r="I133" s="285" t="s">
        <v>221</v>
      </c>
      <c r="J133" s="285" t="s">
        <v>221</v>
      </c>
      <c r="K133" s="285" t="s">
        <v>221</v>
      </c>
      <c r="L133" s="285" t="s">
        <v>221</v>
      </c>
      <c r="M133" s="285" t="s">
        <v>221</v>
      </c>
      <c r="N133" s="285" t="s">
        <v>221</v>
      </c>
      <c r="O133" s="285" t="s">
        <v>221</v>
      </c>
      <c r="P133" s="285" t="s">
        <v>221</v>
      </c>
      <c r="Q133" s="285" t="s">
        <v>221</v>
      </c>
      <c r="R133" s="285"/>
      <c r="S133" s="285"/>
      <c r="T133" s="285"/>
      <c r="U133" s="285"/>
      <c r="V133" s="285"/>
      <c r="W133" s="285"/>
      <c r="X133" s="285"/>
      <c r="Y133" s="285"/>
      <c r="Z133" s="285"/>
      <c r="AA133" s="285"/>
      <c r="AB133" s="285"/>
      <c r="AC133" s="285"/>
      <c r="AD133" s="285"/>
      <c r="AE133" s="285"/>
      <c r="AF133" s="285"/>
      <c r="AG133" s="285"/>
      <c r="AH133" s="285"/>
      <c r="AI133" s="285"/>
      <c r="AJ133" s="285"/>
      <c r="AK133" s="352"/>
    </row>
    <row r="134" spans="1:37" ht="14.25" customHeight="1" x14ac:dyDescent="0.45">
      <c r="A134" s="618"/>
      <c r="B134" s="215"/>
      <c r="C134" s="221"/>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c r="AA134" s="285"/>
      <c r="AB134" s="285"/>
      <c r="AC134" s="285"/>
      <c r="AD134" s="285"/>
      <c r="AE134" s="285"/>
      <c r="AF134" s="285"/>
      <c r="AG134" s="285"/>
      <c r="AH134" s="285"/>
      <c r="AI134" s="285"/>
      <c r="AJ134" s="285"/>
      <c r="AK134" s="352"/>
    </row>
    <row r="135" spans="1:37" ht="14.25" customHeight="1" x14ac:dyDescent="0.45">
      <c r="A135" s="618"/>
      <c r="B135" s="215"/>
      <c r="C135" s="221" t="s">
        <v>275</v>
      </c>
      <c r="D135" s="285">
        <f t="shared" ref="D135:Q135" si="0">SUM(D105:D107,D109:D114,D116:D121,D122:D127,D128:D133)</f>
        <v>13073.8</v>
      </c>
      <c r="E135" s="285">
        <f t="shared" si="0"/>
        <v>0</v>
      </c>
      <c r="F135" s="285">
        <f t="shared" si="0"/>
        <v>5.95</v>
      </c>
      <c r="G135" s="285">
        <f t="shared" si="0"/>
        <v>7.59</v>
      </c>
      <c r="H135" s="285">
        <f t="shared" si="0"/>
        <v>79</v>
      </c>
      <c r="I135" s="285">
        <f t="shared" si="0"/>
        <v>264.39999999999998</v>
      </c>
      <c r="J135" s="285">
        <f t="shared" si="0"/>
        <v>1069.9099999999999</v>
      </c>
      <c r="K135" s="285">
        <f t="shared" si="0"/>
        <v>79.180000000000007</v>
      </c>
      <c r="L135" s="285">
        <f t="shared" si="0"/>
        <v>800</v>
      </c>
      <c r="M135" s="285">
        <f t="shared" si="0"/>
        <v>220</v>
      </c>
      <c r="N135" s="285">
        <f t="shared" si="0"/>
        <v>564</v>
      </c>
      <c r="O135" s="285">
        <f t="shared" si="0"/>
        <v>0</v>
      </c>
      <c r="P135" s="285">
        <f t="shared" si="0"/>
        <v>595.6</v>
      </c>
      <c r="Q135" s="285">
        <f t="shared" si="0"/>
        <v>0</v>
      </c>
      <c r="R135" s="285"/>
      <c r="S135" s="285"/>
      <c r="T135" s="285"/>
      <c r="U135" s="285"/>
      <c r="V135" s="285"/>
      <c r="W135" s="285"/>
      <c r="X135" s="285"/>
      <c r="Y135" s="285"/>
      <c r="Z135" s="285"/>
      <c r="AA135" s="285"/>
      <c r="AB135" s="285"/>
      <c r="AC135" s="285"/>
      <c r="AD135" s="285"/>
      <c r="AE135" s="285"/>
      <c r="AF135" s="285"/>
      <c r="AG135" s="285"/>
      <c r="AH135" s="285"/>
      <c r="AI135" s="285"/>
      <c r="AJ135" s="285"/>
      <c r="AK135" s="352"/>
    </row>
    <row r="136" spans="1:37" ht="14.25" customHeight="1" x14ac:dyDescent="0.45">
      <c r="A136" s="618"/>
      <c r="B136" s="215"/>
      <c r="C136" s="353"/>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c r="AA136" s="220"/>
      <c r="AB136" s="220"/>
      <c r="AC136" s="220"/>
      <c r="AD136" s="220"/>
      <c r="AE136" s="220"/>
      <c r="AF136" s="220"/>
      <c r="AG136" s="220"/>
      <c r="AH136" s="220"/>
      <c r="AI136" s="220"/>
      <c r="AJ136" s="220"/>
      <c r="AK136" s="352"/>
    </row>
    <row r="137" spans="1:37" ht="14.25" customHeight="1" x14ac:dyDescent="0.45">
      <c r="A137" s="618"/>
      <c r="B137" s="215"/>
      <c r="C137" s="243" t="s">
        <v>910</v>
      </c>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352"/>
    </row>
    <row r="138" spans="1:37" ht="14.25" customHeight="1" x14ac:dyDescent="0.45">
      <c r="A138" s="618"/>
      <c r="B138" s="215"/>
      <c r="C138" s="221" t="s">
        <v>220</v>
      </c>
      <c r="D138" s="285" t="s">
        <v>221</v>
      </c>
      <c r="E138" s="285" t="s">
        <v>221</v>
      </c>
      <c r="F138" s="285" t="s">
        <v>221</v>
      </c>
      <c r="G138" s="285"/>
      <c r="H138" s="285"/>
      <c r="I138" s="285"/>
      <c r="J138" s="285"/>
      <c r="K138" s="285"/>
      <c r="L138" s="285"/>
      <c r="M138" s="285"/>
      <c r="N138" s="285"/>
      <c r="O138" s="285"/>
      <c r="P138" s="285"/>
      <c r="Q138" s="285"/>
      <c r="R138" s="285"/>
      <c r="S138" s="285"/>
      <c r="T138" s="285"/>
      <c r="U138" s="285"/>
      <c r="V138" s="285"/>
      <c r="W138" s="285"/>
      <c r="X138" s="285"/>
      <c r="Y138" s="285"/>
      <c r="Z138" s="285"/>
      <c r="AA138" s="285"/>
      <c r="AB138" s="285"/>
      <c r="AC138" s="285"/>
      <c r="AD138" s="285"/>
      <c r="AE138" s="285"/>
      <c r="AF138" s="285"/>
      <c r="AG138" s="285"/>
      <c r="AH138" s="285"/>
      <c r="AI138" s="285"/>
      <c r="AJ138" s="285"/>
      <c r="AK138" s="352"/>
    </row>
    <row r="139" spans="1:37" ht="14.25" customHeight="1" x14ac:dyDescent="0.45">
      <c r="A139" s="618"/>
      <c r="B139" s="215"/>
      <c r="C139" s="221" t="s">
        <v>261</v>
      </c>
      <c r="D139" s="285" t="s">
        <v>221</v>
      </c>
      <c r="E139" s="285" t="s">
        <v>221</v>
      </c>
      <c r="F139" s="285" t="s">
        <v>221</v>
      </c>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352"/>
    </row>
    <row r="140" spans="1:37" ht="14.25" customHeight="1" x14ac:dyDescent="0.45">
      <c r="A140" s="618"/>
      <c r="B140" s="215"/>
      <c r="C140" s="221" t="s">
        <v>262</v>
      </c>
      <c r="D140" s="285" t="s">
        <v>221</v>
      </c>
      <c r="E140" s="285" t="s">
        <v>221</v>
      </c>
      <c r="F140" s="285" t="s">
        <v>221</v>
      </c>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H140" s="285"/>
      <c r="AI140" s="285"/>
      <c r="AJ140" s="285"/>
      <c r="AK140" s="352"/>
    </row>
    <row r="141" spans="1:37" ht="14.25" customHeight="1" x14ac:dyDescent="0.45">
      <c r="A141" s="618"/>
      <c r="B141" s="215"/>
      <c r="C141" s="221" t="s">
        <v>199</v>
      </c>
      <c r="D141" s="285" t="s">
        <v>221</v>
      </c>
      <c r="E141" s="285" t="s">
        <v>221</v>
      </c>
      <c r="F141" s="285" t="s">
        <v>221</v>
      </c>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352"/>
    </row>
    <row r="142" spans="1:37" ht="14.25" customHeight="1" x14ac:dyDescent="0.45">
      <c r="A142" s="618"/>
      <c r="B142" s="215"/>
      <c r="C142" s="221" t="s">
        <v>212</v>
      </c>
      <c r="D142" s="285" t="s">
        <v>221</v>
      </c>
      <c r="E142" s="285" t="s">
        <v>221</v>
      </c>
      <c r="F142" s="285" t="s">
        <v>221</v>
      </c>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352"/>
    </row>
    <row r="143" spans="1:37" ht="14.25" customHeight="1" x14ac:dyDescent="0.45">
      <c r="A143" s="618"/>
      <c r="B143" s="215"/>
      <c r="C143" s="221" t="s">
        <v>263</v>
      </c>
      <c r="D143" s="285" t="s">
        <v>221</v>
      </c>
      <c r="E143" s="285" t="s">
        <v>221</v>
      </c>
      <c r="F143" s="285" t="s">
        <v>221</v>
      </c>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352"/>
    </row>
    <row r="144" spans="1:37" ht="14.25" customHeight="1" x14ac:dyDescent="0.45">
      <c r="A144" s="618"/>
      <c r="B144" s="215"/>
      <c r="C144" s="221" t="s">
        <v>264</v>
      </c>
      <c r="D144" s="285" t="s">
        <v>221</v>
      </c>
      <c r="E144" s="285" t="s">
        <v>221</v>
      </c>
      <c r="F144" s="285" t="s">
        <v>221</v>
      </c>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285"/>
      <c r="AF144" s="285"/>
      <c r="AG144" s="285"/>
      <c r="AH144" s="285"/>
      <c r="AI144" s="285"/>
      <c r="AJ144" s="285"/>
      <c r="AK144" s="352"/>
    </row>
    <row r="145" spans="1:37" ht="14.25" customHeight="1" x14ac:dyDescent="0.45">
      <c r="A145" s="618"/>
      <c r="B145" s="215"/>
      <c r="C145" s="221" t="s">
        <v>265</v>
      </c>
      <c r="D145" s="285" t="s">
        <v>221</v>
      </c>
      <c r="E145" s="285" t="s">
        <v>221</v>
      </c>
      <c r="F145" s="285" t="s">
        <v>221</v>
      </c>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c r="AE145" s="285"/>
      <c r="AF145" s="285"/>
      <c r="AG145" s="285"/>
      <c r="AH145" s="285"/>
      <c r="AI145" s="285"/>
      <c r="AJ145" s="285"/>
      <c r="AK145" s="352"/>
    </row>
    <row r="146" spans="1:37" ht="14.25" customHeight="1" x14ac:dyDescent="0.45">
      <c r="A146" s="618"/>
      <c r="B146" s="215"/>
      <c r="C146" s="221" t="s">
        <v>266</v>
      </c>
      <c r="D146" s="285" t="s">
        <v>221</v>
      </c>
      <c r="E146" s="285" t="s">
        <v>221</v>
      </c>
      <c r="F146" s="285" t="s">
        <v>221</v>
      </c>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c r="AE146" s="285"/>
      <c r="AF146" s="285"/>
      <c r="AG146" s="285"/>
      <c r="AH146" s="285"/>
      <c r="AI146" s="285"/>
      <c r="AJ146" s="285"/>
      <c r="AK146" s="352"/>
    </row>
    <row r="147" spans="1:37" ht="14.25" customHeight="1" x14ac:dyDescent="0.45">
      <c r="A147" s="618"/>
      <c r="B147" s="215"/>
      <c r="C147" s="221" t="s">
        <v>267</v>
      </c>
      <c r="D147" s="285" t="s">
        <v>221</v>
      </c>
      <c r="E147" s="285" t="s">
        <v>221</v>
      </c>
      <c r="F147" s="285" t="s">
        <v>221</v>
      </c>
      <c r="G147" s="285"/>
      <c r="H147" s="285"/>
      <c r="I147" s="285"/>
      <c r="J147" s="285"/>
      <c r="K147" s="285"/>
      <c r="L147" s="285"/>
      <c r="M147" s="285"/>
      <c r="N147" s="285"/>
      <c r="O147" s="285"/>
      <c r="P147" s="285"/>
      <c r="Q147" s="285"/>
      <c r="R147" s="285"/>
      <c r="S147" s="285"/>
      <c r="T147" s="285"/>
      <c r="U147" s="285"/>
      <c r="V147" s="285"/>
      <c r="W147" s="285"/>
      <c r="X147" s="285"/>
      <c r="Y147" s="285"/>
      <c r="Z147" s="285"/>
      <c r="AA147" s="285"/>
      <c r="AB147" s="285"/>
      <c r="AC147" s="285"/>
      <c r="AD147" s="285"/>
      <c r="AE147" s="285"/>
      <c r="AF147" s="285"/>
      <c r="AG147" s="285"/>
      <c r="AH147" s="285"/>
      <c r="AI147" s="285"/>
      <c r="AJ147" s="285"/>
      <c r="AK147" s="352"/>
    </row>
    <row r="148" spans="1:37" ht="14.25" customHeight="1" x14ac:dyDescent="0.45">
      <c r="A148" s="618"/>
      <c r="B148" s="215"/>
      <c r="C148" s="221" t="s">
        <v>268</v>
      </c>
      <c r="D148" s="285" t="s">
        <v>221</v>
      </c>
      <c r="E148" s="285" t="s">
        <v>221</v>
      </c>
      <c r="F148" s="285" t="s">
        <v>221</v>
      </c>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285"/>
      <c r="AJ148" s="285"/>
      <c r="AK148" s="352"/>
    </row>
    <row r="149" spans="1:37" ht="14.25" customHeight="1" x14ac:dyDescent="0.45">
      <c r="A149" s="618"/>
      <c r="B149" s="215"/>
      <c r="C149" s="221"/>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c r="AA149" s="285"/>
      <c r="AB149" s="285"/>
      <c r="AC149" s="285"/>
      <c r="AD149" s="285"/>
      <c r="AE149" s="285"/>
      <c r="AF149" s="285"/>
      <c r="AG149" s="285"/>
      <c r="AH149" s="285"/>
      <c r="AI149" s="285"/>
      <c r="AJ149" s="285"/>
      <c r="AK149" s="352"/>
    </row>
    <row r="150" spans="1:37" ht="14.25" customHeight="1" x14ac:dyDescent="0.45">
      <c r="A150" s="618"/>
      <c r="B150" s="215"/>
      <c r="C150" s="221" t="s">
        <v>275</v>
      </c>
      <c r="D150" s="285"/>
      <c r="E150" s="285"/>
      <c r="F150" s="285"/>
      <c r="G150" s="285"/>
      <c r="H150" s="285"/>
      <c r="I150" s="285"/>
      <c r="J150" s="285"/>
      <c r="K150" s="285"/>
      <c r="L150" s="285"/>
      <c r="M150" s="285"/>
      <c r="N150" s="285"/>
      <c r="O150" s="285"/>
      <c r="P150" s="285"/>
      <c r="Q150" s="285"/>
      <c r="R150" s="285"/>
      <c r="S150" s="285"/>
      <c r="T150" s="285"/>
      <c r="U150" s="285"/>
      <c r="V150" s="285"/>
      <c r="W150" s="285"/>
      <c r="X150" s="285"/>
      <c r="Y150" s="285"/>
      <c r="Z150" s="285"/>
      <c r="AA150" s="285"/>
      <c r="AB150" s="285"/>
      <c r="AC150" s="285"/>
      <c r="AD150" s="285"/>
      <c r="AE150" s="285"/>
      <c r="AF150" s="285"/>
      <c r="AG150" s="285"/>
      <c r="AH150" s="285"/>
      <c r="AI150" s="285"/>
      <c r="AJ150" s="285"/>
      <c r="AK150" s="352"/>
    </row>
    <row r="151" spans="1:37" ht="14.25" customHeight="1" x14ac:dyDescent="0.45">
      <c r="A151" s="618"/>
      <c r="B151" s="215"/>
      <c r="C151" s="353"/>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c r="AA151" s="220"/>
      <c r="AB151" s="220"/>
      <c r="AC151" s="220"/>
      <c r="AD151" s="220"/>
      <c r="AE151" s="220"/>
      <c r="AF151" s="220"/>
      <c r="AG151" s="220"/>
      <c r="AH151" s="220"/>
      <c r="AI151" s="220"/>
      <c r="AJ151" s="220"/>
      <c r="AK151" s="352"/>
    </row>
    <row r="152" spans="1:37" ht="14.25" customHeight="1" x14ac:dyDescent="0.45">
      <c r="A152" s="618">
        <v>2</v>
      </c>
      <c r="B152" s="215"/>
      <c r="C152" s="243" t="s">
        <v>278</v>
      </c>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c r="AE152" s="285"/>
      <c r="AF152" s="285"/>
      <c r="AG152" s="285"/>
      <c r="AH152" s="285"/>
      <c r="AI152" s="285"/>
      <c r="AJ152" s="285"/>
      <c r="AK152" s="352"/>
    </row>
    <row r="153" spans="1:37" ht="14.25" customHeight="1" x14ac:dyDescent="0.45">
      <c r="A153" s="618"/>
      <c r="B153" s="215"/>
      <c r="C153" s="221" t="s">
        <v>166</v>
      </c>
      <c r="D153" s="285">
        <v>20</v>
      </c>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c r="AA153" s="285"/>
      <c r="AB153" s="285"/>
      <c r="AC153" s="285"/>
      <c r="AD153" s="285"/>
      <c r="AE153" s="285"/>
      <c r="AF153" s="285"/>
      <c r="AG153" s="285"/>
      <c r="AH153" s="285"/>
      <c r="AI153" s="285"/>
      <c r="AJ153" s="285"/>
      <c r="AK153" s="352"/>
    </row>
    <row r="154" spans="1:37" ht="14.25" customHeight="1" x14ac:dyDescent="0.45">
      <c r="A154" s="618"/>
      <c r="B154" s="215"/>
      <c r="C154" s="221" t="s">
        <v>281</v>
      </c>
      <c r="D154" s="285">
        <v>15</v>
      </c>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c r="AE154" s="285"/>
      <c r="AF154" s="285"/>
      <c r="AG154" s="285"/>
      <c r="AH154" s="285"/>
      <c r="AI154" s="285"/>
      <c r="AJ154" s="285"/>
      <c r="AK154" s="352"/>
    </row>
    <row r="155" spans="1:37" ht="14.25" customHeight="1" x14ac:dyDescent="0.45">
      <c r="A155" s="618"/>
      <c r="B155" s="215"/>
      <c r="C155" s="221" t="s">
        <v>282</v>
      </c>
      <c r="D155" s="285">
        <v>30</v>
      </c>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G155" s="285"/>
      <c r="AH155" s="285"/>
      <c r="AI155" s="285"/>
      <c r="AJ155" s="285"/>
      <c r="AK155" s="352"/>
    </row>
    <row r="156" spans="1:37" ht="14.25" customHeight="1" x14ac:dyDescent="0.45">
      <c r="A156" s="618"/>
      <c r="B156" s="215"/>
      <c r="C156" s="221" t="s">
        <v>283</v>
      </c>
      <c r="D156" s="285">
        <v>75</v>
      </c>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c r="AE156" s="285"/>
      <c r="AF156" s="285"/>
      <c r="AG156" s="285"/>
      <c r="AH156" s="285"/>
      <c r="AI156" s="285"/>
      <c r="AJ156" s="285"/>
      <c r="AK156" s="352"/>
    </row>
    <row r="157" spans="1:37" ht="14.25" customHeight="1" x14ac:dyDescent="0.45">
      <c r="A157" s="618"/>
      <c r="B157" s="215"/>
      <c r="C157" s="221" t="s">
        <v>285</v>
      </c>
      <c r="D157" s="285">
        <v>75</v>
      </c>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c r="AA157" s="285"/>
      <c r="AB157" s="285"/>
      <c r="AC157" s="285"/>
      <c r="AD157" s="285"/>
      <c r="AE157" s="285"/>
      <c r="AF157" s="285"/>
      <c r="AG157" s="285"/>
      <c r="AH157" s="285"/>
      <c r="AI157" s="285"/>
      <c r="AJ157" s="285"/>
      <c r="AK157" s="352"/>
    </row>
    <row r="158" spans="1:37" ht="14.25" customHeight="1" x14ac:dyDescent="0.45">
      <c r="A158" s="618"/>
      <c r="B158" s="215"/>
      <c r="C158" s="221" t="s">
        <v>286</v>
      </c>
      <c r="D158" s="285">
        <v>15</v>
      </c>
      <c r="E158" s="285"/>
      <c r="F158" s="285"/>
      <c r="G158" s="285"/>
      <c r="H158" s="285"/>
      <c r="I158" s="285"/>
      <c r="J158" s="285"/>
      <c r="K158" s="285"/>
      <c r="L158" s="285"/>
      <c r="M158" s="285"/>
      <c r="N158" s="285"/>
      <c r="O158" s="285"/>
      <c r="P158" s="285"/>
      <c r="Q158" s="285"/>
      <c r="R158" s="285"/>
      <c r="S158" s="285"/>
      <c r="T158" s="285"/>
      <c r="U158" s="285"/>
      <c r="V158" s="285"/>
      <c r="W158" s="285"/>
      <c r="X158" s="285"/>
      <c r="Y158" s="285"/>
      <c r="Z158" s="285"/>
      <c r="AA158" s="285"/>
      <c r="AB158" s="285"/>
      <c r="AC158" s="285"/>
      <c r="AD158" s="285"/>
      <c r="AE158" s="285"/>
      <c r="AF158" s="285"/>
      <c r="AG158" s="285"/>
      <c r="AH158" s="285"/>
      <c r="AI158" s="285"/>
      <c r="AJ158" s="285"/>
      <c r="AK158" s="352"/>
    </row>
    <row r="159" spans="1:37" ht="14.25" customHeight="1" x14ac:dyDescent="0.45">
      <c r="A159" s="618"/>
      <c r="B159" s="215"/>
      <c r="C159" s="221" t="s">
        <v>287</v>
      </c>
      <c r="D159" s="285">
        <v>25</v>
      </c>
      <c r="E159" s="285"/>
      <c r="F159" s="285"/>
      <c r="G159" s="285"/>
      <c r="H159" s="285"/>
      <c r="I159" s="285"/>
      <c r="J159" s="285"/>
      <c r="K159" s="285"/>
      <c r="L159" s="285"/>
      <c r="M159" s="285"/>
      <c r="N159" s="285"/>
      <c r="O159" s="285"/>
      <c r="P159" s="285"/>
      <c r="Q159" s="285"/>
      <c r="R159" s="285"/>
      <c r="S159" s="285"/>
      <c r="T159" s="285"/>
      <c r="U159" s="285"/>
      <c r="V159" s="285"/>
      <c r="W159" s="285"/>
      <c r="X159" s="285"/>
      <c r="Y159" s="285"/>
      <c r="Z159" s="285"/>
      <c r="AA159" s="285"/>
      <c r="AB159" s="285"/>
      <c r="AC159" s="285"/>
      <c r="AD159" s="285"/>
      <c r="AE159" s="285"/>
      <c r="AF159" s="285"/>
      <c r="AG159" s="285"/>
      <c r="AH159" s="285"/>
      <c r="AI159" s="285"/>
      <c r="AJ159" s="285"/>
      <c r="AK159" s="352"/>
    </row>
    <row r="160" spans="1:37" ht="14.25" customHeight="1" x14ac:dyDescent="0.45">
      <c r="A160" s="618"/>
      <c r="B160" s="215"/>
      <c r="C160" s="221" t="s">
        <v>288</v>
      </c>
      <c r="D160" s="285">
        <v>20</v>
      </c>
      <c r="E160" s="285"/>
      <c r="F160" s="285"/>
      <c r="G160" s="285"/>
      <c r="H160" s="285"/>
      <c r="I160" s="285"/>
      <c r="J160" s="285"/>
      <c r="K160" s="285"/>
      <c r="L160" s="285"/>
      <c r="M160" s="285"/>
      <c r="N160" s="285"/>
      <c r="O160" s="285"/>
      <c r="P160" s="285"/>
      <c r="Q160" s="285"/>
      <c r="R160" s="285"/>
      <c r="S160" s="285"/>
      <c r="T160" s="285"/>
      <c r="U160" s="285"/>
      <c r="V160" s="285"/>
      <c r="W160" s="285"/>
      <c r="X160" s="285"/>
      <c r="Y160" s="285"/>
      <c r="Z160" s="285"/>
      <c r="AA160" s="285"/>
      <c r="AB160" s="285"/>
      <c r="AC160" s="285"/>
      <c r="AD160" s="285"/>
      <c r="AE160" s="285"/>
      <c r="AF160" s="285"/>
      <c r="AG160" s="285"/>
      <c r="AH160" s="285"/>
      <c r="AI160" s="285"/>
      <c r="AJ160" s="285"/>
      <c r="AK160" s="352"/>
    </row>
    <row r="161" spans="1:37" ht="14.25" customHeight="1" x14ac:dyDescent="0.45">
      <c r="A161" s="618"/>
      <c r="B161" s="215"/>
      <c r="C161" s="221" t="s">
        <v>289</v>
      </c>
      <c r="D161" s="285">
        <v>40</v>
      </c>
      <c r="E161" s="285"/>
      <c r="F161" s="285"/>
      <c r="G161" s="285"/>
      <c r="H161" s="285"/>
      <c r="I161" s="285"/>
      <c r="J161" s="285"/>
      <c r="K161" s="285"/>
      <c r="L161" s="285"/>
      <c r="M161" s="285"/>
      <c r="N161" s="285"/>
      <c r="O161" s="285"/>
      <c r="P161" s="285"/>
      <c r="Q161" s="285"/>
      <c r="R161" s="285"/>
      <c r="S161" s="285"/>
      <c r="T161" s="285"/>
      <c r="U161" s="285"/>
      <c r="V161" s="285"/>
      <c r="W161" s="285"/>
      <c r="X161" s="285"/>
      <c r="Y161" s="285"/>
      <c r="Z161" s="285"/>
      <c r="AA161" s="285"/>
      <c r="AB161" s="285"/>
      <c r="AC161" s="285"/>
      <c r="AD161" s="285"/>
      <c r="AE161" s="285"/>
      <c r="AF161" s="285"/>
      <c r="AG161" s="285"/>
      <c r="AH161" s="285"/>
      <c r="AI161" s="285"/>
      <c r="AJ161" s="285"/>
      <c r="AK161" s="352"/>
    </row>
    <row r="162" spans="1:37" ht="14.25" customHeight="1" x14ac:dyDescent="0.45">
      <c r="A162" s="618"/>
      <c r="B162" s="215"/>
      <c r="C162" s="221" t="s">
        <v>290</v>
      </c>
      <c r="D162" s="285">
        <v>30</v>
      </c>
      <c r="E162" s="285"/>
      <c r="F162" s="285"/>
      <c r="G162" s="285"/>
      <c r="H162" s="285"/>
      <c r="I162" s="285"/>
      <c r="J162" s="285"/>
      <c r="K162" s="285"/>
      <c r="L162" s="285"/>
      <c r="M162" s="285"/>
      <c r="N162" s="285"/>
      <c r="O162" s="285"/>
      <c r="P162" s="285"/>
      <c r="Q162" s="285"/>
      <c r="R162" s="285"/>
      <c r="S162" s="285"/>
      <c r="T162" s="285"/>
      <c r="U162" s="285"/>
      <c r="V162" s="285"/>
      <c r="W162" s="285"/>
      <c r="X162" s="285"/>
      <c r="Y162" s="285"/>
      <c r="Z162" s="285"/>
      <c r="AA162" s="285"/>
      <c r="AB162" s="285"/>
      <c r="AC162" s="285"/>
      <c r="AD162" s="285"/>
      <c r="AE162" s="285"/>
      <c r="AF162" s="285"/>
      <c r="AG162" s="285"/>
      <c r="AH162" s="285"/>
      <c r="AI162" s="285"/>
      <c r="AJ162" s="285"/>
      <c r="AK162" s="352"/>
    </row>
    <row r="163" spans="1:37" ht="14.25" customHeight="1" x14ac:dyDescent="0.45">
      <c r="A163" s="618"/>
      <c r="B163" s="215"/>
      <c r="C163" s="221" t="s">
        <v>291</v>
      </c>
      <c r="D163" s="285" t="s">
        <v>221</v>
      </c>
      <c r="E163" s="285"/>
      <c r="F163" s="285"/>
      <c r="G163" s="285"/>
      <c r="H163" s="285"/>
      <c r="I163" s="285"/>
      <c r="J163" s="285"/>
      <c r="K163" s="285"/>
      <c r="L163" s="285"/>
      <c r="M163" s="285"/>
      <c r="N163" s="285"/>
      <c r="O163" s="285"/>
      <c r="P163" s="285"/>
      <c r="Q163" s="285"/>
      <c r="R163" s="285"/>
      <c r="S163" s="285"/>
      <c r="T163" s="285"/>
      <c r="U163" s="285"/>
      <c r="V163" s="285"/>
      <c r="W163" s="285"/>
      <c r="X163" s="285"/>
      <c r="Y163" s="285"/>
      <c r="Z163" s="285"/>
      <c r="AA163" s="285"/>
      <c r="AB163" s="285"/>
      <c r="AC163" s="285"/>
      <c r="AD163" s="285"/>
      <c r="AE163" s="285"/>
      <c r="AF163" s="285"/>
      <c r="AG163" s="285"/>
      <c r="AH163" s="285"/>
      <c r="AI163" s="285"/>
      <c r="AJ163" s="285"/>
      <c r="AK163" s="352"/>
    </row>
    <row r="164" spans="1:37" ht="14.25" customHeight="1" x14ac:dyDescent="0.45">
      <c r="A164" s="618"/>
      <c r="B164" s="215"/>
      <c r="C164" s="323" t="s">
        <v>292</v>
      </c>
      <c r="D164" s="285">
        <v>25</v>
      </c>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c r="AA164" s="285"/>
      <c r="AB164" s="285"/>
      <c r="AC164" s="285"/>
      <c r="AD164" s="285"/>
      <c r="AE164" s="285"/>
      <c r="AF164" s="285"/>
      <c r="AG164" s="285"/>
      <c r="AH164" s="285"/>
      <c r="AI164" s="285"/>
      <c r="AJ164" s="285"/>
      <c r="AK164" s="352"/>
    </row>
    <row r="165" spans="1:37" ht="14.25" customHeight="1" x14ac:dyDescent="0.45">
      <c r="A165" s="618"/>
      <c r="B165" s="215"/>
      <c r="C165" s="323" t="s">
        <v>293</v>
      </c>
      <c r="D165" s="285">
        <v>21</v>
      </c>
      <c r="E165" s="285"/>
      <c r="F165" s="285"/>
      <c r="G165" s="285"/>
      <c r="H165" s="285"/>
      <c r="I165" s="285"/>
      <c r="J165" s="285"/>
      <c r="K165" s="285"/>
      <c r="L165" s="285"/>
      <c r="M165" s="285"/>
      <c r="N165" s="285"/>
      <c r="O165" s="285"/>
      <c r="P165" s="285"/>
      <c r="Q165" s="285"/>
      <c r="R165" s="285"/>
      <c r="S165" s="285"/>
      <c r="T165" s="285"/>
      <c r="U165" s="285"/>
      <c r="V165" s="285"/>
      <c r="W165" s="285"/>
      <c r="X165" s="285"/>
      <c r="Y165" s="285"/>
      <c r="Z165" s="285"/>
      <c r="AA165" s="285"/>
      <c r="AB165" s="285"/>
      <c r="AC165" s="285"/>
      <c r="AD165" s="285"/>
      <c r="AE165" s="285"/>
      <c r="AF165" s="285"/>
      <c r="AG165" s="285"/>
      <c r="AH165" s="285"/>
      <c r="AI165" s="285"/>
      <c r="AJ165" s="285"/>
      <c r="AK165" s="352"/>
    </row>
    <row r="166" spans="1:37" ht="14.25" customHeight="1" x14ac:dyDescent="0.45">
      <c r="A166" s="618"/>
      <c r="B166" s="215"/>
      <c r="C166" s="323" t="s">
        <v>294</v>
      </c>
      <c r="D166" s="285">
        <v>20</v>
      </c>
      <c r="E166" s="285"/>
      <c r="F166" s="285"/>
      <c r="G166" s="285"/>
      <c r="H166" s="285"/>
      <c r="I166" s="285"/>
      <c r="J166" s="285"/>
      <c r="K166" s="285"/>
      <c r="L166" s="285"/>
      <c r="M166" s="285"/>
      <c r="N166" s="285"/>
      <c r="O166" s="285"/>
      <c r="P166" s="285"/>
      <c r="Q166" s="285"/>
      <c r="R166" s="285"/>
      <c r="S166" s="285"/>
      <c r="T166" s="285"/>
      <c r="U166" s="285"/>
      <c r="V166" s="285"/>
      <c r="W166" s="285"/>
      <c r="X166" s="285"/>
      <c r="Y166" s="285"/>
      <c r="Z166" s="285"/>
      <c r="AA166" s="285"/>
      <c r="AB166" s="285"/>
      <c r="AC166" s="285"/>
      <c r="AD166" s="285"/>
      <c r="AE166" s="285"/>
      <c r="AF166" s="285"/>
      <c r="AG166" s="285"/>
      <c r="AH166" s="285"/>
      <c r="AI166" s="285"/>
      <c r="AJ166" s="285"/>
      <c r="AK166" s="352"/>
    </row>
    <row r="167" spans="1:37" ht="14.25" customHeight="1" x14ac:dyDescent="0.45">
      <c r="A167" s="618"/>
      <c r="B167" s="215"/>
      <c r="C167" s="323" t="s">
        <v>295</v>
      </c>
      <c r="D167" s="285">
        <v>20</v>
      </c>
      <c r="E167" s="285"/>
      <c r="F167" s="285"/>
      <c r="G167" s="285"/>
      <c r="H167" s="285"/>
      <c r="I167" s="285"/>
      <c r="J167" s="285"/>
      <c r="K167" s="285"/>
      <c r="L167" s="285"/>
      <c r="M167" s="285"/>
      <c r="N167" s="285"/>
      <c r="O167" s="285"/>
      <c r="P167" s="285"/>
      <c r="Q167" s="285"/>
      <c r="R167" s="285"/>
      <c r="S167" s="285"/>
      <c r="T167" s="285"/>
      <c r="U167" s="285"/>
      <c r="V167" s="285"/>
      <c r="W167" s="285"/>
      <c r="X167" s="285"/>
      <c r="Y167" s="285"/>
      <c r="Z167" s="285"/>
      <c r="AA167" s="285"/>
      <c r="AB167" s="285"/>
      <c r="AC167" s="285"/>
      <c r="AD167" s="285"/>
      <c r="AE167" s="285"/>
      <c r="AF167" s="285"/>
      <c r="AG167" s="285"/>
      <c r="AH167" s="285"/>
      <c r="AI167" s="285"/>
      <c r="AJ167" s="285"/>
      <c r="AK167" s="352"/>
    </row>
    <row r="168" spans="1:37" ht="14.25" customHeight="1" x14ac:dyDescent="0.45">
      <c r="A168" s="618"/>
      <c r="B168" s="215"/>
      <c r="C168" s="323" t="s">
        <v>296</v>
      </c>
      <c r="D168" s="285">
        <v>30</v>
      </c>
      <c r="E168" s="285"/>
      <c r="F168" s="285"/>
      <c r="G168" s="285"/>
      <c r="H168" s="285"/>
      <c r="I168" s="285"/>
      <c r="J168" s="285"/>
      <c r="K168" s="285"/>
      <c r="L168" s="285"/>
      <c r="M168" s="285"/>
      <c r="N168" s="285"/>
      <c r="O168" s="285"/>
      <c r="P168" s="285"/>
      <c r="Q168" s="285"/>
      <c r="R168" s="285"/>
      <c r="S168" s="285"/>
      <c r="T168" s="285"/>
      <c r="U168" s="285"/>
      <c r="V168" s="285"/>
      <c r="W168" s="285"/>
      <c r="X168" s="285"/>
      <c r="Y168" s="285"/>
      <c r="Z168" s="285"/>
      <c r="AA168" s="285"/>
      <c r="AB168" s="285"/>
      <c r="AC168" s="285"/>
      <c r="AD168" s="285"/>
      <c r="AE168" s="285"/>
      <c r="AF168" s="285"/>
      <c r="AG168" s="285"/>
      <c r="AH168" s="285"/>
      <c r="AI168" s="285"/>
      <c r="AJ168" s="285"/>
      <c r="AK168" s="352"/>
    </row>
    <row r="169" spans="1:37" ht="14.25" customHeight="1" x14ac:dyDescent="0.45">
      <c r="A169" s="618"/>
      <c r="B169" s="215"/>
      <c r="C169" s="353"/>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c r="AH169" s="220"/>
      <c r="AI169" s="220"/>
      <c r="AJ169" s="220"/>
      <c r="AK169" s="352"/>
    </row>
    <row r="170" spans="1:37" ht="14.25" customHeight="1" x14ac:dyDescent="0.45">
      <c r="A170" s="618"/>
      <c r="B170" s="215"/>
      <c r="C170" s="243" t="s">
        <v>298</v>
      </c>
      <c r="D170" s="285"/>
      <c r="E170" s="285"/>
      <c r="F170" s="285"/>
      <c r="G170" s="285"/>
      <c r="H170" s="285"/>
      <c r="I170" s="285"/>
      <c r="J170" s="285"/>
      <c r="K170" s="285"/>
      <c r="L170" s="285"/>
      <c r="M170" s="285"/>
      <c r="N170" s="285"/>
      <c r="O170" s="285"/>
      <c r="P170" s="285"/>
      <c r="Q170" s="285"/>
      <c r="R170" s="285"/>
      <c r="S170" s="285"/>
      <c r="T170" s="285"/>
      <c r="U170" s="285"/>
      <c r="V170" s="285"/>
      <c r="W170" s="285"/>
      <c r="X170" s="285"/>
      <c r="Y170" s="285"/>
      <c r="Z170" s="285"/>
      <c r="AA170" s="285"/>
      <c r="AB170" s="285"/>
      <c r="AC170" s="285"/>
      <c r="AD170" s="285"/>
      <c r="AE170" s="285"/>
      <c r="AF170" s="285"/>
      <c r="AG170" s="285"/>
      <c r="AH170" s="285"/>
      <c r="AI170" s="285"/>
      <c r="AJ170" s="285"/>
      <c r="AK170" s="352"/>
    </row>
    <row r="171" spans="1:37" ht="14.25" customHeight="1" x14ac:dyDescent="0.45">
      <c r="A171" s="618"/>
      <c r="B171" s="215"/>
      <c r="C171" s="221" t="s">
        <v>895</v>
      </c>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c r="AA171" s="285"/>
      <c r="AB171" s="285"/>
      <c r="AC171" s="285"/>
      <c r="AD171" s="285"/>
      <c r="AE171" s="285"/>
      <c r="AF171" s="285"/>
      <c r="AG171" s="285"/>
      <c r="AH171" s="285"/>
      <c r="AI171" s="285"/>
      <c r="AJ171" s="285"/>
      <c r="AK171" s="352"/>
    </row>
    <row r="172" spans="1:37" ht="14.25" customHeight="1" x14ac:dyDescent="0.45">
      <c r="A172" s="1" t="s">
        <v>911</v>
      </c>
      <c r="B172" s="215"/>
      <c r="C172" s="221" t="s">
        <v>300</v>
      </c>
      <c r="D172" s="285">
        <v>730</v>
      </c>
      <c r="E172" s="285" t="s">
        <v>221</v>
      </c>
      <c r="F172" s="285" t="s">
        <v>221</v>
      </c>
      <c r="G172" s="285" t="s">
        <v>221</v>
      </c>
      <c r="H172" s="285" t="s">
        <v>221</v>
      </c>
      <c r="I172" s="285"/>
      <c r="J172" s="285"/>
      <c r="K172" s="285"/>
      <c r="L172" s="285"/>
      <c r="M172" s="285"/>
      <c r="N172" s="285"/>
      <c r="O172" s="285"/>
      <c r="P172" s="285"/>
      <c r="Q172" s="285"/>
      <c r="R172" s="285"/>
      <c r="S172" s="285"/>
      <c r="T172" s="285"/>
      <c r="U172" s="285"/>
      <c r="V172" s="285"/>
      <c r="W172" s="285"/>
      <c r="X172" s="285"/>
      <c r="Y172" s="285"/>
      <c r="Z172" s="285"/>
      <c r="AA172" s="285"/>
      <c r="AB172" s="285"/>
      <c r="AC172" s="285"/>
      <c r="AD172" s="285"/>
      <c r="AE172" s="285"/>
      <c r="AF172" s="285"/>
      <c r="AG172" s="285"/>
      <c r="AH172" s="285"/>
      <c r="AI172" s="285"/>
      <c r="AJ172" s="285"/>
      <c r="AK172" s="352"/>
    </row>
    <row r="173" spans="1:37" ht="14.25" customHeight="1" x14ac:dyDescent="0.45">
      <c r="A173" s="1" t="s">
        <v>911</v>
      </c>
      <c r="B173" s="215"/>
      <c r="C173" s="221" t="s">
        <v>301</v>
      </c>
      <c r="D173" s="285">
        <v>93</v>
      </c>
      <c r="E173" s="285" t="s">
        <v>221</v>
      </c>
      <c r="F173" s="285" t="s">
        <v>221</v>
      </c>
      <c r="G173" s="285" t="s">
        <v>221</v>
      </c>
      <c r="H173" s="285" t="s">
        <v>221</v>
      </c>
      <c r="I173" s="285"/>
      <c r="J173" s="285"/>
      <c r="K173" s="285"/>
      <c r="L173" s="285"/>
      <c r="M173" s="285"/>
      <c r="N173" s="285"/>
      <c r="O173" s="285"/>
      <c r="P173" s="285"/>
      <c r="Q173" s="285"/>
      <c r="R173" s="285"/>
      <c r="S173" s="285"/>
      <c r="T173" s="285"/>
      <c r="U173" s="285"/>
      <c r="V173" s="285"/>
      <c r="W173" s="285"/>
      <c r="X173" s="285"/>
      <c r="Y173" s="285"/>
      <c r="Z173" s="285"/>
      <c r="AA173" s="285"/>
      <c r="AB173" s="285"/>
      <c r="AC173" s="285"/>
      <c r="AD173" s="285"/>
      <c r="AE173" s="285"/>
      <c r="AF173" s="285"/>
      <c r="AG173" s="285"/>
      <c r="AH173" s="285"/>
      <c r="AI173" s="285"/>
      <c r="AJ173" s="285"/>
      <c r="AK173" s="352"/>
    </row>
    <row r="174" spans="1:37" ht="14.25" customHeight="1" x14ac:dyDescent="0.45">
      <c r="A174" s="1" t="s">
        <v>911</v>
      </c>
      <c r="B174" s="215"/>
      <c r="C174" s="221" t="s">
        <v>302</v>
      </c>
      <c r="D174" s="285">
        <v>11</v>
      </c>
      <c r="E174" s="285" t="s">
        <v>221</v>
      </c>
      <c r="F174" s="285" t="s">
        <v>221</v>
      </c>
      <c r="G174" s="285" t="s">
        <v>221</v>
      </c>
      <c r="H174" s="285" t="s">
        <v>221</v>
      </c>
      <c r="I174" s="285"/>
      <c r="J174" s="285"/>
      <c r="K174" s="285"/>
      <c r="L174" s="285"/>
      <c r="M174" s="285"/>
      <c r="N174" s="285"/>
      <c r="O174" s="285"/>
      <c r="P174" s="285"/>
      <c r="Q174" s="285"/>
      <c r="R174" s="285"/>
      <c r="S174" s="285"/>
      <c r="T174" s="285"/>
      <c r="U174" s="285"/>
      <c r="V174" s="285"/>
      <c r="W174" s="285"/>
      <c r="X174" s="285"/>
      <c r="Y174" s="285"/>
      <c r="Z174" s="285"/>
      <c r="AA174" s="285"/>
      <c r="AB174" s="285"/>
      <c r="AC174" s="285"/>
      <c r="AD174" s="285"/>
      <c r="AE174" s="285"/>
      <c r="AF174" s="285"/>
      <c r="AG174" s="285"/>
      <c r="AH174" s="285"/>
      <c r="AI174" s="285"/>
      <c r="AJ174" s="285"/>
      <c r="AK174" s="352"/>
    </row>
    <row r="175" spans="1:37" ht="14.25" customHeight="1" x14ac:dyDescent="0.45">
      <c r="A175" s="1" t="s">
        <v>911</v>
      </c>
      <c r="B175" s="215"/>
      <c r="C175" s="221" t="s">
        <v>304</v>
      </c>
      <c r="D175" s="285">
        <v>15</v>
      </c>
      <c r="E175" s="285" t="s">
        <v>221</v>
      </c>
      <c r="F175" s="285" t="s">
        <v>221</v>
      </c>
      <c r="G175" s="285" t="s">
        <v>221</v>
      </c>
      <c r="H175" s="285" t="s">
        <v>221</v>
      </c>
      <c r="I175" s="285"/>
      <c r="J175" s="285"/>
      <c r="K175" s="285"/>
      <c r="L175" s="285"/>
      <c r="M175" s="285"/>
      <c r="N175" s="285"/>
      <c r="O175" s="285"/>
      <c r="P175" s="285"/>
      <c r="Q175" s="285"/>
      <c r="R175" s="285"/>
      <c r="S175" s="285"/>
      <c r="T175" s="285"/>
      <c r="U175" s="285"/>
      <c r="V175" s="285"/>
      <c r="W175" s="285"/>
      <c r="X175" s="285"/>
      <c r="Y175" s="285"/>
      <c r="Z175" s="285"/>
      <c r="AA175" s="285"/>
      <c r="AB175" s="285"/>
      <c r="AC175" s="285"/>
      <c r="AD175" s="285"/>
      <c r="AE175" s="285"/>
      <c r="AF175" s="285"/>
      <c r="AG175" s="285"/>
      <c r="AH175" s="285"/>
      <c r="AI175" s="285"/>
      <c r="AJ175" s="285"/>
      <c r="AK175" s="352"/>
    </row>
    <row r="176" spans="1:37" ht="14.25" customHeight="1" x14ac:dyDescent="0.45">
      <c r="A176" s="1" t="s">
        <v>911</v>
      </c>
      <c r="B176" s="215"/>
      <c r="C176" s="221" t="s">
        <v>305</v>
      </c>
      <c r="D176" s="285">
        <v>70</v>
      </c>
      <c r="E176" s="285" t="s">
        <v>221</v>
      </c>
      <c r="F176" s="285" t="s">
        <v>221</v>
      </c>
      <c r="G176" s="285" t="s">
        <v>221</v>
      </c>
      <c r="H176" s="285" t="s">
        <v>221</v>
      </c>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c r="AE176" s="285"/>
      <c r="AF176" s="285"/>
      <c r="AG176" s="285"/>
      <c r="AH176" s="285"/>
      <c r="AI176" s="285"/>
      <c r="AJ176" s="285"/>
      <c r="AK176" s="352"/>
    </row>
    <row r="177" spans="1:37" ht="14.25" customHeight="1" x14ac:dyDescent="0.45">
      <c r="A177" s="100">
        <v>9</v>
      </c>
      <c r="B177" s="215"/>
      <c r="C177" s="281" t="s">
        <v>307</v>
      </c>
      <c r="D177" s="285">
        <v>10</v>
      </c>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285"/>
      <c r="AH177" s="285"/>
      <c r="AI177" s="285"/>
      <c r="AJ177" s="285"/>
      <c r="AK177" s="352"/>
    </row>
    <row r="178" spans="1:37" ht="14.25" customHeight="1" x14ac:dyDescent="0.45">
      <c r="A178" s="100">
        <v>9</v>
      </c>
      <c r="B178" s="215"/>
      <c r="C178" s="281" t="s">
        <v>308</v>
      </c>
      <c r="D178" s="285">
        <v>160</v>
      </c>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c r="AE178" s="285"/>
      <c r="AF178" s="285"/>
      <c r="AG178" s="285"/>
      <c r="AH178" s="285"/>
      <c r="AI178" s="285"/>
      <c r="AJ178" s="285"/>
      <c r="AK178" s="352"/>
    </row>
    <row r="179" spans="1:37" ht="14.25" customHeight="1" x14ac:dyDescent="0.45">
      <c r="A179" s="100">
        <v>8</v>
      </c>
      <c r="B179" s="215"/>
      <c r="C179" s="221" t="s">
        <v>309</v>
      </c>
      <c r="D179" s="285">
        <v>31.3</v>
      </c>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G179" s="285"/>
      <c r="AH179" s="285"/>
      <c r="AI179" s="285"/>
      <c r="AJ179" s="285"/>
      <c r="AK179" s="352"/>
    </row>
    <row r="180" spans="1:37" ht="14.25" customHeight="1" x14ac:dyDescent="0.45">
      <c r="A180" s="100">
        <v>9</v>
      </c>
      <c r="B180" s="215"/>
      <c r="C180" s="281" t="s">
        <v>310</v>
      </c>
      <c r="D180" s="285">
        <v>30</v>
      </c>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c r="AE180" s="285"/>
      <c r="AF180" s="285"/>
      <c r="AG180" s="285"/>
      <c r="AH180" s="285"/>
      <c r="AI180" s="285"/>
      <c r="AJ180" s="285"/>
      <c r="AK180" s="352"/>
    </row>
    <row r="181" spans="1:37" ht="14.25" customHeight="1" x14ac:dyDescent="0.45">
      <c r="A181" s="100">
        <v>8</v>
      </c>
      <c r="B181" s="215"/>
      <c r="C181" s="221" t="s">
        <v>311</v>
      </c>
      <c r="D181" s="285">
        <v>10</v>
      </c>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c r="AA181" s="285"/>
      <c r="AB181" s="285"/>
      <c r="AC181" s="285"/>
      <c r="AD181" s="285"/>
      <c r="AE181" s="285"/>
      <c r="AF181" s="285"/>
      <c r="AG181" s="285"/>
      <c r="AH181" s="285"/>
      <c r="AI181" s="285"/>
      <c r="AJ181" s="285"/>
      <c r="AK181" s="352"/>
    </row>
    <row r="182" spans="1:37" ht="14.25" customHeight="1" x14ac:dyDescent="0.45">
      <c r="A182" s="1"/>
      <c r="B182" s="215"/>
      <c r="C182" s="221" t="s">
        <v>912</v>
      </c>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c r="AA182" s="285"/>
      <c r="AB182" s="285"/>
      <c r="AC182" s="285"/>
      <c r="AD182" s="285"/>
      <c r="AE182" s="285"/>
      <c r="AF182" s="285"/>
      <c r="AG182" s="285"/>
      <c r="AH182" s="285"/>
      <c r="AI182" s="285"/>
      <c r="AJ182" s="285"/>
      <c r="AK182" s="352"/>
    </row>
    <row r="183" spans="1:37" ht="14.25" customHeight="1" x14ac:dyDescent="0.45">
      <c r="A183" s="618" t="s">
        <v>911</v>
      </c>
      <c r="B183" s="215"/>
      <c r="C183" s="221" t="s">
        <v>913</v>
      </c>
      <c r="D183" s="273">
        <v>900</v>
      </c>
      <c r="E183" s="285" t="s">
        <v>221</v>
      </c>
      <c r="F183" s="285" t="s">
        <v>221</v>
      </c>
      <c r="G183" s="285" t="s">
        <v>221</v>
      </c>
      <c r="H183" s="285" t="s">
        <v>221</v>
      </c>
      <c r="I183" s="285"/>
      <c r="J183" s="285"/>
      <c r="K183" s="285"/>
      <c r="L183" s="285"/>
      <c r="M183" s="285"/>
      <c r="N183" s="285"/>
      <c r="O183" s="285"/>
      <c r="P183" s="285"/>
      <c r="Q183" s="285"/>
      <c r="R183" s="285"/>
      <c r="S183" s="285"/>
      <c r="T183" s="285"/>
      <c r="U183" s="285"/>
      <c r="V183" s="285"/>
      <c r="W183" s="285"/>
      <c r="X183" s="285"/>
      <c r="Y183" s="285"/>
      <c r="Z183" s="285"/>
      <c r="AA183" s="285"/>
      <c r="AB183" s="285"/>
      <c r="AC183" s="285"/>
      <c r="AD183" s="285"/>
      <c r="AE183" s="285"/>
      <c r="AF183" s="285"/>
      <c r="AG183" s="285"/>
      <c r="AH183" s="285"/>
      <c r="AI183" s="285"/>
      <c r="AJ183" s="285"/>
      <c r="AK183" s="352"/>
    </row>
    <row r="184" spans="1:37" ht="14.25" customHeight="1" x14ac:dyDescent="0.45">
      <c r="A184" s="618"/>
      <c r="B184" s="215"/>
      <c r="C184" s="221" t="s">
        <v>914</v>
      </c>
      <c r="D184" s="273"/>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c r="AA184" s="285"/>
      <c r="AB184" s="285"/>
      <c r="AC184" s="285"/>
      <c r="AD184" s="285"/>
      <c r="AE184" s="285"/>
      <c r="AF184" s="285"/>
      <c r="AG184" s="285"/>
      <c r="AH184" s="285"/>
      <c r="AI184" s="285"/>
      <c r="AJ184" s="285"/>
      <c r="AK184" s="352"/>
    </row>
    <row r="185" spans="1:37" ht="14.25" customHeight="1" x14ac:dyDescent="0.45">
      <c r="A185" s="618">
        <v>4</v>
      </c>
      <c r="B185" s="215"/>
      <c r="C185" s="221" t="s">
        <v>314</v>
      </c>
      <c r="D185" s="273">
        <v>91000</v>
      </c>
      <c r="E185" s="285" t="s">
        <v>221</v>
      </c>
      <c r="F185" s="285" t="s">
        <v>221</v>
      </c>
      <c r="G185" s="285" t="s">
        <v>221</v>
      </c>
      <c r="H185" s="285" t="s">
        <v>221</v>
      </c>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352"/>
    </row>
    <row r="186" spans="1:37" ht="14.25" customHeight="1" x14ac:dyDescent="0.45">
      <c r="A186" s="618">
        <v>4</v>
      </c>
      <c r="B186" s="215"/>
      <c r="C186" s="221" t="s">
        <v>315</v>
      </c>
      <c r="D186" s="273">
        <v>31000</v>
      </c>
      <c r="E186" s="285" t="s">
        <v>221</v>
      </c>
      <c r="F186" s="285" t="s">
        <v>221</v>
      </c>
      <c r="G186" s="285" t="s">
        <v>221</v>
      </c>
      <c r="H186" s="285" t="s">
        <v>221</v>
      </c>
      <c r="I186" s="285"/>
      <c r="J186" s="285"/>
      <c r="K186" s="285"/>
      <c r="L186" s="285"/>
      <c r="M186" s="285"/>
      <c r="N186" s="285"/>
      <c r="O186" s="285"/>
      <c r="P186" s="285"/>
      <c r="Q186" s="285"/>
      <c r="R186" s="285"/>
      <c r="S186" s="285"/>
      <c r="T186" s="285"/>
      <c r="U186" s="285"/>
      <c r="V186" s="285"/>
      <c r="W186" s="285"/>
      <c r="X186" s="285"/>
      <c r="Y186" s="285"/>
      <c r="Z186" s="285"/>
      <c r="AA186" s="285"/>
      <c r="AB186" s="285"/>
      <c r="AC186" s="285"/>
      <c r="AD186" s="285"/>
      <c r="AE186" s="285"/>
      <c r="AF186" s="285"/>
      <c r="AG186" s="285"/>
      <c r="AH186" s="285"/>
      <c r="AI186" s="285"/>
      <c r="AJ186" s="285"/>
      <c r="AK186" s="352"/>
    </row>
    <row r="187" spans="1:37" ht="14.25" customHeight="1" x14ac:dyDescent="0.45">
      <c r="A187" s="618">
        <v>4</v>
      </c>
      <c r="B187" s="215"/>
      <c r="C187" s="221" t="s">
        <v>316</v>
      </c>
      <c r="D187" s="273">
        <v>22000</v>
      </c>
      <c r="E187" s="285" t="s">
        <v>221</v>
      </c>
      <c r="F187" s="285" t="s">
        <v>221</v>
      </c>
      <c r="G187" s="285" t="s">
        <v>221</v>
      </c>
      <c r="H187" s="285" t="s">
        <v>221</v>
      </c>
      <c r="I187" s="285"/>
      <c r="J187" s="285"/>
      <c r="K187" s="285"/>
      <c r="L187" s="285"/>
      <c r="M187" s="285"/>
      <c r="N187" s="285"/>
      <c r="O187" s="285"/>
      <c r="P187" s="285"/>
      <c r="Q187" s="285"/>
      <c r="R187" s="285"/>
      <c r="S187" s="285"/>
      <c r="T187" s="285"/>
      <c r="U187" s="285"/>
      <c r="V187" s="285"/>
      <c r="W187" s="285"/>
      <c r="X187" s="285"/>
      <c r="Y187" s="285"/>
      <c r="Z187" s="285"/>
      <c r="AA187" s="285"/>
      <c r="AB187" s="285"/>
      <c r="AC187" s="285"/>
      <c r="AD187" s="285"/>
      <c r="AE187" s="285"/>
      <c r="AF187" s="285"/>
      <c r="AG187" s="285"/>
      <c r="AH187" s="285"/>
      <c r="AI187" s="285"/>
      <c r="AJ187" s="285"/>
      <c r="AK187" s="352"/>
    </row>
    <row r="188" spans="1:37" ht="14.25" customHeight="1" x14ac:dyDescent="0.45">
      <c r="A188" s="618" t="s">
        <v>911</v>
      </c>
      <c r="B188" s="215"/>
      <c r="C188" s="221" t="s">
        <v>317</v>
      </c>
      <c r="D188" s="273">
        <v>16500</v>
      </c>
      <c r="E188" s="285" t="s">
        <v>221</v>
      </c>
      <c r="F188" s="285" t="s">
        <v>221</v>
      </c>
      <c r="G188" s="285" t="s">
        <v>221</v>
      </c>
      <c r="H188" s="285" t="s">
        <v>221</v>
      </c>
      <c r="I188" s="285"/>
      <c r="J188" s="285"/>
      <c r="K188" s="285"/>
      <c r="L188" s="285"/>
      <c r="M188" s="285"/>
      <c r="N188" s="285"/>
      <c r="O188" s="285"/>
      <c r="P188" s="285"/>
      <c r="Q188" s="285"/>
      <c r="R188" s="285"/>
      <c r="S188" s="285"/>
      <c r="T188" s="285"/>
      <c r="U188" s="285"/>
      <c r="V188" s="285"/>
      <c r="W188" s="285"/>
      <c r="X188" s="285"/>
      <c r="Y188" s="285"/>
      <c r="Z188" s="285"/>
      <c r="AA188" s="285"/>
      <c r="AB188" s="285"/>
      <c r="AC188" s="285"/>
      <c r="AD188" s="285"/>
      <c r="AE188" s="285"/>
      <c r="AF188" s="285"/>
      <c r="AG188" s="285"/>
      <c r="AH188" s="285"/>
      <c r="AI188" s="285"/>
      <c r="AJ188" s="285"/>
      <c r="AK188" s="352"/>
    </row>
    <row r="189" spans="1:37" ht="14.25" customHeight="1" x14ac:dyDescent="0.45">
      <c r="A189" s="618"/>
      <c r="B189" s="215"/>
      <c r="C189" s="221" t="s">
        <v>319</v>
      </c>
      <c r="D189" s="273" t="s">
        <v>221</v>
      </c>
      <c r="E189" s="285" t="s">
        <v>221</v>
      </c>
      <c r="F189" s="285" t="s">
        <v>221</v>
      </c>
      <c r="G189" s="285" t="s">
        <v>221</v>
      </c>
      <c r="H189" s="285" t="s">
        <v>221</v>
      </c>
      <c r="I189" s="285"/>
      <c r="J189" s="285"/>
      <c r="K189" s="285"/>
      <c r="L189" s="285"/>
      <c r="M189" s="285"/>
      <c r="N189" s="285"/>
      <c r="O189" s="285"/>
      <c r="P189" s="285"/>
      <c r="Q189" s="285"/>
      <c r="R189" s="285"/>
      <c r="S189" s="285"/>
      <c r="T189" s="285"/>
      <c r="U189" s="285"/>
      <c r="V189" s="285"/>
      <c r="W189" s="285"/>
      <c r="X189" s="285"/>
      <c r="Y189" s="285"/>
      <c r="Z189" s="285"/>
      <c r="AA189" s="285"/>
      <c r="AB189" s="285"/>
      <c r="AC189" s="285"/>
      <c r="AD189" s="285"/>
      <c r="AE189" s="285"/>
      <c r="AF189" s="285"/>
      <c r="AG189" s="285"/>
      <c r="AH189" s="285"/>
      <c r="AI189" s="285"/>
      <c r="AJ189" s="285"/>
      <c r="AK189" s="352"/>
    </row>
    <row r="190" spans="1:37" ht="14.25" customHeight="1" x14ac:dyDescent="0.45">
      <c r="A190" s="618"/>
      <c r="B190" s="215"/>
      <c r="C190" s="221" t="s">
        <v>321</v>
      </c>
      <c r="D190" s="273" t="s">
        <v>221</v>
      </c>
      <c r="E190" s="285"/>
      <c r="F190" s="285"/>
      <c r="G190" s="285"/>
      <c r="H190" s="468"/>
      <c r="I190" s="285"/>
      <c r="J190" s="285"/>
      <c r="K190" s="285"/>
      <c r="L190" s="285"/>
      <c r="M190" s="285"/>
      <c r="N190" s="285"/>
      <c r="O190" s="285"/>
      <c r="P190" s="285"/>
      <c r="Q190" s="285"/>
      <c r="R190" s="285"/>
      <c r="S190" s="285"/>
      <c r="T190" s="285"/>
      <c r="U190" s="285"/>
      <c r="V190" s="285"/>
      <c r="W190" s="285"/>
      <c r="X190" s="285"/>
      <c r="Y190" s="285"/>
      <c r="Z190" s="285"/>
      <c r="AA190" s="285"/>
      <c r="AB190" s="285"/>
      <c r="AC190" s="285"/>
      <c r="AD190" s="285"/>
      <c r="AE190" s="285"/>
      <c r="AF190" s="285"/>
      <c r="AG190" s="285"/>
      <c r="AH190" s="285"/>
      <c r="AI190" s="285"/>
      <c r="AJ190" s="285"/>
      <c r="AK190" s="352"/>
    </row>
    <row r="191" spans="1:37" ht="14.25" customHeight="1" x14ac:dyDescent="0.45">
      <c r="A191" s="618">
        <v>2</v>
      </c>
      <c r="B191" s="215"/>
      <c r="C191" s="221" t="s">
        <v>915</v>
      </c>
      <c r="D191" s="273">
        <v>137</v>
      </c>
      <c r="E191" s="285"/>
      <c r="F191" s="285"/>
      <c r="G191" s="285"/>
      <c r="H191" s="468"/>
      <c r="I191" s="285"/>
      <c r="J191" s="285"/>
      <c r="K191" s="285"/>
      <c r="L191" s="285"/>
      <c r="M191" s="285"/>
      <c r="N191" s="285"/>
      <c r="O191" s="285"/>
      <c r="P191" s="285"/>
      <c r="Q191" s="285"/>
      <c r="R191" s="285"/>
      <c r="S191" s="285"/>
      <c r="T191" s="285"/>
      <c r="U191" s="285"/>
      <c r="V191" s="285"/>
      <c r="W191" s="285"/>
      <c r="X191" s="285"/>
      <c r="Y191" s="285"/>
      <c r="Z191" s="285"/>
      <c r="AA191" s="285"/>
      <c r="AB191" s="285"/>
      <c r="AC191" s="285"/>
      <c r="AD191" s="285"/>
      <c r="AE191" s="285"/>
      <c r="AF191" s="285"/>
      <c r="AG191" s="285"/>
      <c r="AH191" s="285"/>
      <c r="AI191" s="285"/>
      <c r="AJ191" s="285"/>
      <c r="AK191" s="352"/>
    </row>
    <row r="192" spans="1:37" ht="14.25" customHeight="1" x14ac:dyDescent="0.45">
      <c r="A192" s="618">
        <v>2</v>
      </c>
      <c r="B192" s="215"/>
      <c r="C192" s="221" t="s">
        <v>916</v>
      </c>
      <c r="D192" s="273" t="s">
        <v>221</v>
      </c>
      <c r="E192" s="285"/>
      <c r="F192" s="285"/>
      <c r="G192" s="285"/>
      <c r="H192" s="468"/>
      <c r="I192" s="285"/>
      <c r="J192" s="285"/>
      <c r="K192" s="285"/>
      <c r="L192" s="285"/>
      <c r="M192" s="285"/>
      <c r="N192" s="285"/>
      <c r="O192" s="285"/>
      <c r="P192" s="285"/>
      <c r="Q192" s="285"/>
      <c r="R192" s="285"/>
      <c r="S192" s="285"/>
      <c r="T192" s="285"/>
      <c r="U192" s="285"/>
      <c r="V192" s="285"/>
      <c r="W192" s="285"/>
      <c r="X192" s="285"/>
      <c r="Y192" s="285"/>
      <c r="Z192" s="285"/>
      <c r="AA192" s="285"/>
      <c r="AB192" s="285"/>
      <c r="AC192" s="285"/>
      <c r="AD192" s="285"/>
      <c r="AE192" s="285"/>
      <c r="AF192" s="285"/>
      <c r="AG192" s="285"/>
      <c r="AH192" s="285"/>
      <c r="AI192" s="285"/>
      <c r="AJ192" s="285"/>
      <c r="AK192" s="352"/>
    </row>
    <row r="193" spans="1:37" ht="14.25" customHeight="1" x14ac:dyDescent="0.45">
      <c r="A193" s="618">
        <v>2</v>
      </c>
      <c r="B193" s="215"/>
      <c r="C193" s="221" t="s">
        <v>326</v>
      </c>
      <c r="D193" s="273" t="s">
        <v>221</v>
      </c>
      <c r="E193" s="285"/>
      <c r="F193" s="285"/>
      <c r="G193" s="285"/>
      <c r="H193" s="468"/>
      <c r="I193" s="285"/>
      <c r="J193" s="285"/>
      <c r="K193" s="285"/>
      <c r="L193" s="285"/>
      <c r="M193" s="285"/>
      <c r="N193" s="285"/>
      <c r="O193" s="285"/>
      <c r="P193" s="285"/>
      <c r="Q193" s="285"/>
      <c r="R193" s="285"/>
      <c r="S193" s="285"/>
      <c r="T193" s="285"/>
      <c r="U193" s="285"/>
      <c r="V193" s="285"/>
      <c r="W193" s="285"/>
      <c r="X193" s="285"/>
      <c r="Y193" s="285"/>
      <c r="Z193" s="285"/>
      <c r="AA193" s="285"/>
      <c r="AB193" s="285"/>
      <c r="AC193" s="285"/>
      <c r="AD193" s="285"/>
      <c r="AE193" s="285"/>
      <c r="AF193" s="285"/>
      <c r="AG193" s="285"/>
      <c r="AH193" s="285"/>
      <c r="AI193" s="285"/>
      <c r="AJ193" s="285"/>
      <c r="AK193" s="352"/>
    </row>
    <row r="194" spans="1:37" ht="14.25" customHeight="1" x14ac:dyDescent="0.45">
      <c r="A194" s="618">
        <v>2</v>
      </c>
      <c r="B194" s="215"/>
      <c r="C194" s="221" t="s">
        <v>917</v>
      </c>
      <c r="D194" s="273">
        <f>240.3+1196.6</f>
        <v>1436.8999999999999</v>
      </c>
      <c r="E194" s="285"/>
      <c r="F194" s="285"/>
      <c r="G194" s="285"/>
      <c r="H194" s="468"/>
      <c r="I194" s="285"/>
      <c r="J194" s="285"/>
      <c r="K194" s="285"/>
      <c r="L194" s="285"/>
      <c r="M194" s="285"/>
      <c r="N194" s="285"/>
      <c r="O194" s="285"/>
      <c r="P194" s="285"/>
      <c r="Q194" s="285"/>
      <c r="R194" s="285"/>
      <c r="S194" s="285"/>
      <c r="T194" s="285"/>
      <c r="U194" s="285"/>
      <c r="V194" s="285"/>
      <c r="W194" s="285"/>
      <c r="X194" s="285"/>
      <c r="Y194" s="285"/>
      <c r="Z194" s="285"/>
      <c r="AA194" s="285"/>
      <c r="AB194" s="285"/>
      <c r="AC194" s="285"/>
      <c r="AD194" s="285"/>
      <c r="AE194" s="285"/>
      <c r="AF194" s="285"/>
      <c r="AG194" s="285"/>
      <c r="AH194" s="285"/>
      <c r="AI194" s="285"/>
      <c r="AJ194" s="285"/>
      <c r="AK194" s="352"/>
    </row>
    <row r="195" spans="1:37" ht="14.25" customHeight="1" x14ac:dyDescent="0.45">
      <c r="A195" s="618">
        <v>2</v>
      </c>
      <c r="B195" s="215"/>
      <c r="C195" s="221" t="s">
        <v>918</v>
      </c>
      <c r="D195" s="273">
        <f>1067.5+1528.4</f>
        <v>2595.9</v>
      </c>
      <c r="E195" s="285"/>
      <c r="F195" s="285"/>
      <c r="G195" s="285"/>
      <c r="H195" s="468"/>
      <c r="I195" s="285"/>
      <c r="J195" s="285"/>
      <c r="K195" s="285"/>
      <c r="L195" s="285"/>
      <c r="M195" s="285"/>
      <c r="N195" s="285"/>
      <c r="O195" s="285"/>
      <c r="P195" s="285"/>
      <c r="Q195" s="285"/>
      <c r="R195" s="285"/>
      <c r="S195" s="285"/>
      <c r="T195" s="285"/>
      <c r="U195" s="285"/>
      <c r="V195" s="285"/>
      <c r="W195" s="285"/>
      <c r="X195" s="285"/>
      <c r="Y195" s="285"/>
      <c r="Z195" s="285"/>
      <c r="AA195" s="285"/>
      <c r="AB195" s="285"/>
      <c r="AC195" s="285"/>
      <c r="AD195" s="285"/>
      <c r="AE195" s="285"/>
      <c r="AF195" s="285"/>
      <c r="AG195" s="285"/>
      <c r="AH195" s="285"/>
      <c r="AI195" s="285"/>
      <c r="AJ195" s="285"/>
      <c r="AK195" s="352"/>
    </row>
    <row r="196" spans="1:37" ht="14.25" customHeight="1" x14ac:dyDescent="0.45">
      <c r="A196" s="618">
        <v>2</v>
      </c>
      <c r="B196" s="215"/>
      <c r="C196" s="221" t="s">
        <v>919</v>
      </c>
      <c r="D196" s="273">
        <f>8436+468</f>
        <v>8904</v>
      </c>
      <c r="E196" s="285"/>
      <c r="F196" s="285"/>
      <c r="G196" s="285"/>
      <c r="H196" s="468"/>
      <c r="I196" s="285"/>
      <c r="J196" s="285"/>
      <c r="K196" s="285"/>
      <c r="L196" s="285"/>
      <c r="M196" s="285"/>
      <c r="N196" s="285"/>
      <c r="O196" s="285"/>
      <c r="P196" s="285"/>
      <c r="Q196" s="285"/>
      <c r="R196" s="285"/>
      <c r="S196" s="285"/>
      <c r="T196" s="285"/>
      <c r="U196" s="285"/>
      <c r="V196" s="285"/>
      <c r="W196" s="285"/>
      <c r="X196" s="285"/>
      <c r="Y196" s="285"/>
      <c r="Z196" s="285"/>
      <c r="AA196" s="285"/>
      <c r="AB196" s="285"/>
      <c r="AC196" s="285"/>
      <c r="AD196" s="285"/>
      <c r="AE196" s="285"/>
      <c r="AF196" s="285"/>
      <c r="AG196" s="285"/>
      <c r="AH196" s="285"/>
      <c r="AI196" s="285"/>
      <c r="AJ196" s="285"/>
      <c r="AK196" s="352"/>
    </row>
    <row r="197" spans="1:37" ht="14.25" customHeight="1" x14ac:dyDescent="0.45">
      <c r="A197" s="618"/>
      <c r="B197" s="215"/>
      <c r="C197" s="221" t="s">
        <v>920</v>
      </c>
      <c r="D197" s="285" t="s">
        <v>221</v>
      </c>
      <c r="E197" s="285" t="s">
        <v>221</v>
      </c>
      <c r="F197" s="285" t="s">
        <v>221</v>
      </c>
      <c r="G197" s="285" t="s">
        <v>221</v>
      </c>
      <c r="H197" s="285" t="s">
        <v>221</v>
      </c>
      <c r="I197" s="285"/>
      <c r="J197" s="285"/>
      <c r="K197" s="285"/>
      <c r="L197" s="285"/>
      <c r="M197" s="285"/>
      <c r="N197" s="285"/>
      <c r="O197" s="285"/>
      <c r="P197" s="285"/>
      <c r="Q197" s="285"/>
      <c r="R197" s="285"/>
      <c r="S197" s="285"/>
      <c r="T197" s="285"/>
      <c r="U197" s="285"/>
      <c r="V197" s="285"/>
      <c r="W197" s="285"/>
      <c r="X197" s="285"/>
      <c r="Y197" s="285"/>
      <c r="Z197" s="285"/>
      <c r="AA197" s="285"/>
      <c r="AB197" s="285"/>
      <c r="AC197" s="285"/>
      <c r="AD197" s="285"/>
      <c r="AE197" s="285"/>
      <c r="AF197" s="285"/>
      <c r="AG197" s="285"/>
      <c r="AH197" s="285"/>
      <c r="AI197" s="285"/>
      <c r="AJ197" s="285"/>
      <c r="AK197" s="352"/>
    </row>
    <row r="198" spans="1:37" ht="14.25" customHeight="1" x14ac:dyDescent="0.45">
      <c r="A198" s="618" t="s">
        <v>911</v>
      </c>
      <c r="B198" s="215"/>
      <c r="C198" s="221" t="s">
        <v>921</v>
      </c>
      <c r="D198" s="273">
        <v>18000</v>
      </c>
      <c r="E198" s="285" t="s">
        <v>221</v>
      </c>
      <c r="F198" s="285" t="s">
        <v>221</v>
      </c>
      <c r="G198" s="285" t="s">
        <v>221</v>
      </c>
      <c r="H198" s="285" t="s">
        <v>221</v>
      </c>
      <c r="I198" s="285"/>
      <c r="J198" s="285"/>
      <c r="K198" s="285"/>
      <c r="L198" s="285"/>
      <c r="M198" s="285"/>
      <c r="N198" s="285"/>
      <c r="O198" s="285"/>
      <c r="P198" s="285"/>
      <c r="Q198" s="285"/>
      <c r="R198" s="285"/>
      <c r="S198" s="285"/>
      <c r="T198" s="285"/>
      <c r="U198" s="285"/>
      <c r="V198" s="285"/>
      <c r="W198" s="285"/>
      <c r="X198" s="285"/>
      <c r="Y198" s="285"/>
      <c r="Z198" s="285"/>
      <c r="AA198" s="285"/>
      <c r="AB198" s="285"/>
      <c r="AC198" s="285"/>
      <c r="AD198" s="285"/>
      <c r="AE198" s="285"/>
      <c r="AF198" s="285"/>
      <c r="AG198" s="285"/>
      <c r="AH198" s="285"/>
      <c r="AI198" s="285"/>
      <c r="AJ198" s="285"/>
      <c r="AK198" s="352"/>
    </row>
    <row r="199" spans="1:37" ht="14.25" customHeight="1" x14ac:dyDescent="0.45">
      <c r="A199" s="1"/>
      <c r="B199" s="215"/>
      <c r="C199" s="221" t="s">
        <v>906</v>
      </c>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c r="AA199" s="285"/>
      <c r="AB199" s="285"/>
      <c r="AC199" s="285"/>
      <c r="AD199" s="285"/>
      <c r="AE199" s="285"/>
      <c r="AF199" s="285"/>
      <c r="AG199" s="285"/>
      <c r="AH199" s="285"/>
      <c r="AI199" s="285"/>
      <c r="AJ199" s="285"/>
      <c r="AK199" s="352"/>
    </row>
    <row r="200" spans="1:37" ht="14.25" customHeight="1" x14ac:dyDescent="0.45">
      <c r="A200" s="618">
        <v>4</v>
      </c>
      <c r="B200" s="215"/>
      <c r="C200" s="221" t="s">
        <v>314</v>
      </c>
      <c r="D200" s="285">
        <v>1691</v>
      </c>
      <c r="E200" s="285" t="s">
        <v>221</v>
      </c>
      <c r="F200" s="285" t="s">
        <v>221</v>
      </c>
      <c r="G200" s="285" t="s">
        <v>221</v>
      </c>
      <c r="H200" s="285" t="s">
        <v>221</v>
      </c>
      <c r="I200" s="285"/>
      <c r="J200" s="285"/>
      <c r="K200" s="285"/>
      <c r="L200" s="285"/>
      <c r="M200" s="285"/>
      <c r="N200" s="285"/>
      <c r="O200" s="285"/>
      <c r="P200" s="285"/>
      <c r="Q200" s="285"/>
      <c r="R200" s="285"/>
      <c r="S200" s="285"/>
      <c r="T200" s="285"/>
      <c r="U200" s="285"/>
      <c r="V200" s="285"/>
      <c r="W200" s="285"/>
      <c r="X200" s="285"/>
      <c r="Y200" s="285"/>
      <c r="Z200" s="285"/>
      <c r="AA200" s="285"/>
      <c r="AB200" s="285"/>
      <c r="AC200" s="285"/>
      <c r="AD200" s="285"/>
      <c r="AE200" s="285"/>
      <c r="AF200" s="285"/>
      <c r="AG200" s="285"/>
      <c r="AH200" s="285"/>
      <c r="AI200" s="285"/>
      <c r="AJ200" s="285"/>
      <c r="AK200" s="352"/>
    </row>
    <row r="201" spans="1:37" ht="14.25" customHeight="1" x14ac:dyDescent="0.45">
      <c r="A201" s="618" t="s">
        <v>911</v>
      </c>
      <c r="B201" s="215"/>
      <c r="C201" s="221" t="s">
        <v>922</v>
      </c>
      <c r="D201" s="285">
        <v>884</v>
      </c>
      <c r="E201" s="285" t="s">
        <v>221</v>
      </c>
      <c r="F201" s="285" t="s">
        <v>221</v>
      </c>
      <c r="G201" s="285" t="s">
        <v>221</v>
      </c>
      <c r="H201" s="285" t="s">
        <v>221</v>
      </c>
      <c r="I201" s="285"/>
      <c r="J201" s="285"/>
      <c r="K201" s="285"/>
      <c r="L201" s="285"/>
      <c r="M201" s="285"/>
      <c r="N201" s="285"/>
      <c r="O201" s="285"/>
      <c r="P201" s="285"/>
      <c r="Q201" s="285"/>
      <c r="R201" s="285"/>
      <c r="S201" s="285"/>
      <c r="T201" s="285"/>
      <c r="U201" s="285"/>
      <c r="V201" s="285"/>
      <c r="W201" s="285"/>
      <c r="X201" s="285"/>
      <c r="Y201" s="285"/>
      <c r="Z201" s="285"/>
      <c r="AA201" s="285"/>
      <c r="AB201" s="285"/>
      <c r="AC201" s="285"/>
      <c r="AD201" s="285"/>
      <c r="AE201" s="285"/>
      <c r="AF201" s="285"/>
      <c r="AG201" s="285"/>
      <c r="AH201" s="285"/>
      <c r="AI201" s="285"/>
      <c r="AJ201" s="285"/>
      <c r="AK201" s="352"/>
    </row>
    <row r="202" spans="1:37" ht="14.25" customHeight="1" x14ac:dyDescent="0.45">
      <c r="A202" s="618"/>
      <c r="B202" s="215"/>
      <c r="C202" s="221" t="s">
        <v>334</v>
      </c>
      <c r="D202" s="285" t="s">
        <v>221</v>
      </c>
      <c r="E202" s="285" t="s">
        <v>221</v>
      </c>
      <c r="F202" s="285" t="s">
        <v>221</v>
      </c>
      <c r="G202" s="285" t="s">
        <v>221</v>
      </c>
      <c r="H202" s="285" t="s">
        <v>221</v>
      </c>
      <c r="I202" s="285"/>
      <c r="J202" s="285"/>
      <c r="K202" s="285"/>
      <c r="L202" s="285"/>
      <c r="M202" s="285"/>
      <c r="N202" s="285"/>
      <c r="O202" s="285"/>
      <c r="P202" s="285"/>
      <c r="Q202" s="285"/>
      <c r="R202" s="285"/>
      <c r="S202" s="285"/>
      <c r="T202" s="285"/>
      <c r="U202" s="285"/>
      <c r="V202" s="285"/>
      <c r="W202" s="285"/>
      <c r="X202" s="285"/>
      <c r="Y202" s="285"/>
      <c r="Z202" s="285"/>
      <c r="AA202" s="285"/>
      <c r="AB202" s="285"/>
      <c r="AC202" s="285"/>
      <c r="AD202" s="285"/>
      <c r="AE202" s="285"/>
      <c r="AF202" s="285"/>
      <c r="AG202" s="285"/>
      <c r="AH202" s="285"/>
      <c r="AI202" s="285"/>
      <c r="AJ202" s="285"/>
      <c r="AK202" s="352"/>
    </row>
    <row r="203" spans="1:37" ht="14.25" customHeight="1" x14ac:dyDescent="0.45">
      <c r="A203" s="618" t="s">
        <v>911</v>
      </c>
      <c r="B203" s="215"/>
      <c r="C203" s="221" t="s">
        <v>913</v>
      </c>
      <c r="D203" s="285">
        <v>780</v>
      </c>
      <c r="E203" s="285" t="s">
        <v>221</v>
      </c>
      <c r="F203" s="285" t="s">
        <v>221</v>
      </c>
      <c r="G203" s="285" t="s">
        <v>221</v>
      </c>
      <c r="H203" s="285" t="s">
        <v>221</v>
      </c>
      <c r="I203" s="285" t="s">
        <v>221</v>
      </c>
      <c r="J203" s="285" t="s">
        <v>221</v>
      </c>
      <c r="K203" s="285" t="s">
        <v>221</v>
      </c>
      <c r="L203" s="285" t="s">
        <v>221</v>
      </c>
      <c r="M203" s="285" t="s">
        <v>221</v>
      </c>
      <c r="N203" s="285" t="s">
        <v>221</v>
      </c>
      <c r="O203" s="285" t="s">
        <v>221</v>
      </c>
      <c r="P203" s="285" t="s">
        <v>221</v>
      </c>
      <c r="Q203" s="285" t="s">
        <v>221</v>
      </c>
      <c r="R203" s="285" t="s">
        <v>221</v>
      </c>
      <c r="S203" s="285" t="s">
        <v>221</v>
      </c>
      <c r="T203" s="285" t="s">
        <v>221</v>
      </c>
      <c r="U203" s="285" t="s">
        <v>221</v>
      </c>
      <c r="V203" s="285" t="s">
        <v>221</v>
      </c>
      <c r="W203" s="285" t="s">
        <v>221</v>
      </c>
      <c r="X203" s="285" t="s">
        <v>221</v>
      </c>
      <c r="Y203" s="285" t="s">
        <v>221</v>
      </c>
      <c r="Z203" s="285" t="s">
        <v>221</v>
      </c>
      <c r="AA203" s="285" t="s">
        <v>221</v>
      </c>
      <c r="AB203" s="285" t="s">
        <v>221</v>
      </c>
      <c r="AC203" s="285" t="s">
        <v>221</v>
      </c>
      <c r="AD203" s="285" t="s">
        <v>221</v>
      </c>
      <c r="AE203" s="285" t="s">
        <v>221</v>
      </c>
      <c r="AF203" s="285" t="s">
        <v>221</v>
      </c>
      <c r="AG203" s="285" t="s">
        <v>221</v>
      </c>
      <c r="AH203" s="285" t="s">
        <v>221</v>
      </c>
      <c r="AI203" s="285" t="s">
        <v>221</v>
      </c>
      <c r="AJ203" s="285">
        <v>3300</v>
      </c>
      <c r="AK203" s="352"/>
    </row>
    <row r="204" spans="1:37" ht="14.25" customHeight="1" x14ac:dyDescent="0.45">
      <c r="A204" s="618"/>
      <c r="B204" s="215"/>
      <c r="C204" s="289" t="s">
        <v>268</v>
      </c>
      <c r="D204" s="285" t="s">
        <v>221</v>
      </c>
      <c r="E204" s="285" t="s">
        <v>221</v>
      </c>
      <c r="F204" s="285" t="s">
        <v>221</v>
      </c>
      <c r="G204" s="285" t="s">
        <v>221</v>
      </c>
      <c r="H204" s="285" t="s">
        <v>221</v>
      </c>
      <c r="I204" s="285"/>
      <c r="J204" s="285"/>
      <c r="K204" s="285"/>
      <c r="L204" s="285"/>
      <c r="M204" s="285"/>
      <c r="N204" s="285"/>
      <c r="O204" s="285"/>
      <c r="P204" s="285"/>
      <c r="Q204" s="285"/>
      <c r="R204" s="285"/>
      <c r="S204" s="285"/>
      <c r="T204" s="285"/>
      <c r="U204" s="285"/>
      <c r="V204" s="285"/>
      <c r="W204" s="285"/>
      <c r="X204" s="285"/>
      <c r="Y204" s="285"/>
      <c r="Z204" s="285"/>
      <c r="AA204" s="285"/>
      <c r="AB204" s="285"/>
      <c r="AC204" s="285"/>
      <c r="AD204" s="285"/>
      <c r="AE204" s="285"/>
      <c r="AF204" s="285"/>
      <c r="AG204" s="285"/>
      <c r="AH204" s="285"/>
      <c r="AI204" s="285"/>
      <c r="AJ204" s="285"/>
      <c r="AK204" s="352"/>
    </row>
    <row r="205" spans="1:37" ht="14.25" customHeight="1" x14ac:dyDescent="0.45">
      <c r="A205" s="618"/>
      <c r="B205" s="215"/>
      <c r="C205" s="221"/>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c r="AA205" s="285"/>
      <c r="AB205" s="285"/>
      <c r="AC205" s="285"/>
      <c r="AD205" s="285"/>
      <c r="AE205" s="285"/>
      <c r="AF205" s="285"/>
      <c r="AG205" s="285"/>
      <c r="AH205" s="285"/>
      <c r="AI205" s="285"/>
      <c r="AJ205" s="285"/>
      <c r="AK205" s="352"/>
    </row>
    <row r="206" spans="1:37" ht="14.25" customHeight="1" x14ac:dyDescent="0.45">
      <c r="A206" s="618"/>
      <c r="B206" s="215"/>
      <c r="C206" s="353"/>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c r="AE206" s="220"/>
      <c r="AF206" s="220"/>
      <c r="AG206" s="220"/>
      <c r="AH206" s="220"/>
      <c r="AI206" s="220"/>
      <c r="AJ206" s="220"/>
      <c r="AK206" s="352"/>
    </row>
    <row r="207" spans="1:37" ht="14.25" customHeight="1" x14ac:dyDescent="0.45">
      <c r="A207" s="618">
        <v>10</v>
      </c>
      <c r="B207" s="215"/>
      <c r="C207" s="243" t="s">
        <v>923</v>
      </c>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c r="AA207" s="285"/>
      <c r="AB207" s="285"/>
      <c r="AC207" s="285"/>
      <c r="AD207" s="285"/>
      <c r="AE207" s="285"/>
      <c r="AF207" s="285"/>
      <c r="AG207" s="285"/>
      <c r="AH207" s="285"/>
      <c r="AI207" s="285"/>
      <c r="AJ207" s="285"/>
      <c r="AK207" s="352"/>
    </row>
    <row r="208" spans="1:37" ht="14.25" customHeight="1" x14ac:dyDescent="0.45">
      <c r="A208" s="618"/>
      <c r="B208" s="215"/>
      <c r="C208" s="221"/>
      <c r="D208" s="293"/>
      <c r="E208" s="293"/>
      <c r="F208" s="293"/>
      <c r="G208" s="293"/>
      <c r="H208" s="285"/>
      <c r="I208" s="285"/>
      <c r="J208" s="285"/>
      <c r="K208" s="285"/>
      <c r="L208" s="285"/>
      <c r="M208" s="285"/>
      <c r="N208" s="285"/>
      <c r="O208" s="285"/>
      <c r="P208" s="285"/>
      <c r="Q208" s="285"/>
      <c r="R208" s="285"/>
      <c r="S208" s="285"/>
      <c r="T208" s="285"/>
      <c r="U208" s="285"/>
      <c r="V208" s="285"/>
      <c r="W208" s="285"/>
      <c r="X208" s="285"/>
      <c r="Y208" s="285"/>
      <c r="Z208" s="285"/>
      <c r="AA208" s="285"/>
      <c r="AB208" s="285"/>
      <c r="AC208" s="285"/>
      <c r="AD208" s="285"/>
      <c r="AE208" s="285"/>
      <c r="AF208" s="285"/>
      <c r="AG208" s="285"/>
      <c r="AH208" s="285"/>
      <c r="AI208" s="285"/>
      <c r="AJ208" s="285"/>
      <c r="AK208" s="352"/>
    </row>
    <row r="209" spans="1:37" ht="14.25" customHeight="1" x14ac:dyDescent="0.45">
      <c r="A209" s="618"/>
      <c r="B209" s="215"/>
      <c r="C209" s="243" t="s">
        <v>338</v>
      </c>
      <c r="D209" s="285"/>
      <c r="E209" s="285"/>
      <c r="F209" s="285"/>
      <c r="G209" s="293"/>
      <c r="H209" s="285"/>
      <c r="I209" s="285"/>
      <c r="J209" s="285"/>
      <c r="K209" s="285"/>
      <c r="L209" s="285"/>
      <c r="M209" s="285"/>
      <c r="N209" s="285"/>
      <c r="O209" s="285"/>
      <c r="P209" s="285"/>
      <c r="Q209" s="285"/>
      <c r="R209" s="285"/>
      <c r="S209" s="285"/>
      <c r="T209" s="285"/>
      <c r="U209" s="285"/>
      <c r="V209" s="285"/>
      <c r="W209" s="285"/>
      <c r="X209" s="285"/>
      <c r="Y209" s="285"/>
      <c r="Z209" s="285"/>
      <c r="AA209" s="285"/>
      <c r="AB209" s="285"/>
      <c r="AC209" s="285"/>
      <c r="AD209" s="285"/>
      <c r="AE209" s="285"/>
      <c r="AF209" s="285"/>
      <c r="AG209" s="285"/>
      <c r="AH209" s="285"/>
      <c r="AI209" s="285"/>
      <c r="AJ209" s="285"/>
      <c r="AK209" s="352"/>
    </row>
    <row r="210" spans="1:37" ht="14.25" customHeight="1" x14ac:dyDescent="0.45">
      <c r="A210" s="618"/>
      <c r="B210" s="215"/>
      <c r="C210" s="224" t="s">
        <v>924</v>
      </c>
      <c r="D210" s="295">
        <f>SUM(D212)</f>
        <v>382.44</v>
      </c>
      <c r="E210" s="295">
        <f>SUM(E212)</f>
        <v>413.55961000000002</v>
      </c>
      <c r="F210" s="295">
        <f>SUM(F212)</f>
        <v>426.58668</v>
      </c>
      <c r="G210" s="295">
        <f>SUM(G212)</f>
        <v>372.79780949999997</v>
      </c>
      <c r="H210" s="285"/>
      <c r="I210" s="285"/>
      <c r="J210" s="285"/>
      <c r="K210" s="285"/>
      <c r="L210" s="285"/>
      <c r="M210" s="285"/>
      <c r="N210" s="285"/>
      <c r="O210" s="285"/>
      <c r="P210" s="285"/>
      <c r="Q210" s="285"/>
      <c r="R210" s="285"/>
      <c r="S210" s="285"/>
      <c r="T210" s="285"/>
      <c r="U210" s="285"/>
      <c r="V210" s="285"/>
      <c r="W210" s="285"/>
      <c r="X210" s="285"/>
      <c r="Y210" s="285"/>
      <c r="Z210" s="285"/>
      <c r="AA210" s="285"/>
      <c r="AB210" s="285"/>
      <c r="AC210" s="285"/>
      <c r="AD210" s="285"/>
      <c r="AE210" s="285"/>
      <c r="AF210" s="285"/>
      <c r="AG210" s="285"/>
      <c r="AH210" s="285"/>
      <c r="AI210" s="285"/>
      <c r="AJ210" s="285"/>
      <c r="AK210" s="352"/>
    </row>
    <row r="211" spans="1:37" ht="14.25" customHeight="1" x14ac:dyDescent="0.45">
      <c r="A211" s="618"/>
      <c r="B211" s="215"/>
      <c r="C211" s="228" t="s">
        <v>167</v>
      </c>
      <c r="D211" s="229"/>
      <c r="E211" s="229"/>
      <c r="F211" s="229"/>
      <c r="G211" s="229"/>
      <c r="H211" s="285"/>
      <c r="I211" s="285"/>
      <c r="J211" s="285"/>
      <c r="K211" s="285"/>
      <c r="L211" s="285"/>
      <c r="M211" s="285"/>
      <c r="N211" s="285"/>
      <c r="O211" s="285"/>
      <c r="P211" s="285"/>
      <c r="Q211" s="285"/>
      <c r="R211" s="285"/>
      <c r="S211" s="285"/>
      <c r="T211" s="285"/>
      <c r="U211" s="285"/>
      <c r="V211" s="285"/>
      <c r="W211" s="285"/>
      <c r="X211" s="285"/>
      <c r="Y211" s="285"/>
      <c r="Z211" s="285"/>
      <c r="AA211" s="285"/>
      <c r="AB211" s="285"/>
      <c r="AC211" s="285"/>
      <c r="AD211" s="285"/>
      <c r="AE211" s="285"/>
      <c r="AF211" s="285"/>
      <c r="AG211" s="285"/>
      <c r="AH211" s="285"/>
      <c r="AI211" s="285"/>
      <c r="AJ211" s="285"/>
      <c r="AK211" s="352"/>
    </row>
    <row r="212" spans="1:37" ht="14.25" customHeight="1" x14ac:dyDescent="0.45">
      <c r="A212" s="618"/>
      <c r="B212" s="215"/>
      <c r="C212" s="221" t="s">
        <v>169</v>
      </c>
      <c r="D212" s="232">
        <v>382.44</v>
      </c>
      <c r="E212" s="232">
        <v>413.55961000000002</v>
      </c>
      <c r="F212" s="232">
        <v>426.58668</v>
      </c>
      <c r="G212" s="232">
        <v>372.79780949999997</v>
      </c>
      <c r="H212" s="285"/>
      <c r="I212" s="285"/>
      <c r="J212" s="285"/>
      <c r="K212" s="285"/>
      <c r="L212" s="285"/>
      <c r="M212" s="285"/>
      <c r="N212" s="285"/>
      <c r="O212" s="285"/>
      <c r="P212" s="285"/>
      <c r="Q212" s="285"/>
      <c r="R212" s="285"/>
      <c r="S212" s="285"/>
      <c r="T212" s="285"/>
      <c r="U212" s="285"/>
      <c r="V212" s="285"/>
      <c r="W212" s="285"/>
      <c r="X212" s="285"/>
      <c r="Y212" s="285"/>
      <c r="Z212" s="285"/>
      <c r="AA212" s="285"/>
      <c r="AB212" s="285"/>
      <c r="AC212" s="285"/>
      <c r="AD212" s="285"/>
      <c r="AE212" s="285"/>
      <c r="AF212" s="285"/>
      <c r="AG212" s="285"/>
      <c r="AH212" s="285"/>
      <c r="AI212" s="285"/>
      <c r="AJ212" s="285"/>
      <c r="AK212" s="352"/>
    </row>
    <row r="213" spans="1:37" ht="14.25" customHeight="1" x14ac:dyDescent="0.45">
      <c r="A213" s="618"/>
      <c r="B213" s="215"/>
      <c r="C213" s="224" t="s">
        <v>925</v>
      </c>
      <c r="D213" s="295">
        <v>73.7</v>
      </c>
      <c r="E213" s="295">
        <v>79.98</v>
      </c>
      <c r="F213" s="295">
        <v>71.640320000000003</v>
      </c>
      <c r="G213" s="295">
        <v>60.06002000000003</v>
      </c>
      <c r="H213" s="285"/>
      <c r="I213" s="285"/>
      <c r="J213" s="285"/>
      <c r="K213" s="285"/>
      <c r="L213" s="285"/>
      <c r="M213" s="285"/>
      <c r="N213" s="285"/>
      <c r="O213" s="285"/>
      <c r="P213" s="285"/>
      <c r="Q213" s="285"/>
      <c r="R213" s="285"/>
      <c r="S213" s="285"/>
      <c r="T213" s="285"/>
      <c r="U213" s="285"/>
      <c r="V213" s="285"/>
      <c r="W213" s="285"/>
      <c r="X213" s="285"/>
      <c r="Y213" s="285"/>
      <c r="Z213" s="285"/>
      <c r="AA213" s="285"/>
      <c r="AB213" s="285"/>
      <c r="AC213" s="285"/>
      <c r="AD213" s="285"/>
      <c r="AE213" s="285"/>
      <c r="AF213" s="285"/>
      <c r="AG213" s="285"/>
      <c r="AH213" s="285"/>
      <c r="AI213" s="285"/>
      <c r="AJ213" s="285"/>
      <c r="AK213" s="352"/>
    </row>
    <row r="214" spans="1:37" ht="14.25" customHeight="1" x14ac:dyDescent="0.45">
      <c r="A214" s="618"/>
      <c r="B214" s="215"/>
      <c r="C214" s="224" t="s">
        <v>926</v>
      </c>
      <c r="D214" s="295">
        <f>SUM(D216:D217,D219:D220)</f>
        <v>20661.613359999999</v>
      </c>
      <c r="E214" s="295">
        <f>SUM(E216:E217,E219:E220)</f>
        <v>24619.132790885</v>
      </c>
      <c r="F214" s="295">
        <f>SUM(F216:F217,F219:F220)</f>
        <v>24312.850760651996</v>
      </c>
      <c r="G214" s="295">
        <f>SUM(G216:G217,G219:G220)</f>
        <v>25555.527087327002</v>
      </c>
      <c r="H214" s="285"/>
      <c r="I214" s="285"/>
      <c r="J214" s="285"/>
      <c r="K214" s="285"/>
      <c r="L214" s="285"/>
      <c r="M214" s="285"/>
      <c r="N214" s="285"/>
      <c r="O214" s="285"/>
      <c r="P214" s="285"/>
      <c r="Q214" s="285"/>
      <c r="R214" s="285"/>
      <c r="S214" s="285"/>
      <c r="T214" s="285"/>
      <c r="U214" s="285"/>
      <c r="V214" s="285"/>
      <c r="W214" s="285"/>
      <c r="X214" s="285"/>
      <c r="Y214" s="285"/>
      <c r="Z214" s="285"/>
      <c r="AA214" s="285"/>
      <c r="AB214" s="285"/>
      <c r="AC214" s="285"/>
      <c r="AD214" s="285"/>
      <c r="AE214" s="285"/>
      <c r="AF214" s="285"/>
      <c r="AG214" s="285"/>
      <c r="AH214" s="285"/>
      <c r="AI214" s="285"/>
      <c r="AJ214" s="285"/>
      <c r="AK214" s="352"/>
    </row>
    <row r="215" spans="1:37" ht="14.25" customHeight="1" x14ac:dyDescent="0.45">
      <c r="A215" s="618"/>
      <c r="B215" s="215"/>
      <c r="C215" s="228" t="s">
        <v>173</v>
      </c>
      <c r="D215" s="229">
        <f>SUM(D216:D217)</f>
        <v>7709.74</v>
      </c>
      <c r="E215" s="229">
        <f>SUM(E216:E217)</f>
        <v>8951.7123226279982</v>
      </c>
      <c r="F215" s="229">
        <f>SUM(F216:F217)</f>
        <v>8075.3943276150003</v>
      </c>
      <c r="G215" s="229">
        <f>SUM(G216:G217)</f>
        <v>8705.3032754990018</v>
      </c>
      <c r="H215" s="285"/>
      <c r="I215" s="285"/>
      <c r="J215" s="285"/>
      <c r="K215" s="285"/>
      <c r="L215" s="285"/>
      <c r="M215" s="285"/>
      <c r="N215" s="285"/>
      <c r="O215" s="285"/>
      <c r="P215" s="285"/>
      <c r="Q215" s="285"/>
      <c r="R215" s="285"/>
      <c r="S215" s="285"/>
      <c r="T215" s="285"/>
      <c r="U215" s="285"/>
      <c r="V215" s="285"/>
      <c r="W215" s="285"/>
      <c r="X215" s="285"/>
      <c r="Y215" s="285"/>
      <c r="Z215" s="285"/>
      <c r="AA215" s="285"/>
      <c r="AB215" s="285"/>
      <c r="AC215" s="285"/>
      <c r="AD215" s="285"/>
      <c r="AE215" s="285"/>
      <c r="AF215" s="285"/>
      <c r="AG215" s="285"/>
      <c r="AH215" s="285"/>
      <c r="AI215" s="285"/>
      <c r="AJ215" s="285"/>
      <c r="AK215" s="352"/>
    </row>
    <row r="216" spans="1:37" ht="14.25" customHeight="1" x14ac:dyDescent="0.45">
      <c r="A216" s="618"/>
      <c r="B216" s="215"/>
      <c r="C216" s="221" t="s">
        <v>174</v>
      </c>
      <c r="D216" s="232">
        <v>6717.41</v>
      </c>
      <c r="E216" s="315">
        <v>7621.0502735059981</v>
      </c>
      <c r="F216" s="232">
        <v>7053.9252855499999</v>
      </c>
      <c r="G216" s="232">
        <v>7488.2580144660014</v>
      </c>
      <c r="H216" s="285"/>
      <c r="I216" s="285"/>
      <c r="J216" s="285"/>
      <c r="K216" s="285"/>
      <c r="L216" s="285"/>
      <c r="M216" s="285"/>
      <c r="N216" s="285"/>
      <c r="O216" s="285"/>
      <c r="P216" s="285"/>
      <c r="Q216" s="285"/>
      <c r="R216" s="285"/>
      <c r="S216" s="285"/>
      <c r="T216" s="285"/>
      <c r="U216" s="285"/>
      <c r="V216" s="285"/>
      <c r="W216" s="285"/>
      <c r="X216" s="285"/>
      <c r="Y216" s="285"/>
      <c r="Z216" s="285"/>
      <c r="AA216" s="285"/>
      <c r="AB216" s="285"/>
      <c r="AC216" s="285"/>
      <c r="AD216" s="285"/>
      <c r="AE216" s="285"/>
      <c r="AF216" s="285"/>
      <c r="AG216" s="285"/>
      <c r="AH216" s="285"/>
      <c r="AI216" s="285"/>
      <c r="AJ216" s="285"/>
      <c r="AK216" s="352"/>
    </row>
    <row r="217" spans="1:37" ht="14.25" customHeight="1" x14ac:dyDescent="0.45">
      <c r="A217" s="618"/>
      <c r="B217" s="215"/>
      <c r="C217" s="221" t="s">
        <v>175</v>
      </c>
      <c r="D217" s="232">
        <v>992.33</v>
      </c>
      <c r="E217" s="232">
        <v>1330.6620491220003</v>
      </c>
      <c r="F217" s="232">
        <v>1021.4690420650001</v>
      </c>
      <c r="G217" s="293">
        <v>1217.0452610330003</v>
      </c>
      <c r="H217" s="285"/>
      <c r="I217" s="285"/>
      <c r="J217" s="285"/>
      <c r="K217" s="285"/>
      <c r="L217" s="285"/>
      <c r="M217" s="285"/>
      <c r="N217" s="285"/>
      <c r="O217" s="285"/>
      <c r="P217" s="285"/>
      <c r="Q217" s="285"/>
      <c r="R217" s="285"/>
      <c r="S217" s="285"/>
      <c r="T217" s="285"/>
      <c r="U217" s="285"/>
      <c r="V217" s="285"/>
      <c r="W217" s="285"/>
      <c r="X217" s="285"/>
      <c r="Y217" s="285"/>
      <c r="Z217" s="285"/>
      <c r="AA217" s="285"/>
      <c r="AB217" s="285"/>
      <c r="AC217" s="285"/>
      <c r="AD217" s="285"/>
      <c r="AE217" s="285"/>
      <c r="AF217" s="285"/>
      <c r="AG217" s="285"/>
      <c r="AH217" s="285"/>
      <c r="AI217" s="285"/>
      <c r="AJ217" s="285"/>
      <c r="AK217" s="352"/>
    </row>
    <row r="218" spans="1:37" ht="14.25" customHeight="1" x14ac:dyDescent="0.45">
      <c r="A218" s="618"/>
      <c r="B218" s="215"/>
      <c r="C218" s="228" t="s">
        <v>176</v>
      </c>
      <c r="D218" s="229">
        <f>SUM(D219:D220)</f>
        <v>12951.873360000001</v>
      </c>
      <c r="E218" s="229">
        <f>SUM(E219:E220)</f>
        <v>15667.420468257002</v>
      </c>
      <c r="F218" s="229">
        <f>SUM(F219:F220)</f>
        <v>16237.456433036996</v>
      </c>
      <c r="G218" s="229">
        <f>SUM(G219:G220)</f>
        <v>16850.223811828004</v>
      </c>
      <c r="H218" s="285"/>
      <c r="I218" s="285"/>
      <c r="J218" s="285"/>
      <c r="K218" s="285"/>
      <c r="L218" s="285"/>
      <c r="M218" s="285"/>
      <c r="N218" s="285"/>
      <c r="O218" s="285"/>
      <c r="P218" s="285"/>
      <c r="Q218" s="285"/>
      <c r="R218" s="285"/>
      <c r="S218" s="285"/>
      <c r="T218" s="285"/>
      <c r="U218" s="285"/>
      <c r="V218" s="285"/>
      <c r="W218" s="285"/>
      <c r="X218" s="285"/>
      <c r="Y218" s="285"/>
      <c r="Z218" s="285"/>
      <c r="AA218" s="285"/>
      <c r="AB218" s="285"/>
      <c r="AC218" s="285"/>
      <c r="AD218" s="285"/>
      <c r="AE218" s="285"/>
      <c r="AF218" s="285"/>
      <c r="AG218" s="285"/>
      <c r="AH218" s="285"/>
      <c r="AI218" s="285"/>
      <c r="AJ218" s="285"/>
      <c r="AK218" s="352"/>
    </row>
    <row r="219" spans="1:37" ht="14.25" customHeight="1" x14ac:dyDescent="0.45">
      <c r="A219" s="618"/>
      <c r="B219" s="215"/>
      <c r="C219" s="221" t="s">
        <v>174</v>
      </c>
      <c r="D219" s="232">
        <v>12292.683490000001</v>
      </c>
      <c r="E219" s="315">
        <v>14051.488436770001</v>
      </c>
      <c r="F219" s="315">
        <v>14581.403333742996</v>
      </c>
      <c r="G219" s="293">
        <v>14935.635020694002</v>
      </c>
      <c r="H219" s="285"/>
      <c r="I219" s="285"/>
      <c r="J219" s="285"/>
      <c r="K219" s="285"/>
      <c r="L219" s="285"/>
      <c r="M219" s="285"/>
      <c r="N219" s="285"/>
      <c r="O219" s="285"/>
      <c r="P219" s="285"/>
      <c r="Q219" s="285"/>
      <c r="R219" s="285"/>
      <c r="S219" s="285"/>
      <c r="T219" s="285"/>
      <c r="U219" s="285"/>
      <c r="V219" s="285"/>
      <c r="W219" s="285"/>
      <c r="X219" s="285"/>
      <c r="Y219" s="285"/>
      <c r="Z219" s="285"/>
      <c r="AA219" s="285"/>
      <c r="AB219" s="285"/>
      <c r="AC219" s="285"/>
      <c r="AD219" s="285"/>
      <c r="AE219" s="285"/>
      <c r="AF219" s="285"/>
      <c r="AG219" s="285"/>
      <c r="AH219" s="285"/>
      <c r="AI219" s="285"/>
      <c r="AJ219" s="285"/>
      <c r="AK219" s="352"/>
    </row>
    <row r="220" spans="1:37" ht="14.25" customHeight="1" x14ac:dyDescent="0.45">
      <c r="A220" s="618"/>
      <c r="B220" s="215"/>
      <c r="C220" s="221" t="s">
        <v>175</v>
      </c>
      <c r="D220" s="28">
        <v>659.18987000000004</v>
      </c>
      <c r="E220" s="232">
        <v>1615.9320314869994</v>
      </c>
      <c r="F220" s="315">
        <v>1656.053099294</v>
      </c>
      <c r="G220" s="293">
        <v>1914.5887911340003</v>
      </c>
      <c r="H220" s="285"/>
      <c r="I220" s="285"/>
      <c r="J220" s="285"/>
      <c r="K220" s="285"/>
      <c r="L220" s="285"/>
      <c r="M220" s="285"/>
      <c r="N220" s="285"/>
      <c r="O220" s="285"/>
      <c r="P220" s="285"/>
      <c r="Q220" s="285"/>
      <c r="R220" s="285"/>
      <c r="S220" s="285"/>
      <c r="T220" s="285"/>
      <c r="U220" s="285"/>
      <c r="V220" s="285"/>
      <c r="W220" s="285"/>
      <c r="X220" s="285"/>
      <c r="Y220" s="285"/>
      <c r="Z220" s="285"/>
      <c r="AA220" s="285"/>
      <c r="AB220" s="285"/>
      <c r="AC220" s="285"/>
      <c r="AD220" s="285"/>
      <c r="AE220" s="285"/>
      <c r="AF220" s="285"/>
      <c r="AG220" s="285"/>
      <c r="AH220" s="285"/>
      <c r="AI220" s="285"/>
      <c r="AJ220" s="285"/>
      <c r="AK220" s="352"/>
    </row>
    <row r="221" spans="1:37" ht="14.25" customHeight="1" x14ac:dyDescent="0.45">
      <c r="A221" s="618"/>
      <c r="B221" s="215"/>
      <c r="C221" s="224" t="s">
        <v>927</v>
      </c>
      <c r="D221" s="295">
        <v>34.770000000000003</v>
      </c>
      <c r="E221" s="300">
        <v>33.130000000000003</v>
      </c>
      <c r="F221" s="300">
        <v>33.815750715999997</v>
      </c>
      <c r="G221" s="295">
        <v>33.44</v>
      </c>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c r="AE221" s="285"/>
      <c r="AF221" s="285"/>
      <c r="AG221" s="285"/>
      <c r="AH221" s="285"/>
      <c r="AI221" s="285"/>
      <c r="AJ221" s="285"/>
      <c r="AK221" s="352"/>
    </row>
    <row r="222" spans="1:37" ht="14.25" customHeight="1" x14ac:dyDescent="0.45">
      <c r="A222" s="618"/>
      <c r="B222" s="215"/>
      <c r="C222" s="224" t="s">
        <v>928</v>
      </c>
      <c r="D222" s="295">
        <f>SUM(D223,D228,D231)</f>
        <v>4177.9142300000003</v>
      </c>
      <c r="E222" s="295">
        <f>SUM(E223,E228,E231)</f>
        <v>2977.1760454069999</v>
      </c>
      <c r="F222" s="295">
        <f>SUM(F223,F228,F231)</f>
        <v>2411.6312917199998</v>
      </c>
      <c r="G222" s="295">
        <f>SUM(G223,G228,G231)</f>
        <v>2109.5412593460001</v>
      </c>
      <c r="H222" s="285"/>
      <c r="I222" s="285"/>
      <c r="J222" s="285"/>
      <c r="K222" s="285"/>
      <c r="L222" s="285"/>
      <c r="M222" s="285"/>
      <c r="N222" s="285"/>
      <c r="O222" s="285"/>
      <c r="P222" s="285"/>
      <c r="Q222" s="285"/>
      <c r="R222" s="285"/>
      <c r="S222" s="285"/>
      <c r="T222" s="285"/>
      <c r="U222" s="285"/>
      <c r="V222" s="285"/>
      <c r="W222" s="285"/>
      <c r="X222" s="285"/>
      <c r="Y222" s="285"/>
      <c r="Z222" s="285"/>
      <c r="AA222" s="285"/>
      <c r="AB222" s="285"/>
      <c r="AC222" s="285"/>
      <c r="AD222" s="285"/>
      <c r="AE222" s="285"/>
      <c r="AF222" s="285"/>
      <c r="AG222" s="285"/>
      <c r="AH222" s="285"/>
      <c r="AI222" s="285"/>
      <c r="AJ222" s="285"/>
      <c r="AK222" s="352"/>
    </row>
    <row r="223" spans="1:37" ht="14.25" customHeight="1" x14ac:dyDescent="0.45">
      <c r="A223" s="618"/>
      <c r="B223" s="215"/>
      <c r="C223" s="228" t="s">
        <v>180</v>
      </c>
      <c r="D223" s="229">
        <f>SUM(D224:D227)</f>
        <v>1449.5744</v>
      </c>
      <c r="E223" s="229">
        <f>SUM(E224:E227)</f>
        <v>854.22286518300007</v>
      </c>
      <c r="F223" s="229">
        <f>SUM(F224:F227)</f>
        <v>783.10426369299989</v>
      </c>
      <c r="G223" s="229">
        <f>SUM(G224:G227)</f>
        <v>671.95028997300005</v>
      </c>
      <c r="H223" s="285"/>
      <c r="I223" s="285"/>
      <c r="J223" s="285"/>
      <c r="K223" s="285"/>
      <c r="L223" s="285"/>
      <c r="M223" s="285"/>
      <c r="N223" s="285"/>
      <c r="O223" s="285"/>
      <c r="P223" s="285"/>
      <c r="Q223" s="285"/>
      <c r="R223" s="285"/>
      <c r="S223" s="285"/>
      <c r="T223" s="285"/>
      <c r="U223" s="285"/>
      <c r="V223" s="285"/>
      <c r="W223" s="285"/>
      <c r="X223" s="285"/>
      <c r="Y223" s="285"/>
      <c r="Z223" s="285"/>
      <c r="AA223" s="285"/>
      <c r="AB223" s="285"/>
      <c r="AC223" s="285"/>
      <c r="AD223" s="285"/>
      <c r="AE223" s="285"/>
      <c r="AF223" s="285"/>
      <c r="AG223" s="285"/>
      <c r="AH223" s="285"/>
      <c r="AI223" s="285"/>
      <c r="AJ223" s="285"/>
      <c r="AK223" s="352"/>
    </row>
    <row r="224" spans="1:37" ht="14.25" customHeight="1" x14ac:dyDescent="0.45">
      <c r="A224" s="618"/>
      <c r="B224" s="215"/>
      <c r="C224" s="221" t="s">
        <v>190</v>
      </c>
      <c r="D224" s="499">
        <v>221.07223000000002</v>
      </c>
      <c r="E224" s="315">
        <v>23.632748481</v>
      </c>
      <c r="F224" s="315">
        <v>80.203914416000003</v>
      </c>
      <c r="G224" s="293">
        <v>38.275748651000015</v>
      </c>
      <c r="H224" s="285"/>
      <c r="I224" s="285"/>
      <c r="J224" s="285"/>
      <c r="K224" s="285"/>
      <c r="L224" s="285"/>
      <c r="M224" s="285"/>
      <c r="N224" s="285"/>
      <c r="O224" s="285"/>
      <c r="P224" s="285"/>
      <c r="Q224" s="285"/>
      <c r="R224" s="285"/>
      <c r="S224" s="285"/>
      <c r="T224" s="285"/>
      <c r="U224" s="285"/>
      <c r="V224" s="285"/>
      <c r="W224" s="285"/>
      <c r="X224" s="285"/>
      <c r="Y224" s="285"/>
      <c r="Z224" s="285"/>
      <c r="AA224" s="285"/>
      <c r="AB224" s="285"/>
      <c r="AC224" s="285"/>
      <c r="AD224" s="285"/>
      <c r="AE224" s="285"/>
      <c r="AF224" s="285"/>
      <c r="AG224" s="285"/>
      <c r="AH224" s="285"/>
      <c r="AI224" s="285"/>
      <c r="AJ224" s="285"/>
      <c r="AK224" s="352"/>
    </row>
    <row r="225" spans="1:37" ht="14.25" customHeight="1" x14ac:dyDescent="0.45">
      <c r="A225" s="618"/>
      <c r="B225" s="215"/>
      <c r="C225" s="221" t="s">
        <v>195</v>
      </c>
      <c r="D225" s="499">
        <v>991.70216999999991</v>
      </c>
      <c r="E225" s="315">
        <v>671.15736114599997</v>
      </c>
      <c r="F225" s="232">
        <v>547.78452914599995</v>
      </c>
      <c r="G225" s="293">
        <v>441.877426808</v>
      </c>
      <c r="H225" s="285"/>
      <c r="I225" s="285"/>
      <c r="J225" s="285"/>
      <c r="K225" s="285"/>
      <c r="L225" s="285"/>
      <c r="M225" s="285"/>
      <c r="N225" s="285"/>
      <c r="O225" s="285"/>
      <c r="P225" s="285"/>
      <c r="Q225" s="285"/>
      <c r="R225" s="285"/>
      <c r="S225" s="285"/>
      <c r="T225" s="285"/>
      <c r="U225" s="285"/>
      <c r="V225" s="285"/>
      <c r="W225" s="285"/>
      <c r="X225" s="285"/>
      <c r="Y225" s="285"/>
      <c r="Z225" s="285"/>
      <c r="AA225" s="285"/>
      <c r="AB225" s="285"/>
      <c r="AC225" s="285"/>
      <c r="AD225" s="285"/>
      <c r="AE225" s="285"/>
      <c r="AF225" s="285"/>
      <c r="AG225" s="285"/>
      <c r="AH225" s="285"/>
      <c r="AI225" s="285"/>
      <c r="AJ225" s="285"/>
      <c r="AK225" s="352"/>
    </row>
    <row r="226" spans="1:37" ht="14.25" customHeight="1" x14ac:dyDescent="0.45">
      <c r="A226" s="618"/>
      <c r="B226" s="215"/>
      <c r="C226" s="221" t="s">
        <v>344</v>
      </c>
      <c r="D226" s="232">
        <v>0.44</v>
      </c>
      <c r="E226" s="232">
        <v>0</v>
      </c>
      <c r="F226" s="232">
        <v>0</v>
      </c>
      <c r="G226" s="293">
        <v>0</v>
      </c>
      <c r="H226" s="285"/>
      <c r="I226" s="285"/>
      <c r="J226" s="285"/>
      <c r="K226" s="285"/>
      <c r="L226" s="285"/>
      <c r="M226" s="285"/>
      <c r="N226" s="285"/>
      <c r="O226" s="285"/>
      <c r="P226" s="285"/>
      <c r="Q226" s="285"/>
      <c r="R226" s="285"/>
      <c r="S226" s="285"/>
      <c r="T226" s="285"/>
      <c r="U226" s="285"/>
      <c r="V226" s="285"/>
      <c r="W226" s="285"/>
      <c r="X226" s="285"/>
      <c r="Y226" s="285"/>
      <c r="Z226" s="285"/>
      <c r="AA226" s="285"/>
      <c r="AB226" s="285"/>
      <c r="AC226" s="285"/>
      <c r="AD226" s="285"/>
      <c r="AE226" s="285"/>
      <c r="AF226" s="285"/>
      <c r="AG226" s="285"/>
      <c r="AH226" s="285"/>
      <c r="AI226" s="285"/>
      <c r="AJ226" s="285"/>
      <c r="AK226" s="352"/>
    </row>
    <row r="227" spans="1:37" ht="14.25" customHeight="1" x14ac:dyDescent="0.45">
      <c r="A227" s="618"/>
      <c r="B227" s="215"/>
      <c r="C227" s="221" t="s">
        <v>345</v>
      </c>
      <c r="D227" s="499">
        <v>236.36</v>
      </c>
      <c r="E227" s="232">
        <v>159.43275555600005</v>
      </c>
      <c r="F227" s="315">
        <v>155.11582013099996</v>
      </c>
      <c r="G227" s="293">
        <v>191.79711451400004</v>
      </c>
      <c r="H227" s="285"/>
      <c r="I227" s="285"/>
      <c r="J227" s="285"/>
      <c r="K227" s="285"/>
      <c r="L227" s="285"/>
      <c r="M227" s="285"/>
      <c r="N227" s="285"/>
      <c r="O227" s="285"/>
      <c r="P227" s="285"/>
      <c r="Q227" s="285"/>
      <c r="R227" s="285"/>
      <c r="S227" s="285"/>
      <c r="T227" s="285"/>
      <c r="U227" s="285"/>
      <c r="V227" s="285"/>
      <c r="W227" s="285"/>
      <c r="X227" s="285"/>
      <c r="Y227" s="285"/>
      <c r="Z227" s="285"/>
      <c r="AA227" s="285"/>
      <c r="AB227" s="285"/>
      <c r="AC227" s="285"/>
      <c r="AD227" s="285"/>
      <c r="AE227" s="285"/>
      <c r="AF227" s="285"/>
      <c r="AG227" s="285"/>
      <c r="AH227" s="285"/>
      <c r="AI227" s="285"/>
      <c r="AJ227" s="285"/>
      <c r="AK227" s="352"/>
    </row>
    <row r="228" spans="1:37" ht="14.25" customHeight="1" x14ac:dyDescent="0.45">
      <c r="A228" s="618"/>
      <c r="B228" s="215"/>
      <c r="C228" s="228" t="s">
        <v>188</v>
      </c>
      <c r="D228" s="229">
        <f>SUM(D229:D230)</f>
        <v>1019.80983</v>
      </c>
      <c r="E228" s="229">
        <f>SUM(E229:E230)</f>
        <v>888.65048518899994</v>
      </c>
      <c r="F228" s="229">
        <f>SUM(F229:F230)</f>
        <v>708.16172016500002</v>
      </c>
      <c r="G228" s="229">
        <f>SUM(G229:G230)</f>
        <v>594.53481072799991</v>
      </c>
      <c r="H228" s="285"/>
      <c r="I228" s="285"/>
      <c r="J228" s="285"/>
      <c r="K228" s="285"/>
      <c r="L228" s="285"/>
      <c r="M228" s="285"/>
      <c r="N228" s="285"/>
      <c r="O228" s="285"/>
      <c r="P228" s="285"/>
      <c r="Q228" s="285"/>
      <c r="R228" s="285"/>
      <c r="S228" s="285"/>
      <c r="T228" s="285"/>
      <c r="U228" s="285"/>
      <c r="V228" s="285"/>
      <c r="W228" s="285"/>
      <c r="X228" s="285"/>
      <c r="Y228" s="285"/>
      <c r="Z228" s="285"/>
      <c r="AA228" s="285"/>
      <c r="AB228" s="285"/>
      <c r="AC228" s="285"/>
      <c r="AD228" s="285"/>
      <c r="AE228" s="285"/>
      <c r="AF228" s="285"/>
      <c r="AG228" s="285"/>
      <c r="AH228" s="285"/>
      <c r="AI228" s="285"/>
      <c r="AJ228" s="285"/>
      <c r="AK228" s="352"/>
    </row>
    <row r="229" spans="1:37" ht="14.25" customHeight="1" x14ac:dyDescent="0.45">
      <c r="A229" s="618"/>
      <c r="B229" s="215"/>
      <c r="C229" s="221" t="s">
        <v>190</v>
      </c>
      <c r="D229" s="101">
        <v>119.83982999999999</v>
      </c>
      <c r="E229" s="315">
        <v>68.469887980999999</v>
      </c>
      <c r="F229" s="315">
        <v>23.064528576000001</v>
      </c>
      <c r="G229" s="293">
        <v>15.517378860000001</v>
      </c>
      <c r="H229" s="285"/>
      <c r="I229" s="285"/>
      <c r="J229" s="285"/>
      <c r="K229" s="285"/>
      <c r="L229" s="285"/>
      <c r="M229" s="285"/>
      <c r="N229" s="285"/>
      <c r="O229" s="285"/>
      <c r="P229" s="285"/>
      <c r="Q229" s="285"/>
      <c r="R229" s="285"/>
      <c r="S229" s="285"/>
      <c r="T229" s="285"/>
      <c r="U229" s="285"/>
      <c r="V229" s="285"/>
      <c r="W229" s="285"/>
      <c r="X229" s="285"/>
      <c r="Y229" s="285"/>
      <c r="Z229" s="285"/>
      <c r="AA229" s="285"/>
      <c r="AB229" s="285"/>
      <c r="AC229" s="285"/>
      <c r="AD229" s="285"/>
      <c r="AE229" s="285"/>
      <c r="AF229" s="285"/>
      <c r="AG229" s="285"/>
      <c r="AH229" s="285"/>
      <c r="AI229" s="285"/>
      <c r="AJ229" s="285"/>
      <c r="AK229" s="352"/>
    </row>
    <row r="230" spans="1:37" ht="14.25" customHeight="1" x14ac:dyDescent="0.45">
      <c r="A230" s="618"/>
      <c r="B230" s="215"/>
      <c r="C230" s="221" t="s">
        <v>411</v>
      </c>
      <c r="D230" s="101">
        <v>899.97</v>
      </c>
      <c r="E230" s="232">
        <v>820.18059720799999</v>
      </c>
      <c r="F230" s="232">
        <v>685.09719158899998</v>
      </c>
      <c r="G230" s="293">
        <v>579.0174318679999</v>
      </c>
      <c r="H230" s="285"/>
      <c r="I230" s="285"/>
      <c r="J230" s="285"/>
      <c r="K230" s="285"/>
      <c r="L230" s="285"/>
      <c r="M230" s="285"/>
      <c r="N230" s="285"/>
      <c r="O230" s="285"/>
      <c r="P230" s="285"/>
      <c r="Q230" s="285"/>
      <c r="R230" s="285"/>
      <c r="S230" s="285"/>
      <c r="T230" s="285"/>
      <c r="U230" s="285"/>
      <c r="V230" s="285"/>
      <c r="W230" s="285"/>
      <c r="X230" s="285"/>
      <c r="Y230" s="285"/>
      <c r="Z230" s="285"/>
      <c r="AA230" s="285"/>
      <c r="AB230" s="285"/>
      <c r="AC230" s="285"/>
      <c r="AD230" s="285"/>
      <c r="AE230" s="285"/>
      <c r="AF230" s="285"/>
      <c r="AG230" s="285"/>
      <c r="AH230" s="285"/>
      <c r="AI230" s="285"/>
      <c r="AJ230" s="285"/>
      <c r="AK230" s="352"/>
    </row>
    <row r="231" spans="1:37" ht="14.25" customHeight="1" x14ac:dyDescent="0.45">
      <c r="A231" s="618"/>
      <c r="B231" s="215"/>
      <c r="C231" s="228" t="s">
        <v>193</v>
      </c>
      <c r="D231" s="229">
        <f>SUM(D232)</f>
        <v>1708.53</v>
      </c>
      <c r="E231" s="229">
        <f>SUM(E232)</f>
        <v>1234.3026950349999</v>
      </c>
      <c r="F231" s="229">
        <f>SUM(F232)</f>
        <v>920.36530786200001</v>
      </c>
      <c r="G231" s="229">
        <f>SUM(G232)</f>
        <v>843.0561586450001</v>
      </c>
      <c r="H231" s="285"/>
      <c r="I231" s="285"/>
      <c r="J231" s="285"/>
      <c r="K231" s="285"/>
      <c r="L231" s="285"/>
      <c r="M231" s="285"/>
      <c r="N231" s="285"/>
      <c r="O231" s="285"/>
      <c r="P231" s="285"/>
      <c r="Q231" s="285"/>
      <c r="R231" s="285"/>
      <c r="S231" s="285"/>
      <c r="T231" s="285"/>
      <c r="U231" s="285"/>
      <c r="V231" s="285"/>
      <c r="W231" s="285"/>
      <c r="X231" s="285"/>
      <c r="Y231" s="285"/>
      <c r="Z231" s="285"/>
      <c r="AA231" s="285"/>
      <c r="AB231" s="285"/>
      <c r="AC231" s="285"/>
      <c r="AD231" s="285"/>
      <c r="AE231" s="285"/>
      <c r="AF231" s="285"/>
      <c r="AG231" s="285"/>
      <c r="AH231" s="285"/>
      <c r="AI231" s="285"/>
      <c r="AJ231" s="285"/>
      <c r="AK231" s="352"/>
    </row>
    <row r="232" spans="1:37" ht="14.25" customHeight="1" x14ac:dyDescent="0.45">
      <c r="A232" s="618"/>
      <c r="B232" s="215"/>
      <c r="C232" s="221" t="s">
        <v>195</v>
      </c>
      <c r="D232" s="101">
        <v>1708.53</v>
      </c>
      <c r="E232" s="232">
        <v>1234.3026950349999</v>
      </c>
      <c r="F232" s="232">
        <v>920.36530786200001</v>
      </c>
      <c r="G232" s="293">
        <v>843.0561586450001</v>
      </c>
      <c r="H232" s="285"/>
      <c r="I232" s="285"/>
      <c r="J232" s="285"/>
      <c r="K232" s="285"/>
      <c r="L232" s="285"/>
      <c r="M232" s="285"/>
      <c r="N232" s="285"/>
      <c r="O232" s="285"/>
      <c r="P232" s="285"/>
      <c r="Q232" s="285"/>
      <c r="R232" s="285"/>
      <c r="S232" s="285"/>
      <c r="T232" s="285"/>
      <c r="U232" s="285"/>
      <c r="V232" s="285"/>
      <c r="W232" s="285"/>
      <c r="X232" s="285"/>
      <c r="Y232" s="285"/>
      <c r="Z232" s="285"/>
      <c r="AA232" s="285"/>
      <c r="AB232" s="285"/>
      <c r="AC232" s="285"/>
      <c r="AD232" s="285"/>
      <c r="AE232" s="285"/>
      <c r="AF232" s="285"/>
      <c r="AG232" s="285"/>
      <c r="AH232" s="285"/>
      <c r="AI232" s="285"/>
      <c r="AJ232" s="285"/>
      <c r="AK232" s="352"/>
    </row>
    <row r="233" spans="1:37" ht="14.25" customHeight="1" x14ac:dyDescent="0.45">
      <c r="A233" s="618"/>
      <c r="B233" s="215"/>
      <c r="C233" s="224" t="s">
        <v>929</v>
      </c>
      <c r="D233" s="295">
        <f>SUM(D235)</f>
        <v>45.53</v>
      </c>
      <c r="E233" s="295">
        <f>SUM(E235)</f>
        <v>41.160000000000004</v>
      </c>
      <c r="F233" s="295">
        <f>SUM(F235)</f>
        <v>43.99</v>
      </c>
      <c r="G233" s="295">
        <f>SUM(G235)</f>
        <v>42.13</v>
      </c>
      <c r="H233" s="285"/>
      <c r="I233" s="285"/>
      <c r="J233" s="285"/>
      <c r="K233" s="285"/>
      <c r="L233" s="285"/>
      <c r="M233" s="285"/>
      <c r="N233" s="285"/>
      <c r="O233" s="285"/>
      <c r="P233" s="285"/>
      <c r="Q233" s="285"/>
      <c r="R233" s="285"/>
      <c r="S233" s="285"/>
      <c r="T233" s="285"/>
      <c r="U233" s="285"/>
      <c r="V233" s="285"/>
      <c r="W233" s="285"/>
      <c r="X233" s="285"/>
      <c r="Y233" s="285"/>
      <c r="Z233" s="285"/>
      <c r="AA233" s="285"/>
      <c r="AB233" s="285"/>
      <c r="AC233" s="285"/>
      <c r="AD233" s="285"/>
      <c r="AE233" s="285"/>
      <c r="AF233" s="285"/>
      <c r="AG233" s="285"/>
      <c r="AH233" s="285"/>
      <c r="AI233" s="285"/>
      <c r="AJ233" s="285"/>
      <c r="AK233" s="352"/>
    </row>
    <row r="234" spans="1:37" ht="14.25" customHeight="1" x14ac:dyDescent="0.45">
      <c r="A234" s="618"/>
      <c r="B234" s="215"/>
      <c r="C234" s="228" t="s">
        <v>197</v>
      </c>
      <c r="D234" s="229"/>
      <c r="E234" s="229"/>
      <c r="F234" s="229"/>
      <c r="G234" s="229"/>
      <c r="H234" s="285"/>
      <c r="I234" s="285"/>
      <c r="J234" s="285"/>
      <c r="K234" s="285"/>
      <c r="L234" s="285"/>
      <c r="M234" s="285"/>
      <c r="N234" s="285"/>
      <c r="O234" s="285"/>
      <c r="P234" s="285"/>
      <c r="Q234" s="285"/>
      <c r="R234" s="285"/>
      <c r="S234" s="285"/>
      <c r="T234" s="285"/>
      <c r="U234" s="285"/>
      <c r="V234" s="285"/>
      <c r="W234" s="285"/>
      <c r="X234" s="285"/>
      <c r="Y234" s="285"/>
      <c r="Z234" s="285"/>
      <c r="AA234" s="285"/>
      <c r="AB234" s="285"/>
      <c r="AC234" s="285"/>
      <c r="AD234" s="285"/>
      <c r="AE234" s="285"/>
      <c r="AF234" s="285"/>
      <c r="AG234" s="285"/>
      <c r="AH234" s="285"/>
      <c r="AI234" s="285"/>
      <c r="AJ234" s="285"/>
      <c r="AK234" s="352"/>
    </row>
    <row r="235" spans="1:37" ht="14.25" customHeight="1" x14ac:dyDescent="0.45">
      <c r="A235" s="618"/>
      <c r="B235" s="215"/>
      <c r="C235" s="221" t="s">
        <v>196</v>
      </c>
      <c r="D235" s="232">
        <v>45.53</v>
      </c>
      <c r="E235" s="232">
        <v>41.160000000000004</v>
      </c>
      <c r="F235" s="232">
        <v>43.99</v>
      </c>
      <c r="G235" s="232">
        <v>42.13</v>
      </c>
      <c r="H235" s="285"/>
      <c r="I235" s="285"/>
      <c r="J235" s="285"/>
      <c r="K235" s="285"/>
      <c r="L235" s="285"/>
      <c r="M235" s="285"/>
      <c r="N235" s="285"/>
      <c r="O235" s="285"/>
      <c r="P235" s="285"/>
      <c r="Q235" s="285"/>
      <c r="R235" s="285"/>
      <c r="S235" s="285"/>
      <c r="T235" s="285"/>
      <c r="U235" s="285"/>
      <c r="V235" s="285"/>
      <c r="W235" s="285"/>
      <c r="X235" s="285"/>
      <c r="Y235" s="285"/>
      <c r="Z235" s="285"/>
      <c r="AA235" s="285"/>
      <c r="AB235" s="285"/>
      <c r="AC235" s="285"/>
      <c r="AD235" s="285"/>
      <c r="AE235" s="285"/>
      <c r="AF235" s="285"/>
      <c r="AG235" s="285"/>
      <c r="AH235" s="285"/>
      <c r="AI235" s="285"/>
      <c r="AJ235" s="285"/>
      <c r="AK235" s="352"/>
    </row>
    <row r="236" spans="1:37" ht="14.25" customHeight="1" x14ac:dyDescent="0.45">
      <c r="A236" s="618"/>
      <c r="B236" s="215"/>
      <c r="C236" s="234" t="s">
        <v>930</v>
      </c>
      <c r="D236" s="218"/>
      <c r="E236" s="325"/>
      <c r="F236" s="285"/>
      <c r="G236" s="218"/>
      <c r="H236" s="325"/>
      <c r="I236" s="285"/>
      <c r="J236" s="285"/>
      <c r="K236" s="285"/>
      <c r="L236" s="285"/>
      <c r="M236" s="285"/>
      <c r="N236" s="285"/>
      <c r="O236" s="285"/>
      <c r="P236" s="285"/>
      <c r="Q236" s="285"/>
      <c r="R236" s="285"/>
      <c r="S236" s="285"/>
      <c r="T236" s="285"/>
      <c r="U236" s="285"/>
      <c r="V236" s="285"/>
      <c r="W236" s="285"/>
      <c r="X236" s="285"/>
      <c r="Y236" s="285"/>
      <c r="Z236" s="285"/>
      <c r="AA236" s="285"/>
      <c r="AB236" s="285"/>
      <c r="AC236" s="285"/>
      <c r="AD236" s="285"/>
      <c r="AE236" s="285"/>
      <c r="AF236" s="285"/>
      <c r="AG236" s="285"/>
      <c r="AH236" s="285"/>
      <c r="AI236" s="285"/>
      <c r="AJ236" s="285"/>
      <c r="AK236" s="285"/>
    </row>
    <row r="237" spans="1:37" ht="14.25" customHeight="1" x14ac:dyDescent="0.45">
      <c r="A237" s="618"/>
      <c r="B237" s="215"/>
      <c r="C237" s="304" t="s">
        <v>201</v>
      </c>
      <c r="D237" s="232">
        <v>104.35</v>
      </c>
      <c r="E237" s="232">
        <v>150.52000000000001</v>
      </c>
      <c r="F237" s="232">
        <v>142.69</v>
      </c>
      <c r="G237" s="232">
        <v>150.37126260000002</v>
      </c>
      <c r="H237" s="325"/>
      <c r="I237" s="285"/>
      <c r="J237" s="285"/>
      <c r="K237" s="285"/>
      <c r="L237" s="285"/>
      <c r="M237" s="285"/>
      <c r="N237" s="285"/>
      <c r="O237" s="285"/>
      <c r="P237" s="285"/>
      <c r="Q237" s="285"/>
      <c r="R237" s="285"/>
      <c r="S237" s="285"/>
      <c r="T237" s="285"/>
      <c r="U237" s="285"/>
      <c r="V237" s="285"/>
      <c r="W237" s="285"/>
      <c r="X237" s="285"/>
      <c r="Y237" s="285"/>
      <c r="Z237" s="285"/>
      <c r="AA237" s="285"/>
      <c r="AB237" s="285"/>
      <c r="AC237" s="285"/>
      <c r="AD237" s="285"/>
      <c r="AE237" s="285"/>
      <c r="AF237" s="285"/>
      <c r="AG237" s="285"/>
      <c r="AH237" s="285"/>
      <c r="AI237" s="285"/>
      <c r="AJ237" s="285"/>
      <c r="AK237" s="285"/>
    </row>
    <row r="238" spans="1:37" ht="14.25" customHeight="1" x14ac:dyDescent="0.45">
      <c r="A238" s="618"/>
      <c r="B238" s="215"/>
      <c r="C238" s="304" t="s">
        <v>203</v>
      </c>
      <c r="D238" s="232">
        <v>887.98</v>
      </c>
      <c r="E238" s="232">
        <v>1180.1400000000001</v>
      </c>
      <c r="F238" s="232">
        <v>878.78</v>
      </c>
      <c r="G238" s="232">
        <v>1066.6739984330002</v>
      </c>
      <c r="H238" s="325"/>
      <c r="I238" s="285"/>
      <c r="J238" s="285"/>
      <c r="K238" s="285"/>
      <c r="L238" s="285"/>
      <c r="M238" s="285"/>
      <c r="N238" s="285"/>
      <c r="O238" s="285"/>
      <c r="P238" s="285"/>
      <c r="Q238" s="285"/>
      <c r="R238" s="285"/>
      <c r="S238" s="285"/>
      <c r="T238" s="285"/>
      <c r="U238" s="285"/>
      <c r="V238" s="285"/>
      <c r="W238" s="285"/>
      <c r="X238" s="285"/>
      <c r="Y238" s="285"/>
      <c r="Z238" s="285"/>
      <c r="AA238" s="285"/>
      <c r="AB238" s="285"/>
      <c r="AC238" s="285"/>
      <c r="AD238" s="285"/>
      <c r="AE238" s="285"/>
      <c r="AF238" s="285"/>
      <c r="AG238" s="285"/>
      <c r="AH238" s="285"/>
      <c r="AI238" s="285"/>
      <c r="AJ238" s="285"/>
      <c r="AK238" s="285"/>
    </row>
    <row r="239" spans="1:37" ht="14.25" customHeight="1" x14ac:dyDescent="0.45">
      <c r="A239" s="618"/>
      <c r="B239" s="215"/>
      <c r="C239" s="304" t="s">
        <v>205</v>
      </c>
      <c r="D239" s="232" t="s">
        <v>221</v>
      </c>
      <c r="E239" s="232" t="s">
        <v>221</v>
      </c>
      <c r="F239" s="232" t="s">
        <v>221</v>
      </c>
      <c r="G239" s="232" t="s">
        <v>221</v>
      </c>
      <c r="H239" s="325"/>
      <c r="I239" s="285"/>
      <c r="J239" s="285"/>
      <c r="K239" s="285"/>
      <c r="L239" s="285"/>
      <c r="M239" s="285"/>
      <c r="N239" s="285"/>
      <c r="O239" s="285"/>
      <c r="P239" s="285"/>
      <c r="Q239" s="285"/>
      <c r="R239" s="285"/>
      <c r="S239" s="285"/>
      <c r="T239" s="285"/>
      <c r="U239" s="285"/>
      <c r="V239" s="285"/>
      <c r="W239" s="285"/>
      <c r="X239" s="285"/>
      <c r="Y239" s="285"/>
      <c r="Z239" s="285"/>
      <c r="AA239" s="285"/>
      <c r="AB239" s="285"/>
      <c r="AC239" s="285"/>
      <c r="AD239" s="285"/>
      <c r="AE239" s="285"/>
      <c r="AF239" s="285"/>
      <c r="AG239" s="285"/>
      <c r="AH239" s="285"/>
      <c r="AI239" s="285"/>
      <c r="AJ239" s="285"/>
      <c r="AK239" s="285"/>
    </row>
    <row r="240" spans="1:37" ht="14.25" customHeight="1" x14ac:dyDescent="0.45">
      <c r="A240" s="618"/>
      <c r="B240" s="215"/>
      <c r="C240" s="304" t="s">
        <v>207</v>
      </c>
      <c r="D240" s="232" t="s">
        <v>221</v>
      </c>
      <c r="E240" s="232" t="s">
        <v>221</v>
      </c>
      <c r="F240" s="232" t="s">
        <v>221</v>
      </c>
      <c r="G240" s="232" t="s">
        <v>221</v>
      </c>
      <c r="H240" s="325"/>
      <c r="I240" s="285"/>
      <c r="J240" s="285"/>
      <c r="K240" s="285"/>
      <c r="L240" s="285"/>
      <c r="M240" s="285"/>
      <c r="N240" s="285"/>
      <c r="O240" s="285"/>
      <c r="P240" s="285"/>
      <c r="Q240" s="285"/>
      <c r="R240" s="285"/>
      <c r="S240" s="285"/>
      <c r="T240" s="285"/>
      <c r="U240" s="285"/>
      <c r="V240" s="285"/>
      <c r="W240" s="285"/>
      <c r="X240" s="285"/>
      <c r="Y240" s="285"/>
      <c r="Z240" s="285"/>
      <c r="AA240" s="285"/>
      <c r="AB240" s="285"/>
      <c r="AC240" s="285"/>
      <c r="AD240" s="285"/>
      <c r="AE240" s="285"/>
      <c r="AF240" s="285"/>
      <c r="AG240" s="285"/>
      <c r="AH240" s="285"/>
      <c r="AI240" s="285"/>
      <c r="AJ240" s="285"/>
      <c r="AK240" s="285"/>
    </row>
    <row r="241" spans="1:37" ht="14.25" customHeight="1" x14ac:dyDescent="0.45">
      <c r="A241" s="618"/>
      <c r="B241" s="215"/>
      <c r="C241" s="304" t="s">
        <v>209</v>
      </c>
      <c r="D241" s="232">
        <v>1813.56</v>
      </c>
      <c r="E241" s="315">
        <v>2012.3057756910002</v>
      </c>
      <c r="F241" s="232">
        <v>1855.1156071469998</v>
      </c>
      <c r="G241" s="232">
        <v>2000.6859121830003</v>
      </c>
      <c r="H241" s="325"/>
      <c r="I241" s="285"/>
      <c r="J241" s="285"/>
      <c r="K241" s="285"/>
      <c r="L241" s="285"/>
      <c r="M241" s="285"/>
      <c r="N241" s="285"/>
      <c r="O241" s="285"/>
      <c r="P241" s="285"/>
      <c r="Q241" s="285"/>
      <c r="R241" s="285"/>
      <c r="S241" s="285"/>
      <c r="T241" s="285"/>
      <c r="U241" s="285"/>
      <c r="V241" s="285"/>
      <c r="W241" s="285"/>
      <c r="X241" s="285"/>
      <c r="Y241" s="285"/>
      <c r="Z241" s="285"/>
      <c r="AA241" s="285"/>
      <c r="AB241" s="285"/>
      <c r="AC241" s="285"/>
      <c r="AD241" s="285"/>
      <c r="AE241" s="285"/>
      <c r="AF241" s="285"/>
      <c r="AG241" s="285"/>
      <c r="AH241" s="285"/>
      <c r="AI241" s="285"/>
      <c r="AJ241" s="285"/>
      <c r="AK241" s="285"/>
    </row>
    <row r="242" spans="1:37" ht="14.25" customHeight="1" x14ac:dyDescent="0.45">
      <c r="A242" s="618"/>
      <c r="B242" s="215"/>
      <c r="C242" s="304" t="s">
        <v>211</v>
      </c>
      <c r="D242" s="232">
        <v>4903.8500000000004</v>
      </c>
      <c r="E242" s="232">
        <v>5608.7444978149979</v>
      </c>
      <c r="F242" s="232">
        <v>5198.8096784030004</v>
      </c>
      <c r="G242" s="232">
        <v>5487.5721022830012</v>
      </c>
      <c r="H242" s="325"/>
      <c r="I242" s="285"/>
      <c r="J242" s="285"/>
      <c r="K242" s="285"/>
      <c r="L242" s="285"/>
      <c r="M242" s="285"/>
      <c r="N242" s="285"/>
      <c r="O242" s="285"/>
      <c r="P242" s="285"/>
      <c r="Q242" s="285"/>
      <c r="R242" s="285"/>
      <c r="S242" s="285"/>
      <c r="T242" s="285"/>
      <c r="U242" s="285"/>
      <c r="V242" s="285"/>
      <c r="W242" s="285"/>
      <c r="X242" s="285"/>
      <c r="Y242" s="285"/>
      <c r="Z242" s="285"/>
      <c r="AA242" s="285"/>
      <c r="AB242" s="285"/>
      <c r="AC242" s="285"/>
      <c r="AD242" s="285"/>
      <c r="AE242" s="285"/>
      <c r="AF242" s="285"/>
      <c r="AG242" s="285"/>
      <c r="AH242" s="285"/>
      <c r="AI242" s="285"/>
      <c r="AJ242" s="285"/>
      <c r="AK242" s="285"/>
    </row>
    <row r="243" spans="1:37" ht="14.25" customHeight="1" x14ac:dyDescent="0.45">
      <c r="A243" s="618"/>
      <c r="B243" s="215"/>
      <c r="C243" s="234" t="s">
        <v>931</v>
      </c>
      <c r="D243" s="232"/>
      <c r="E243" s="232"/>
      <c r="F243" s="232"/>
      <c r="G243" s="218"/>
      <c r="H243" s="325"/>
      <c r="I243" s="285"/>
      <c r="J243" s="285"/>
      <c r="K243" s="285"/>
      <c r="L243" s="285"/>
      <c r="M243" s="285"/>
      <c r="N243" s="285"/>
      <c r="O243" s="285"/>
      <c r="P243" s="285"/>
      <c r="Q243" s="285"/>
      <c r="R243" s="285"/>
      <c r="S243" s="285"/>
      <c r="T243" s="285"/>
      <c r="U243" s="285"/>
      <c r="V243" s="285"/>
      <c r="W243" s="285"/>
      <c r="X243" s="285"/>
      <c r="Y243" s="285"/>
      <c r="Z243" s="285"/>
      <c r="AA243" s="285"/>
      <c r="AB243" s="285"/>
      <c r="AC243" s="285"/>
      <c r="AD243" s="285"/>
      <c r="AE243" s="285"/>
      <c r="AF243" s="285"/>
      <c r="AG243" s="285"/>
      <c r="AH243" s="285"/>
      <c r="AI243" s="285"/>
      <c r="AJ243" s="285"/>
      <c r="AK243" s="285"/>
    </row>
    <row r="244" spans="1:37" ht="14.25" customHeight="1" x14ac:dyDescent="0.45">
      <c r="A244" s="618"/>
      <c r="B244" s="215"/>
      <c r="C244" s="304" t="s">
        <v>201</v>
      </c>
      <c r="D244" s="232">
        <v>269.97986999999995</v>
      </c>
      <c r="E244" s="315">
        <v>271.41713802999993</v>
      </c>
      <c r="F244" s="315">
        <v>302.71075421300003</v>
      </c>
      <c r="G244" s="232">
        <v>373.67837470899997</v>
      </c>
      <c r="H244" s="325"/>
      <c r="I244" s="285"/>
      <c r="J244" s="285"/>
      <c r="K244" s="285"/>
      <c r="L244" s="285"/>
      <c r="M244" s="285"/>
      <c r="N244" s="285"/>
      <c r="O244" s="285"/>
      <c r="P244" s="285"/>
      <c r="Q244" s="285"/>
      <c r="R244" s="285"/>
      <c r="S244" s="285"/>
      <c r="T244" s="285"/>
      <c r="U244" s="285"/>
      <c r="V244" s="285"/>
      <c r="W244" s="285"/>
      <c r="X244" s="285"/>
      <c r="Y244" s="285"/>
      <c r="Z244" s="285"/>
      <c r="AA244" s="285"/>
      <c r="AB244" s="285"/>
      <c r="AC244" s="285"/>
      <c r="AD244" s="285"/>
      <c r="AE244" s="285"/>
      <c r="AF244" s="285"/>
      <c r="AG244" s="285"/>
      <c r="AH244" s="285"/>
      <c r="AI244" s="285"/>
      <c r="AJ244" s="285"/>
      <c r="AK244" s="285"/>
    </row>
    <row r="245" spans="1:37" ht="14.25" customHeight="1" x14ac:dyDescent="0.45">
      <c r="A245" s="618"/>
      <c r="B245" s="215"/>
      <c r="C245" s="304" t="s">
        <v>203</v>
      </c>
      <c r="D245" s="232">
        <v>389.21000000000004</v>
      </c>
      <c r="E245" s="315">
        <v>1344.514893457</v>
      </c>
      <c r="F245" s="232">
        <v>1353.3423450810001</v>
      </c>
      <c r="G245" s="232">
        <v>1540.910416425</v>
      </c>
      <c r="H245" s="325"/>
      <c r="I245" s="285"/>
      <c r="J245" s="285"/>
      <c r="K245" s="285"/>
      <c r="L245" s="285"/>
      <c r="M245" s="285"/>
      <c r="N245" s="285"/>
      <c r="O245" s="285"/>
      <c r="P245" s="285"/>
      <c r="Q245" s="285"/>
      <c r="R245" s="285"/>
      <c r="S245" s="285"/>
      <c r="T245" s="285"/>
      <c r="U245" s="285"/>
      <c r="V245" s="285"/>
      <c r="W245" s="285"/>
      <c r="X245" s="285"/>
      <c r="Y245" s="285"/>
      <c r="Z245" s="285"/>
      <c r="AA245" s="285"/>
      <c r="AB245" s="285"/>
      <c r="AC245" s="285"/>
      <c r="AD245" s="285"/>
      <c r="AE245" s="285"/>
      <c r="AF245" s="285"/>
      <c r="AG245" s="285"/>
      <c r="AH245" s="285"/>
      <c r="AI245" s="285"/>
      <c r="AJ245" s="285"/>
      <c r="AK245" s="285"/>
    </row>
    <row r="246" spans="1:37" ht="14.25" customHeight="1" x14ac:dyDescent="0.45">
      <c r="A246" s="618"/>
      <c r="B246" s="215"/>
      <c r="C246" s="304" t="s">
        <v>205</v>
      </c>
      <c r="D246" s="232" t="s">
        <v>221</v>
      </c>
      <c r="E246" s="232" t="s">
        <v>221</v>
      </c>
      <c r="F246" s="232" t="s">
        <v>221</v>
      </c>
      <c r="G246" s="232" t="s">
        <v>221</v>
      </c>
      <c r="H246" s="325"/>
      <c r="I246" s="285"/>
      <c r="J246" s="285"/>
      <c r="K246" s="285"/>
      <c r="L246" s="285"/>
      <c r="M246" s="285"/>
      <c r="N246" s="285"/>
      <c r="O246" s="285"/>
      <c r="P246" s="285"/>
      <c r="Q246" s="285"/>
      <c r="R246" s="285"/>
      <c r="S246" s="285"/>
      <c r="T246" s="285"/>
      <c r="U246" s="285"/>
      <c r="V246" s="285"/>
      <c r="W246" s="285"/>
      <c r="X246" s="285"/>
      <c r="Y246" s="285"/>
      <c r="Z246" s="285"/>
      <c r="AA246" s="285"/>
      <c r="AB246" s="285"/>
      <c r="AC246" s="285"/>
      <c r="AD246" s="285"/>
      <c r="AE246" s="285"/>
      <c r="AF246" s="285"/>
      <c r="AG246" s="285"/>
      <c r="AH246" s="285"/>
      <c r="AI246" s="285"/>
      <c r="AJ246" s="285"/>
      <c r="AK246" s="285"/>
    </row>
    <row r="247" spans="1:37" ht="14.25" customHeight="1" x14ac:dyDescent="0.45">
      <c r="A247" s="618"/>
      <c r="B247" s="215"/>
      <c r="C247" s="304" t="s">
        <v>207</v>
      </c>
      <c r="D247" s="232">
        <v>2720.2434900000003</v>
      </c>
      <c r="E247" s="232">
        <v>3330.0412400000005</v>
      </c>
      <c r="F247" s="232">
        <v>2862.8140399999997</v>
      </c>
      <c r="G247" s="232">
        <v>3086.5289692439992</v>
      </c>
      <c r="H247" s="325"/>
      <c r="I247" s="285"/>
      <c r="J247" s="285"/>
      <c r="K247" s="285"/>
      <c r="L247" s="285"/>
      <c r="M247" s="285"/>
      <c r="N247" s="285"/>
      <c r="O247" s="285"/>
      <c r="P247" s="285"/>
      <c r="Q247" s="285"/>
      <c r="R247" s="285"/>
      <c r="S247" s="285"/>
      <c r="T247" s="285"/>
      <c r="U247" s="285"/>
      <c r="V247" s="285"/>
      <c r="W247" s="285"/>
      <c r="X247" s="285"/>
      <c r="Y247" s="285"/>
      <c r="Z247" s="285"/>
      <c r="AA247" s="285"/>
      <c r="AB247" s="285"/>
      <c r="AC247" s="285"/>
      <c r="AD247" s="285"/>
      <c r="AE247" s="285"/>
      <c r="AF247" s="285"/>
      <c r="AG247" s="285"/>
      <c r="AH247" s="285"/>
      <c r="AI247" s="285"/>
      <c r="AJ247" s="285"/>
      <c r="AK247" s="285"/>
    </row>
    <row r="248" spans="1:37" ht="14.25" customHeight="1" x14ac:dyDescent="0.45">
      <c r="A248" s="618"/>
      <c r="B248" s="215"/>
      <c r="C248" s="304" t="s">
        <v>209</v>
      </c>
      <c r="D248" s="232">
        <v>1234.06</v>
      </c>
      <c r="E248" s="315">
        <v>1922.6003049999999</v>
      </c>
      <c r="F248" s="232">
        <v>2468.4015100000001</v>
      </c>
      <c r="G248" s="232">
        <v>2641.7119395679997</v>
      </c>
      <c r="H248" s="325"/>
      <c r="I248" s="285"/>
      <c r="J248" s="285"/>
      <c r="K248" s="285"/>
      <c r="L248" s="285"/>
      <c r="M248" s="285"/>
      <c r="N248" s="285"/>
      <c r="O248" s="285"/>
      <c r="P248" s="285"/>
      <c r="Q248" s="285"/>
      <c r="R248" s="285"/>
      <c r="S248" s="285"/>
      <c r="T248" s="285"/>
      <c r="U248" s="285"/>
      <c r="V248" s="285"/>
      <c r="W248" s="285"/>
      <c r="X248" s="285"/>
      <c r="Y248" s="285"/>
      <c r="Z248" s="285"/>
      <c r="AA248" s="285"/>
      <c r="AB248" s="285"/>
      <c r="AC248" s="285"/>
      <c r="AD248" s="285"/>
      <c r="AE248" s="285"/>
      <c r="AF248" s="285"/>
      <c r="AG248" s="285"/>
      <c r="AH248" s="285"/>
      <c r="AI248" s="285"/>
      <c r="AJ248" s="285"/>
      <c r="AK248" s="285"/>
    </row>
    <row r="249" spans="1:37" ht="14.25" customHeight="1" x14ac:dyDescent="0.45">
      <c r="A249" s="618"/>
      <c r="B249" s="215"/>
      <c r="C249" s="304" t="s">
        <v>211</v>
      </c>
      <c r="D249" s="232">
        <v>8338.380000000001</v>
      </c>
      <c r="E249" s="232">
        <v>8798.85</v>
      </c>
      <c r="F249" s="232">
        <v>9250.199166088998</v>
      </c>
      <c r="G249" s="232">
        <v>9207.3941118819985</v>
      </c>
      <c r="H249" s="325"/>
      <c r="I249" s="285"/>
      <c r="J249" s="285"/>
      <c r="K249" s="285"/>
      <c r="L249" s="285"/>
      <c r="M249" s="285"/>
      <c r="N249" s="285"/>
      <c r="O249" s="285"/>
      <c r="P249" s="285"/>
      <c r="Q249" s="285"/>
      <c r="R249" s="285"/>
      <c r="S249" s="285"/>
      <c r="T249" s="285"/>
      <c r="U249" s="285"/>
      <c r="V249" s="285"/>
      <c r="W249" s="285"/>
      <c r="X249" s="285"/>
      <c r="Y249" s="285"/>
      <c r="Z249" s="285"/>
      <c r="AA249" s="285"/>
      <c r="AB249" s="285"/>
      <c r="AC249" s="285"/>
      <c r="AD249" s="285"/>
      <c r="AE249" s="285"/>
      <c r="AF249" s="285"/>
      <c r="AG249" s="285"/>
      <c r="AH249" s="285"/>
      <c r="AI249" s="285"/>
      <c r="AJ249" s="285"/>
      <c r="AK249" s="285"/>
    </row>
    <row r="250" spans="1:37" ht="14.25" customHeight="1" x14ac:dyDescent="0.45">
      <c r="A250" s="618"/>
      <c r="B250" s="215"/>
      <c r="C250" s="221" t="s">
        <v>350</v>
      </c>
      <c r="D250" s="28">
        <f>D210+D213+D214+D221+D222+D233</f>
        <v>25375.96759</v>
      </c>
      <c r="E250" s="28">
        <f>E210+E213+E214+E221+E222+E233</f>
        <v>28164.138446292</v>
      </c>
      <c r="F250" s="28">
        <f>F210+F213+F214+F221+F222+F233</f>
        <v>27300.514803087997</v>
      </c>
      <c r="G250" s="28">
        <f>G210+G213+G214+G221+G222+G233</f>
        <v>28173.496176173001</v>
      </c>
      <c r="H250" s="285"/>
      <c r="I250" s="285"/>
      <c r="J250" s="285"/>
      <c r="K250" s="285"/>
      <c r="L250" s="285"/>
      <c r="M250" s="285"/>
      <c r="N250" s="285"/>
      <c r="O250" s="285"/>
      <c r="P250" s="285"/>
      <c r="Q250" s="285"/>
      <c r="R250" s="285"/>
      <c r="S250" s="285"/>
      <c r="T250" s="285"/>
      <c r="U250" s="285"/>
      <c r="V250" s="285"/>
      <c r="W250" s="285"/>
      <c r="X250" s="285"/>
      <c r="Y250" s="285"/>
      <c r="Z250" s="285"/>
      <c r="AA250" s="285"/>
      <c r="AB250" s="285"/>
      <c r="AC250" s="285"/>
      <c r="AD250" s="285"/>
      <c r="AE250" s="285"/>
      <c r="AF250" s="285"/>
      <c r="AG250" s="285"/>
      <c r="AH250" s="285"/>
      <c r="AI250" s="285"/>
      <c r="AJ250" s="285"/>
      <c r="AK250" s="352"/>
    </row>
    <row r="251" spans="1:37" ht="14.25" customHeight="1" x14ac:dyDescent="0.45">
      <c r="A251" s="618"/>
      <c r="B251" s="215"/>
      <c r="C251" s="221"/>
      <c r="D251" s="232"/>
      <c r="E251" s="232"/>
      <c r="F251" s="232"/>
      <c r="G251" s="293"/>
      <c r="H251" s="285"/>
      <c r="I251" s="285"/>
      <c r="J251" s="285"/>
      <c r="K251" s="285"/>
      <c r="L251" s="285"/>
      <c r="M251" s="285"/>
      <c r="N251" s="285"/>
      <c r="O251" s="285"/>
      <c r="P251" s="285"/>
      <c r="Q251" s="285"/>
      <c r="R251" s="285"/>
      <c r="S251" s="285"/>
      <c r="T251" s="285"/>
      <c r="U251" s="285"/>
      <c r="V251" s="285"/>
      <c r="W251" s="285"/>
      <c r="X251" s="285"/>
      <c r="Y251" s="285"/>
      <c r="Z251" s="285"/>
      <c r="AA251" s="285"/>
      <c r="AB251" s="285"/>
      <c r="AC251" s="285"/>
      <c r="AD251" s="285"/>
      <c r="AE251" s="285"/>
      <c r="AF251" s="285"/>
      <c r="AG251" s="285"/>
      <c r="AH251" s="285"/>
      <c r="AI251" s="285"/>
      <c r="AJ251" s="285"/>
      <c r="AK251" s="352"/>
    </row>
    <row r="252" spans="1:37" ht="14.25" customHeight="1" x14ac:dyDescent="0.45">
      <c r="A252" s="618"/>
      <c r="B252" s="215"/>
      <c r="C252" s="243" t="s">
        <v>351</v>
      </c>
      <c r="D252" s="285"/>
      <c r="E252" s="285"/>
      <c r="F252" s="285"/>
      <c r="G252" s="293"/>
      <c r="H252" s="285"/>
      <c r="I252" s="285"/>
      <c r="J252" s="285"/>
      <c r="K252" s="285"/>
      <c r="L252" s="285"/>
      <c r="M252" s="285"/>
      <c r="N252" s="285"/>
      <c r="O252" s="285"/>
      <c r="P252" s="285"/>
      <c r="Q252" s="285"/>
      <c r="R252" s="285"/>
      <c r="S252" s="285"/>
      <c r="T252" s="285"/>
      <c r="U252" s="285"/>
      <c r="V252" s="285"/>
      <c r="W252" s="285"/>
      <c r="X252" s="285"/>
      <c r="Y252" s="285"/>
      <c r="Z252" s="285"/>
      <c r="AA252" s="285"/>
      <c r="AB252" s="285"/>
      <c r="AC252" s="285"/>
      <c r="AD252" s="285"/>
      <c r="AE252" s="285"/>
      <c r="AF252" s="285"/>
      <c r="AG252" s="285"/>
      <c r="AH252" s="285"/>
      <c r="AI252" s="285"/>
      <c r="AJ252" s="285"/>
      <c r="AK252" s="352"/>
    </row>
    <row r="253" spans="1:37" ht="14.25" customHeight="1" x14ac:dyDescent="0.45">
      <c r="A253" s="618"/>
      <c r="B253" s="215"/>
      <c r="C253" s="224" t="s">
        <v>924</v>
      </c>
      <c r="D253" s="295"/>
      <c r="E253" s="295"/>
      <c r="F253" s="295"/>
      <c r="G253" s="295"/>
      <c r="H253" s="285"/>
      <c r="I253" s="285"/>
      <c r="J253" s="285"/>
      <c r="K253" s="285"/>
      <c r="L253" s="285"/>
      <c r="M253" s="285"/>
      <c r="N253" s="285"/>
      <c r="O253" s="285"/>
      <c r="P253" s="285"/>
      <c r="Q253" s="285"/>
      <c r="R253" s="285"/>
      <c r="S253" s="285"/>
      <c r="T253" s="285"/>
      <c r="U253" s="285"/>
      <c r="V253" s="285"/>
      <c r="W253" s="285"/>
      <c r="X253" s="285"/>
      <c r="Y253" s="285"/>
      <c r="Z253" s="285"/>
      <c r="AA253" s="285"/>
      <c r="AB253" s="285"/>
      <c r="AC253" s="285"/>
      <c r="AD253" s="285"/>
      <c r="AE253" s="285"/>
      <c r="AF253" s="285"/>
      <c r="AG253" s="285"/>
      <c r="AH253" s="285"/>
      <c r="AI253" s="285"/>
      <c r="AJ253" s="285"/>
      <c r="AK253" s="352"/>
    </row>
    <row r="254" spans="1:37" ht="14.25" customHeight="1" x14ac:dyDescent="0.45">
      <c r="A254" s="618"/>
      <c r="B254" s="215"/>
      <c r="C254" s="224" t="s">
        <v>925</v>
      </c>
      <c r="D254" s="295">
        <f>D255</f>
        <v>6.5557800000000004</v>
      </c>
      <c r="E254" s="295">
        <f>E255</f>
        <v>5.5464500000000001</v>
      </c>
      <c r="F254" s="295">
        <f>F255</f>
        <v>5.4634099999999997</v>
      </c>
      <c r="G254" s="295">
        <f>G255</f>
        <v>1.95</v>
      </c>
      <c r="H254" s="285"/>
      <c r="I254" s="285"/>
      <c r="J254" s="285"/>
      <c r="K254" s="285"/>
      <c r="L254" s="285"/>
      <c r="M254" s="285"/>
      <c r="N254" s="285"/>
      <c r="O254" s="285"/>
      <c r="P254" s="285"/>
      <c r="Q254" s="285"/>
      <c r="R254" s="285"/>
      <c r="S254" s="285"/>
      <c r="T254" s="285"/>
      <c r="U254" s="285"/>
      <c r="V254" s="285"/>
      <c r="W254" s="285"/>
      <c r="X254" s="285"/>
      <c r="Y254" s="285"/>
      <c r="Z254" s="285"/>
      <c r="AA254" s="285"/>
      <c r="AB254" s="285"/>
      <c r="AC254" s="285"/>
      <c r="AD254" s="285"/>
      <c r="AE254" s="285"/>
      <c r="AF254" s="285"/>
      <c r="AG254" s="285"/>
      <c r="AH254" s="285"/>
      <c r="AI254" s="285"/>
      <c r="AJ254" s="285"/>
      <c r="AK254" s="352"/>
    </row>
    <row r="255" spans="1:37" ht="14.25" customHeight="1" x14ac:dyDescent="0.45">
      <c r="A255" s="618"/>
      <c r="B255" s="215"/>
      <c r="C255" s="247" t="s">
        <v>223</v>
      </c>
      <c r="D255" s="306">
        <v>6.5557800000000004</v>
      </c>
      <c r="E255" s="306">
        <v>5.5464500000000001</v>
      </c>
      <c r="F255" s="306">
        <v>5.4634099999999997</v>
      </c>
      <c r="G255" s="306">
        <v>1.95</v>
      </c>
      <c r="H255" s="285"/>
      <c r="I255" s="285"/>
      <c r="J255" s="285"/>
      <c r="K255" s="285"/>
      <c r="L255" s="285"/>
      <c r="M255" s="285"/>
      <c r="N255" s="285"/>
      <c r="O255" s="285"/>
      <c r="P255" s="285"/>
      <c r="Q255" s="285"/>
      <c r="R255" s="285"/>
      <c r="S255" s="285"/>
      <c r="T255" s="285"/>
      <c r="U255" s="285"/>
      <c r="V255" s="285"/>
      <c r="W255" s="285"/>
      <c r="X255" s="285"/>
      <c r="Y255" s="285"/>
      <c r="Z255" s="285"/>
      <c r="AA255" s="285"/>
      <c r="AB255" s="285"/>
      <c r="AC255" s="285"/>
      <c r="AD255" s="285"/>
      <c r="AE255" s="285"/>
      <c r="AF255" s="285"/>
      <c r="AG255" s="285"/>
      <c r="AH255" s="285"/>
      <c r="AI255" s="285"/>
      <c r="AJ255" s="285"/>
      <c r="AK255" s="352"/>
    </row>
    <row r="256" spans="1:37" ht="14.25" customHeight="1" x14ac:dyDescent="0.45">
      <c r="A256" s="618"/>
      <c r="B256" s="215"/>
      <c r="C256" s="224" t="s">
        <v>926</v>
      </c>
      <c r="D256" s="295">
        <f>SUM(D257)</f>
        <v>16.413810000000002</v>
      </c>
      <c r="E256" s="295">
        <f>SUM(E257)</f>
        <v>21.440620000000003</v>
      </c>
      <c r="F256" s="295">
        <f>SUM(F257)</f>
        <v>20.406079999999999</v>
      </c>
      <c r="G256" s="295">
        <f>SUM(G257)</f>
        <v>19.080446999999999</v>
      </c>
      <c r="H256" s="285"/>
      <c r="I256" s="285"/>
      <c r="J256" s="285"/>
      <c r="K256" s="285"/>
      <c r="L256" s="285"/>
      <c r="M256" s="285"/>
      <c r="N256" s="285"/>
      <c r="O256" s="285"/>
      <c r="P256" s="285"/>
      <c r="Q256" s="285"/>
      <c r="R256" s="285"/>
      <c r="S256" s="285"/>
      <c r="T256" s="285"/>
      <c r="U256" s="285"/>
      <c r="V256" s="285"/>
      <c r="W256" s="285"/>
      <c r="X256" s="285"/>
      <c r="Y256" s="285"/>
      <c r="Z256" s="285"/>
      <c r="AA256" s="285"/>
      <c r="AB256" s="285"/>
      <c r="AC256" s="285"/>
      <c r="AD256" s="285"/>
      <c r="AE256" s="285"/>
      <c r="AF256" s="285"/>
      <c r="AG256" s="285"/>
      <c r="AH256" s="285"/>
      <c r="AI256" s="285"/>
      <c r="AJ256" s="285"/>
      <c r="AK256" s="352"/>
    </row>
    <row r="257" spans="1:37" ht="14.25" customHeight="1" x14ac:dyDescent="0.45">
      <c r="A257" s="618"/>
      <c r="B257" s="215"/>
      <c r="C257" s="228" t="s">
        <v>224</v>
      </c>
      <c r="D257" s="229">
        <f>SUM(D259:D260,D262:D263)</f>
        <v>16.413810000000002</v>
      </c>
      <c r="E257" s="229">
        <f>SUM(E259:E260,E262:E263)</f>
        <v>21.440620000000003</v>
      </c>
      <c r="F257" s="229">
        <f>SUM(F259:F260,F262:F263)</f>
        <v>20.406079999999999</v>
      </c>
      <c r="G257" s="229">
        <f>SUM(G259:G260,G262:G263)</f>
        <v>19.080446999999999</v>
      </c>
      <c r="H257" s="285"/>
      <c r="I257" s="285"/>
      <c r="J257" s="285"/>
      <c r="K257" s="285"/>
      <c r="L257" s="285"/>
      <c r="M257" s="285"/>
      <c r="N257" s="285"/>
      <c r="O257" s="285"/>
      <c r="P257" s="285"/>
      <c r="Q257" s="285"/>
      <c r="R257" s="285"/>
      <c r="S257" s="285"/>
      <c r="T257" s="285"/>
      <c r="U257" s="285"/>
      <c r="V257" s="285"/>
      <c r="W257" s="285"/>
      <c r="X257" s="285"/>
      <c r="Y257" s="285"/>
      <c r="Z257" s="285"/>
      <c r="AA257" s="285"/>
      <c r="AB257" s="285"/>
      <c r="AC257" s="285"/>
      <c r="AD257" s="285"/>
      <c r="AE257" s="285"/>
      <c r="AF257" s="285"/>
      <c r="AG257" s="285"/>
      <c r="AH257" s="285"/>
      <c r="AI257" s="285"/>
      <c r="AJ257" s="285"/>
      <c r="AK257" s="352"/>
    </row>
    <row r="258" spans="1:37" ht="14.25" customHeight="1" x14ac:dyDescent="0.45">
      <c r="A258" s="618"/>
      <c r="B258" s="215"/>
      <c r="C258" s="247" t="s">
        <v>225</v>
      </c>
      <c r="D258" s="306"/>
      <c r="E258" s="306"/>
      <c r="F258" s="306"/>
      <c r="G258" s="306"/>
      <c r="H258" s="285"/>
      <c r="I258" s="285"/>
      <c r="J258" s="285"/>
      <c r="K258" s="285"/>
      <c r="L258" s="285"/>
      <c r="M258" s="285"/>
      <c r="N258" s="285"/>
      <c r="O258" s="285"/>
      <c r="P258" s="285"/>
      <c r="Q258" s="285"/>
      <c r="R258" s="285"/>
      <c r="S258" s="285"/>
      <c r="T258" s="285"/>
      <c r="U258" s="285"/>
      <c r="V258" s="285"/>
      <c r="W258" s="285"/>
      <c r="X258" s="285"/>
      <c r="Y258" s="285"/>
      <c r="Z258" s="285"/>
      <c r="AA258" s="285"/>
      <c r="AB258" s="285"/>
      <c r="AC258" s="285"/>
      <c r="AD258" s="285"/>
      <c r="AE258" s="285"/>
      <c r="AF258" s="285"/>
      <c r="AG258" s="285"/>
      <c r="AH258" s="285"/>
      <c r="AI258" s="285"/>
      <c r="AJ258" s="285"/>
      <c r="AK258" s="352"/>
    </row>
    <row r="259" spans="1:37" ht="14.25" customHeight="1" x14ac:dyDescent="0.45">
      <c r="A259" s="618"/>
      <c r="B259" s="215"/>
      <c r="C259" s="221" t="s">
        <v>227</v>
      </c>
      <c r="D259" s="232">
        <v>4.7797100000000006</v>
      </c>
      <c r="E259" s="232">
        <v>5.6303299999999998</v>
      </c>
      <c r="F259" s="232">
        <v>4.8783400000000006</v>
      </c>
      <c r="G259" s="293">
        <v>3.59</v>
      </c>
      <c r="H259" s="285"/>
      <c r="I259" s="285"/>
      <c r="J259" s="285"/>
      <c r="K259" s="285"/>
      <c r="L259" s="285"/>
      <c r="M259" s="285"/>
      <c r="N259" s="285"/>
      <c r="O259" s="285"/>
      <c r="P259" s="285"/>
      <c r="Q259" s="285"/>
      <c r="R259" s="285"/>
      <c r="S259" s="285"/>
      <c r="T259" s="285"/>
      <c r="U259" s="285"/>
      <c r="V259" s="285"/>
      <c r="W259" s="285"/>
      <c r="X259" s="285"/>
      <c r="Y259" s="285"/>
      <c r="Z259" s="285"/>
      <c r="AA259" s="285"/>
      <c r="AB259" s="285"/>
      <c r="AC259" s="285"/>
      <c r="AD259" s="285"/>
      <c r="AE259" s="285"/>
      <c r="AF259" s="285"/>
      <c r="AG259" s="285"/>
      <c r="AH259" s="285"/>
      <c r="AI259" s="285"/>
      <c r="AJ259" s="285"/>
      <c r="AK259" s="352"/>
    </row>
    <row r="260" spans="1:37" ht="14.25" customHeight="1" x14ac:dyDescent="0.45">
      <c r="A260" s="618"/>
      <c r="B260" s="215"/>
      <c r="C260" s="221" t="s">
        <v>229</v>
      </c>
      <c r="D260" s="232">
        <v>10.254100000000001</v>
      </c>
      <c r="E260" s="232">
        <v>11.51135</v>
      </c>
      <c r="F260" s="232">
        <v>15.409599999999999</v>
      </c>
      <c r="G260" s="293">
        <v>15.25</v>
      </c>
      <c r="H260" s="285"/>
      <c r="I260" s="285"/>
      <c r="J260" s="285"/>
      <c r="K260" s="285"/>
      <c r="L260" s="285"/>
      <c r="M260" s="285"/>
      <c r="N260" s="285"/>
      <c r="O260" s="285"/>
      <c r="P260" s="285"/>
      <c r="Q260" s="285"/>
      <c r="R260" s="285"/>
      <c r="S260" s="285"/>
      <c r="T260" s="285"/>
      <c r="U260" s="285"/>
      <c r="V260" s="285"/>
      <c r="W260" s="285"/>
      <c r="X260" s="285"/>
      <c r="Y260" s="285"/>
      <c r="Z260" s="285"/>
      <c r="AA260" s="285"/>
      <c r="AB260" s="285"/>
      <c r="AC260" s="285"/>
      <c r="AD260" s="285"/>
      <c r="AE260" s="285"/>
      <c r="AF260" s="285"/>
      <c r="AG260" s="285"/>
      <c r="AH260" s="285"/>
      <c r="AI260" s="285"/>
      <c r="AJ260" s="285"/>
      <c r="AK260" s="352"/>
    </row>
    <row r="261" spans="1:37" ht="14.25" customHeight="1" x14ac:dyDescent="0.45">
      <c r="A261" s="618"/>
      <c r="B261" s="215"/>
      <c r="C261" s="247" t="s">
        <v>230</v>
      </c>
      <c r="D261" s="306"/>
      <c r="E261" s="306"/>
      <c r="F261" s="306"/>
      <c r="G261" s="306"/>
      <c r="H261" s="285"/>
      <c r="I261" s="285"/>
      <c r="J261" s="285"/>
      <c r="K261" s="285"/>
      <c r="L261" s="285"/>
      <c r="M261" s="285"/>
      <c r="N261" s="285"/>
      <c r="O261" s="285"/>
      <c r="P261" s="285"/>
      <c r="Q261" s="285"/>
      <c r="R261" s="285"/>
      <c r="S261" s="285"/>
      <c r="T261" s="285"/>
      <c r="U261" s="285"/>
      <c r="V261" s="285"/>
      <c r="W261" s="285"/>
      <c r="X261" s="285"/>
      <c r="Y261" s="285"/>
      <c r="Z261" s="285"/>
      <c r="AA261" s="285"/>
      <c r="AB261" s="285"/>
      <c r="AC261" s="285"/>
      <c r="AD261" s="285"/>
      <c r="AE261" s="285"/>
      <c r="AF261" s="285"/>
      <c r="AG261" s="285"/>
      <c r="AH261" s="285"/>
      <c r="AI261" s="285"/>
      <c r="AJ261" s="285"/>
      <c r="AK261" s="352"/>
    </row>
    <row r="262" spans="1:37" ht="14.25" customHeight="1" x14ac:dyDescent="0.45">
      <c r="A262" s="618"/>
      <c r="B262" s="215"/>
      <c r="C262" s="221" t="s">
        <v>227</v>
      </c>
      <c r="D262" s="232">
        <v>1.38</v>
      </c>
      <c r="E262" s="232">
        <v>4.29894</v>
      </c>
      <c r="F262" s="232">
        <v>0.11814</v>
      </c>
      <c r="G262" s="293">
        <v>0.24044699999999999</v>
      </c>
      <c r="H262" s="285"/>
      <c r="I262" s="285"/>
      <c r="J262" s="285"/>
      <c r="K262" s="285"/>
      <c r="L262" s="285"/>
      <c r="M262" s="285"/>
      <c r="N262" s="285"/>
      <c r="O262" s="285"/>
      <c r="P262" s="285"/>
      <c r="Q262" s="285"/>
      <c r="R262" s="285"/>
      <c r="S262" s="285"/>
      <c r="T262" s="285"/>
      <c r="U262" s="285"/>
      <c r="V262" s="285"/>
      <c r="W262" s="285"/>
      <c r="X262" s="285"/>
      <c r="Y262" s="285"/>
      <c r="Z262" s="285"/>
      <c r="AA262" s="285"/>
      <c r="AB262" s="285"/>
      <c r="AC262" s="285"/>
      <c r="AD262" s="285"/>
      <c r="AE262" s="285"/>
      <c r="AF262" s="285"/>
      <c r="AG262" s="285"/>
      <c r="AH262" s="285"/>
      <c r="AI262" s="285"/>
      <c r="AJ262" s="285"/>
      <c r="AK262" s="352"/>
    </row>
    <row r="263" spans="1:37" ht="14.25" customHeight="1" x14ac:dyDescent="0.45">
      <c r="A263" s="618"/>
      <c r="B263" s="215"/>
      <c r="C263" s="221" t="s">
        <v>229</v>
      </c>
      <c r="D263" s="232">
        <v>0</v>
      </c>
      <c r="E263" s="232">
        <v>0</v>
      </c>
      <c r="F263" s="232">
        <v>0</v>
      </c>
      <c r="G263" s="232">
        <v>0</v>
      </c>
      <c r="H263" s="285"/>
      <c r="I263" s="285"/>
      <c r="J263" s="285"/>
      <c r="K263" s="285"/>
      <c r="L263" s="285"/>
      <c r="M263" s="285"/>
      <c r="N263" s="285"/>
      <c r="O263" s="285"/>
      <c r="P263" s="285"/>
      <c r="Q263" s="285"/>
      <c r="R263" s="285"/>
      <c r="S263" s="285"/>
      <c r="T263" s="285"/>
      <c r="U263" s="285"/>
      <c r="V263" s="285"/>
      <c r="W263" s="285"/>
      <c r="X263" s="285"/>
      <c r="Y263" s="285"/>
      <c r="Z263" s="285"/>
      <c r="AA263" s="285"/>
      <c r="AB263" s="285"/>
      <c r="AC263" s="285"/>
      <c r="AD263" s="285"/>
      <c r="AE263" s="285"/>
      <c r="AF263" s="285"/>
      <c r="AG263" s="285"/>
      <c r="AH263" s="285"/>
      <c r="AI263" s="285"/>
      <c r="AJ263" s="285"/>
      <c r="AK263" s="352"/>
    </row>
    <row r="264" spans="1:37" ht="14.25" customHeight="1" x14ac:dyDescent="0.45">
      <c r="A264" s="618"/>
      <c r="B264" s="215"/>
      <c r="C264" s="224" t="s">
        <v>927</v>
      </c>
      <c r="D264" s="295">
        <f>SUM(D265:D266)</f>
        <v>3.3109399999999996</v>
      </c>
      <c r="E264" s="295">
        <f>SUM(E265:E266)</f>
        <v>4.4920400000000003</v>
      </c>
      <c r="F264" s="295">
        <f>SUM(F265:F266)</f>
        <v>3.9489299999999998</v>
      </c>
      <c r="G264" s="295">
        <f>SUM(G265:G266)</f>
        <v>3.4245465399999997</v>
      </c>
      <c r="H264" s="285"/>
      <c r="I264" s="285"/>
      <c r="J264" s="285"/>
      <c r="K264" s="285"/>
      <c r="L264" s="285"/>
      <c r="M264" s="285"/>
      <c r="N264" s="285"/>
      <c r="O264" s="285"/>
      <c r="P264" s="285"/>
      <c r="Q264" s="285"/>
      <c r="R264" s="285"/>
      <c r="S264" s="285"/>
      <c r="T264" s="285"/>
      <c r="U264" s="285"/>
      <c r="V264" s="285"/>
      <c r="W264" s="285"/>
      <c r="X264" s="285"/>
      <c r="Y264" s="285"/>
      <c r="Z264" s="285"/>
      <c r="AA264" s="285"/>
      <c r="AB264" s="285"/>
      <c r="AC264" s="285"/>
      <c r="AD264" s="285"/>
      <c r="AE264" s="285"/>
      <c r="AF264" s="285"/>
      <c r="AG264" s="285"/>
      <c r="AH264" s="285"/>
      <c r="AI264" s="285"/>
      <c r="AJ264" s="285"/>
      <c r="AK264" s="352"/>
    </row>
    <row r="265" spans="1:37" ht="14.25" customHeight="1" x14ac:dyDescent="0.45">
      <c r="A265" s="618"/>
      <c r="B265" s="215"/>
      <c r="C265" s="247" t="s">
        <v>223</v>
      </c>
      <c r="D265" s="306">
        <v>0.75429999999999997</v>
      </c>
      <c r="E265" s="306">
        <v>0.72505000000000008</v>
      </c>
      <c r="F265" s="306">
        <v>0.73980000000000001</v>
      </c>
      <c r="G265" s="315">
        <v>0.73865100000000006</v>
      </c>
      <c r="H265" s="285"/>
      <c r="I265" s="285"/>
      <c r="J265" s="285"/>
      <c r="K265" s="285"/>
      <c r="L265" s="285"/>
      <c r="M265" s="285"/>
      <c r="N265" s="285"/>
      <c r="O265" s="285"/>
      <c r="P265" s="285"/>
      <c r="Q265" s="285"/>
      <c r="R265" s="285"/>
      <c r="S265" s="285"/>
      <c r="T265" s="285"/>
      <c r="U265" s="285"/>
      <c r="V265" s="285"/>
      <c r="W265" s="285"/>
      <c r="X265" s="285"/>
      <c r="Y265" s="285"/>
      <c r="Z265" s="285"/>
      <c r="AA265" s="285"/>
      <c r="AB265" s="285"/>
      <c r="AC265" s="285"/>
      <c r="AD265" s="285"/>
      <c r="AE265" s="285"/>
      <c r="AF265" s="285"/>
      <c r="AG265" s="285"/>
      <c r="AH265" s="285"/>
      <c r="AI265" s="285"/>
      <c r="AJ265" s="285"/>
      <c r="AK265" s="352"/>
    </row>
    <row r="266" spans="1:37" ht="14.25" customHeight="1" x14ac:dyDescent="0.45">
      <c r="A266" s="618"/>
      <c r="B266" s="215"/>
      <c r="C266" s="247" t="s">
        <v>225</v>
      </c>
      <c r="D266" s="306">
        <v>2.5566399999999998</v>
      </c>
      <c r="E266" s="306">
        <v>3.7669900000000003</v>
      </c>
      <c r="F266" s="306">
        <v>3.20913</v>
      </c>
      <c r="G266" s="315">
        <v>2.6858955399999997</v>
      </c>
      <c r="H266" s="285"/>
      <c r="I266" s="285"/>
      <c r="J266" s="285"/>
      <c r="K266" s="285"/>
      <c r="L266" s="285"/>
      <c r="M266" s="285"/>
      <c r="N266" s="285"/>
      <c r="O266" s="285"/>
      <c r="P266" s="285"/>
      <c r="Q266" s="285"/>
      <c r="R266" s="285"/>
      <c r="S266" s="285"/>
      <c r="T266" s="285"/>
      <c r="U266" s="285"/>
      <c r="V266" s="285"/>
      <c r="W266" s="285"/>
      <c r="X266" s="285"/>
      <c r="Y266" s="285"/>
      <c r="Z266" s="285"/>
      <c r="AA266" s="285"/>
      <c r="AB266" s="285"/>
      <c r="AC266" s="285"/>
      <c r="AD266" s="285"/>
      <c r="AE266" s="285"/>
      <c r="AF266" s="285"/>
      <c r="AG266" s="285"/>
      <c r="AH266" s="285"/>
      <c r="AI266" s="285"/>
      <c r="AJ266" s="285"/>
      <c r="AK266" s="352"/>
    </row>
    <row r="267" spans="1:37" ht="14.25" customHeight="1" x14ac:dyDescent="0.45">
      <c r="A267" s="618"/>
      <c r="B267" s="215"/>
      <c r="C267" s="224" t="s">
        <v>928</v>
      </c>
      <c r="D267" s="295">
        <f>SUM(D268,D278,D283)</f>
        <v>3841.2616899999994</v>
      </c>
      <c r="E267" s="295">
        <f>SUM(E268,E278,E283)</f>
        <v>4088.3414279300009</v>
      </c>
      <c r="F267" s="295">
        <f>SUM(F268,F278,F283)</f>
        <v>3917.6574513529999</v>
      </c>
      <c r="G267" s="295">
        <f>SUM(G268,G278,G283)</f>
        <v>4008.9170553649983</v>
      </c>
      <c r="H267" s="285"/>
      <c r="I267" s="285"/>
      <c r="J267" s="285"/>
      <c r="K267" s="285"/>
      <c r="L267" s="285"/>
      <c r="M267" s="285"/>
      <c r="N267" s="285"/>
      <c r="O267" s="285"/>
      <c r="P267" s="285"/>
      <c r="Q267" s="285"/>
      <c r="R267" s="285"/>
      <c r="S267" s="285"/>
      <c r="T267" s="285"/>
      <c r="U267" s="285"/>
      <c r="V267" s="285"/>
      <c r="W267" s="285"/>
      <c r="X267" s="285"/>
      <c r="Y267" s="285"/>
      <c r="Z267" s="285"/>
      <c r="AA267" s="285"/>
      <c r="AB267" s="285"/>
      <c r="AC267" s="285"/>
      <c r="AD267" s="285"/>
      <c r="AE267" s="285"/>
      <c r="AF267" s="285"/>
      <c r="AG267" s="285"/>
      <c r="AH267" s="285"/>
      <c r="AI267" s="285"/>
      <c r="AJ267" s="285"/>
      <c r="AK267" s="352"/>
    </row>
    <row r="268" spans="1:37" ht="14.25" customHeight="1" x14ac:dyDescent="0.45">
      <c r="A268" s="618"/>
      <c r="B268" s="215"/>
      <c r="C268" s="228" t="s">
        <v>180</v>
      </c>
      <c r="D268" s="229">
        <f>SUM(D270:D277)</f>
        <v>3493.2668899999994</v>
      </c>
      <c r="E268" s="229">
        <f>SUM(E270:E277)</f>
        <v>3764.1677279310006</v>
      </c>
      <c r="F268" s="229">
        <f>SUM(F270:F277)</f>
        <v>3638.9996823229999</v>
      </c>
      <c r="G268" s="229">
        <f>SUM(G270:G277)</f>
        <v>3663.6138899429984</v>
      </c>
      <c r="H268" s="285"/>
      <c r="I268" s="285"/>
      <c r="J268" s="285"/>
      <c r="K268" s="285"/>
      <c r="L268" s="285"/>
      <c r="M268" s="285"/>
      <c r="N268" s="285"/>
      <c r="O268" s="285"/>
      <c r="P268" s="285"/>
      <c r="Q268" s="285"/>
      <c r="R268" s="285"/>
      <c r="S268" s="285"/>
      <c r="T268" s="285"/>
      <c r="U268" s="285"/>
      <c r="V268" s="285"/>
      <c r="W268" s="285"/>
      <c r="X268" s="285"/>
      <c r="Y268" s="285"/>
      <c r="Z268" s="285"/>
      <c r="AA268" s="285"/>
      <c r="AB268" s="285"/>
      <c r="AC268" s="285"/>
      <c r="AD268" s="285"/>
      <c r="AE268" s="285"/>
      <c r="AF268" s="285"/>
      <c r="AG268" s="285"/>
      <c r="AH268" s="285"/>
      <c r="AI268" s="285"/>
      <c r="AJ268" s="285"/>
      <c r="AK268" s="352"/>
    </row>
    <row r="269" spans="1:37" ht="14.25" customHeight="1" x14ac:dyDescent="0.45">
      <c r="A269" s="618"/>
      <c r="B269" s="215"/>
      <c r="C269" s="247" t="s">
        <v>225</v>
      </c>
      <c r="D269" s="306"/>
      <c r="E269" s="306"/>
      <c r="F269" s="306"/>
      <c r="G269" s="306"/>
      <c r="H269" s="285"/>
      <c r="I269" s="285"/>
      <c r="J269" s="285"/>
      <c r="K269" s="285"/>
      <c r="L269" s="285"/>
      <c r="M269" s="285"/>
      <c r="N269" s="285"/>
      <c r="O269" s="285"/>
      <c r="P269" s="285"/>
      <c r="Q269" s="285"/>
      <c r="R269" s="285"/>
      <c r="S269" s="285"/>
      <c r="T269" s="285"/>
      <c r="U269" s="285"/>
      <c r="V269" s="285"/>
      <c r="W269" s="285"/>
      <c r="X269" s="285"/>
      <c r="Y269" s="285"/>
      <c r="Z269" s="285"/>
      <c r="AA269" s="285"/>
      <c r="AB269" s="285"/>
      <c r="AC269" s="285"/>
      <c r="AD269" s="285"/>
      <c r="AE269" s="285"/>
      <c r="AF269" s="285"/>
      <c r="AG269" s="285"/>
      <c r="AH269" s="285"/>
      <c r="AI269" s="285"/>
      <c r="AJ269" s="285"/>
      <c r="AK269" s="352"/>
    </row>
    <row r="270" spans="1:37" ht="14.25" customHeight="1" x14ac:dyDescent="0.45">
      <c r="A270" s="618"/>
      <c r="B270" s="215"/>
      <c r="C270" s="221" t="s">
        <v>236</v>
      </c>
      <c r="D270" s="499">
        <v>120.27</v>
      </c>
      <c r="E270" s="232">
        <v>108.66</v>
      </c>
      <c r="F270" s="232">
        <v>119.61000000000001</v>
      </c>
      <c r="G270" s="293">
        <v>15.043623696000003</v>
      </c>
      <c r="H270" s="285"/>
      <c r="I270" s="285"/>
      <c r="J270" s="285"/>
      <c r="K270" s="285"/>
      <c r="L270" s="285"/>
      <c r="M270" s="285"/>
      <c r="N270" s="285"/>
      <c r="O270" s="285"/>
      <c r="P270" s="285"/>
      <c r="Q270" s="285"/>
      <c r="R270" s="285"/>
      <c r="S270" s="285"/>
      <c r="T270" s="285"/>
      <c r="U270" s="285"/>
      <c r="V270" s="285"/>
      <c r="W270" s="285"/>
      <c r="X270" s="285"/>
      <c r="Y270" s="285"/>
      <c r="Z270" s="285"/>
      <c r="AA270" s="285"/>
      <c r="AB270" s="285"/>
      <c r="AC270" s="285"/>
      <c r="AD270" s="285"/>
      <c r="AE270" s="285"/>
      <c r="AF270" s="285"/>
      <c r="AG270" s="285"/>
      <c r="AH270" s="285"/>
      <c r="AI270" s="285"/>
      <c r="AJ270" s="285"/>
      <c r="AK270" s="352"/>
    </row>
    <row r="271" spans="1:37" ht="14.25" customHeight="1" x14ac:dyDescent="0.45">
      <c r="A271" s="618"/>
      <c r="B271" s="215"/>
      <c r="C271" s="247" t="s">
        <v>223</v>
      </c>
      <c r="D271" s="306"/>
      <c r="E271" s="306"/>
      <c r="F271" s="306"/>
      <c r="G271" s="306"/>
      <c r="H271" s="285"/>
      <c r="I271" s="285"/>
      <c r="J271" s="285"/>
      <c r="K271" s="285"/>
      <c r="L271" s="285"/>
      <c r="M271" s="285"/>
      <c r="N271" s="285"/>
      <c r="O271" s="285"/>
      <c r="P271" s="285"/>
      <c r="Q271" s="285"/>
      <c r="R271" s="285"/>
      <c r="S271" s="285"/>
      <c r="T271" s="285"/>
      <c r="U271" s="285"/>
      <c r="V271" s="285"/>
      <c r="W271" s="285"/>
      <c r="X271" s="285"/>
      <c r="Y271" s="285"/>
      <c r="Z271" s="285"/>
      <c r="AA271" s="285"/>
      <c r="AB271" s="285"/>
      <c r="AC271" s="285"/>
      <c r="AD271" s="285"/>
      <c r="AE271" s="285"/>
      <c r="AF271" s="285"/>
      <c r="AG271" s="285"/>
      <c r="AH271" s="285"/>
      <c r="AI271" s="285"/>
      <c r="AJ271" s="285"/>
      <c r="AK271" s="352"/>
    </row>
    <row r="272" spans="1:37" ht="14.25" customHeight="1" x14ac:dyDescent="0.45">
      <c r="A272" s="618"/>
      <c r="B272" s="215"/>
      <c r="C272" s="221" t="s">
        <v>236</v>
      </c>
      <c r="D272" s="499">
        <v>46.5</v>
      </c>
      <c r="E272" s="315">
        <v>47.977692488999985</v>
      </c>
      <c r="F272" s="232">
        <v>42.129999999999995</v>
      </c>
      <c r="G272" s="293">
        <v>46.509805733999997</v>
      </c>
      <c r="H272" s="285"/>
      <c r="I272" s="285"/>
      <c r="J272" s="285"/>
      <c r="K272" s="285"/>
      <c r="L272" s="285"/>
      <c r="M272" s="285"/>
      <c r="N272" s="285"/>
      <c r="O272" s="285"/>
      <c r="P272" s="285"/>
      <c r="Q272" s="285"/>
      <c r="R272" s="285"/>
      <c r="S272" s="285"/>
      <c r="T272" s="285"/>
      <c r="U272" s="285"/>
      <c r="V272" s="285"/>
      <c r="W272" s="285"/>
      <c r="X272" s="285"/>
      <c r="Y272" s="285"/>
      <c r="Z272" s="285"/>
      <c r="AA272" s="285"/>
      <c r="AB272" s="285"/>
      <c r="AC272" s="285"/>
      <c r="AD272" s="285"/>
      <c r="AE272" s="285"/>
      <c r="AF272" s="285"/>
      <c r="AG272" s="285"/>
      <c r="AH272" s="285"/>
      <c r="AI272" s="285"/>
      <c r="AJ272" s="285"/>
      <c r="AK272" s="352"/>
    </row>
    <row r="273" spans="1:37" ht="14.25" customHeight="1" x14ac:dyDescent="0.45">
      <c r="A273" s="618"/>
      <c r="B273" s="215"/>
      <c r="C273" s="247" t="s">
        <v>238</v>
      </c>
      <c r="D273" s="306"/>
      <c r="E273" s="306"/>
      <c r="F273" s="306"/>
      <c r="G273" s="306"/>
      <c r="H273" s="285"/>
      <c r="I273" s="285"/>
      <c r="J273" s="285"/>
      <c r="K273" s="285"/>
      <c r="L273" s="285"/>
      <c r="M273" s="285"/>
      <c r="N273" s="285"/>
      <c r="O273" s="285"/>
      <c r="P273" s="285"/>
      <c r="Q273" s="285"/>
      <c r="R273" s="285"/>
      <c r="S273" s="285"/>
      <c r="T273" s="285"/>
      <c r="U273" s="285"/>
      <c r="V273" s="285"/>
      <c r="W273" s="285"/>
      <c r="X273" s="285"/>
      <c r="Y273" s="285"/>
      <c r="Z273" s="285"/>
      <c r="AA273" s="285"/>
      <c r="AB273" s="285"/>
      <c r="AC273" s="285"/>
      <c r="AD273" s="285"/>
      <c r="AE273" s="285"/>
      <c r="AF273" s="285"/>
      <c r="AG273" s="285"/>
      <c r="AH273" s="285"/>
      <c r="AI273" s="285"/>
      <c r="AJ273" s="285"/>
      <c r="AK273" s="352"/>
    </row>
    <row r="274" spans="1:37" ht="14.25" customHeight="1" x14ac:dyDescent="0.45">
      <c r="A274" s="618"/>
      <c r="B274" s="215"/>
      <c r="C274" s="221" t="s">
        <v>240</v>
      </c>
      <c r="D274" s="499">
        <v>1715.8951999999999</v>
      </c>
      <c r="E274" s="315">
        <v>1690.8709894870003</v>
      </c>
      <c r="F274" s="315">
        <v>1636.7736917929997</v>
      </c>
      <c r="G274" s="293">
        <v>1735.2301718479994</v>
      </c>
      <c r="H274" s="285"/>
      <c r="I274" s="285"/>
      <c r="J274" s="285"/>
      <c r="K274" s="285"/>
      <c r="L274" s="285"/>
      <c r="M274" s="285"/>
      <c r="N274" s="285"/>
      <c r="O274" s="285"/>
      <c r="P274" s="285"/>
      <c r="Q274" s="285"/>
      <c r="R274" s="285"/>
      <c r="S274" s="285"/>
      <c r="T274" s="285"/>
      <c r="U274" s="285"/>
      <c r="V274" s="285"/>
      <c r="W274" s="285"/>
      <c r="X274" s="285"/>
      <c r="Y274" s="285"/>
      <c r="Z274" s="285"/>
      <c r="AA274" s="285"/>
      <c r="AB274" s="285"/>
      <c r="AC274" s="285"/>
      <c r="AD274" s="285"/>
      <c r="AE274" s="285"/>
      <c r="AF274" s="285"/>
      <c r="AG274" s="285"/>
      <c r="AH274" s="285"/>
      <c r="AI274" s="285"/>
      <c r="AJ274" s="285"/>
      <c r="AK274" s="352"/>
    </row>
    <row r="275" spans="1:37" ht="14.25" customHeight="1" x14ac:dyDescent="0.45">
      <c r="A275" s="618"/>
      <c r="B275" s="215"/>
      <c r="C275" s="221" t="s">
        <v>236</v>
      </c>
      <c r="D275" s="499">
        <v>939.64599999999984</v>
      </c>
      <c r="E275" s="315">
        <v>1281.784456437</v>
      </c>
      <c r="F275" s="315">
        <v>1220.8664890000002</v>
      </c>
      <c r="G275" s="293">
        <v>1182.0103151619992</v>
      </c>
      <c r="H275" s="285"/>
      <c r="I275" s="285"/>
      <c r="J275" s="285"/>
      <c r="K275" s="285"/>
      <c r="L275" s="285"/>
      <c r="M275" s="285"/>
      <c r="N275" s="285"/>
      <c r="O275" s="285"/>
      <c r="P275" s="285"/>
      <c r="Q275" s="285"/>
      <c r="R275" s="285"/>
      <c r="S275" s="285"/>
      <c r="T275" s="285"/>
      <c r="U275" s="285"/>
      <c r="V275" s="285"/>
      <c r="W275" s="285"/>
      <c r="X275" s="285"/>
      <c r="Y275" s="285"/>
      <c r="Z275" s="285"/>
      <c r="AA275" s="285"/>
      <c r="AB275" s="285"/>
      <c r="AC275" s="285"/>
      <c r="AD275" s="285"/>
      <c r="AE275" s="285"/>
      <c r="AF275" s="285"/>
      <c r="AG275" s="285"/>
      <c r="AH275" s="285"/>
      <c r="AI275" s="285"/>
      <c r="AJ275" s="285"/>
      <c r="AK275" s="352"/>
    </row>
    <row r="276" spans="1:37" ht="14.25" customHeight="1" x14ac:dyDescent="0.45">
      <c r="A276" s="618"/>
      <c r="B276" s="215"/>
      <c r="C276" s="221" t="s">
        <v>243</v>
      </c>
      <c r="D276" s="232">
        <v>71.58</v>
      </c>
      <c r="E276" s="232">
        <v>66.11277905999998</v>
      </c>
      <c r="F276" s="232">
        <v>69.427269999999993</v>
      </c>
      <c r="G276" s="293">
        <v>70.977553760000021</v>
      </c>
      <c r="H276" s="285"/>
      <c r="I276" s="285"/>
      <c r="J276" s="285"/>
      <c r="K276" s="285"/>
      <c r="L276" s="285"/>
      <c r="M276" s="285"/>
      <c r="N276" s="285"/>
      <c r="O276" s="285"/>
      <c r="P276" s="285"/>
      <c r="Q276" s="285"/>
      <c r="R276" s="285"/>
      <c r="S276" s="285"/>
      <c r="T276" s="285"/>
      <c r="U276" s="285"/>
      <c r="V276" s="285"/>
      <c r="W276" s="285"/>
      <c r="X276" s="285"/>
      <c r="Y276" s="285"/>
      <c r="Z276" s="285"/>
      <c r="AA276" s="285"/>
      <c r="AB276" s="285"/>
      <c r="AC276" s="285"/>
      <c r="AD276" s="285"/>
      <c r="AE276" s="285"/>
      <c r="AF276" s="285"/>
      <c r="AG276" s="285"/>
      <c r="AH276" s="285"/>
      <c r="AI276" s="285"/>
      <c r="AJ276" s="285"/>
      <c r="AK276" s="352"/>
    </row>
    <row r="277" spans="1:37" ht="14.25" customHeight="1" x14ac:dyDescent="0.45">
      <c r="A277" s="618"/>
      <c r="B277" s="215"/>
      <c r="C277" s="221" t="s">
        <v>245</v>
      </c>
      <c r="D277" s="499">
        <v>599.37568999999985</v>
      </c>
      <c r="E277" s="315">
        <v>568.76181045800001</v>
      </c>
      <c r="F277" s="315">
        <v>550.19223152999996</v>
      </c>
      <c r="G277" s="293">
        <v>613.84241974300005</v>
      </c>
      <c r="H277" s="285"/>
      <c r="I277" s="285"/>
      <c r="J277" s="285"/>
      <c r="K277" s="285"/>
      <c r="L277" s="285"/>
      <c r="M277" s="285"/>
      <c r="N277" s="285"/>
      <c r="O277" s="285"/>
      <c r="P277" s="285"/>
      <c r="Q277" s="285"/>
      <c r="R277" s="285"/>
      <c r="S277" s="285"/>
      <c r="T277" s="285"/>
      <c r="U277" s="285"/>
      <c r="V277" s="285"/>
      <c r="W277" s="285"/>
      <c r="X277" s="285"/>
      <c r="Y277" s="285"/>
      <c r="Z277" s="285"/>
      <c r="AA277" s="285"/>
      <c r="AB277" s="285"/>
      <c r="AC277" s="285"/>
      <c r="AD277" s="285"/>
      <c r="AE277" s="285"/>
      <c r="AF277" s="285"/>
      <c r="AG277" s="285"/>
      <c r="AH277" s="285"/>
      <c r="AI277" s="285"/>
      <c r="AJ277" s="285"/>
      <c r="AK277" s="352"/>
    </row>
    <row r="278" spans="1:37" ht="14.25" customHeight="1" x14ac:dyDescent="0.45">
      <c r="A278" s="618"/>
      <c r="B278" s="215"/>
      <c r="C278" s="228" t="s">
        <v>188</v>
      </c>
      <c r="D278" s="229">
        <f>SUM(D280:D282)</f>
        <v>318.59480000000002</v>
      </c>
      <c r="E278" s="229">
        <f>SUM(E280:E282)</f>
        <v>297.08369999899998</v>
      </c>
      <c r="F278" s="229">
        <f>SUM(F280:F282)</f>
        <v>273.59214902999997</v>
      </c>
      <c r="G278" s="229">
        <f>SUM(G280:G282)</f>
        <v>317.28770346199991</v>
      </c>
      <c r="H278" s="285"/>
      <c r="I278" s="285"/>
      <c r="J278" s="285"/>
      <c r="K278" s="285"/>
      <c r="L278" s="285"/>
      <c r="M278" s="285"/>
      <c r="N278" s="285"/>
      <c r="O278" s="285"/>
      <c r="P278" s="285"/>
      <c r="Q278" s="285"/>
      <c r="R278" s="285"/>
      <c r="S278" s="285"/>
      <c r="T278" s="285"/>
      <c r="U278" s="285"/>
      <c r="V278" s="285"/>
      <c r="W278" s="285"/>
      <c r="X278" s="285"/>
      <c r="Y278" s="285"/>
      <c r="Z278" s="285"/>
      <c r="AA278" s="285"/>
      <c r="AB278" s="285"/>
      <c r="AC278" s="285"/>
      <c r="AD278" s="285"/>
      <c r="AE278" s="285"/>
      <c r="AF278" s="285"/>
      <c r="AG278" s="285"/>
      <c r="AH278" s="285"/>
      <c r="AI278" s="285"/>
      <c r="AJ278" s="285"/>
      <c r="AK278" s="352"/>
    </row>
    <row r="279" spans="1:37" ht="14.25" customHeight="1" x14ac:dyDescent="0.45">
      <c r="A279" s="618"/>
      <c r="B279" s="215"/>
      <c r="C279" s="247" t="s">
        <v>238</v>
      </c>
      <c r="D279" s="306"/>
      <c r="E279" s="306"/>
      <c r="F279" s="306"/>
      <c r="G279" s="306"/>
      <c r="H279" s="285"/>
      <c r="I279" s="285"/>
      <c r="J279" s="285"/>
      <c r="K279" s="285"/>
      <c r="L279" s="285"/>
      <c r="M279" s="285"/>
      <c r="N279" s="285"/>
      <c r="O279" s="285"/>
      <c r="P279" s="285"/>
      <c r="Q279" s="285"/>
      <c r="R279" s="285"/>
      <c r="S279" s="285"/>
      <c r="T279" s="285"/>
      <c r="U279" s="285"/>
      <c r="V279" s="285"/>
      <c r="W279" s="285"/>
      <c r="X279" s="285"/>
      <c r="Y279" s="285"/>
      <c r="Z279" s="285"/>
      <c r="AA279" s="285"/>
      <c r="AB279" s="285"/>
      <c r="AC279" s="285"/>
      <c r="AD279" s="285"/>
      <c r="AE279" s="285"/>
      <c r="AF279" s="285"/>
      <c r="AG279" s="285"/>
      <c r="AH279" s="285"/>
      <c r="AI279" s="285"/>
      <c r="AJ279" s="285"/>
      <c r="AK279" s="352"/>
    </row>
    <row r="280" spans="1:37" ht="14.25" customHeight="1" x14ac:dyDescent="0.45">
      <c r="A280" s="618"/>
      <c r="B280" s="215"/>
      <c r="C280" s="221" t="s">
        <v>236</v>
      </c>
      <c r="D280" s="101">
        <v>156.92400000000001</v>
      </c>
      <c r="E280" s="315">
        <v>154.03159999900001</v>
      </c>
      <c r="F280" s="315">
        <v>137.25133600000001</v>
      </c>
      <c r="G280" s="293">
        <v>139.96931199999997</v>
      </c>
      <c r="H280" s="285"/>
      <c r="I280" s="285"/>
      <c r="J280" s="285"/>
      <c r="K280" s="285"/>
      <c r="L280" s="285"/>
      <c r="M280" s="285"/>
      <c r="N280" s="285"/>
      <c r="O280" s="285"/>
      <c r="P280" s="285"/>
      <c r="Q280" s="285"/>
      <c r="R280" s="285"/>
      <c r="S280" s="285"/>
      <c r="T280" s="285"/>
      <c r="U280" s="285"/>
      <c r="V280" s="285"/>
      <c r="W280" s="285"/>
      <c r="X280" s="285"/>
      <c r="Y280" s="285"/>
      <c r="Z280" s="285"/>
      <c r="AA280" s="285"/>
      <c r="AB280" s="285"/>
      <c r="AC280" s="285"/>
      <c r="AD280" s="285"/>
      <c r="AE280" s="285"/>
      <c r="AF280" s="285"/>
      <c r="AG280" s="285"/>
      <c r="AH280" s="285"/>
      <c r="AI280" s="285"/>
      <c r="AJ280" s="285"/>
      <c r="AK280" s="352"/>
    </row>
    <row r="281" spans="1:37" ht="14.25" customHeight="1" x14ac:dyDescent="0.45">
      <c r="A281" s="618"/>
      <c r="B281" s="215"/>
      <c r="C281" s="221" t="s">
        <v>245</v>
      </c>
      <c r="D281" s="499">
        <v>148.82599999999999</v>
      </c>
      <c r="E281" s="315">
        <v>135.54679999999999</v>
      </c>
      <c r="F281" s="315">
        <v>129.67383602999999</v>
      </c>
      <c r="G281" s="293">
        <v>175.37838946199997</v>
      </c>
      <c r="H281" s="285"/>
      <c r="I281" s="285"/>
      <c r="J281" s="285"/>
      <c r="K281" s="285"/>
      <c r="L281" s="285"/>
      <c r="M281" s="285"/>
      <c r="N281" s="285"/>
      <c r="O281" s="285"/>
      <c r="P281" s="285"/>
      <c r="Q281" s="285"/>
      <c r="R281" s="285"/>
      <c r="S281" s="285"/>
      <c r="T281" s="285"/>
      <c r="U281" s="285"/>
      <c r="V281" s="285"/>
      <c r="W281" s="285"/>
      <c r="X281" s="285"/>
      <c r="Y281" s="285"/>
      <c r="Z281" s="285"/>
      <c r="AA281" s="285"/>
      <c r="AB281" s="285"/>
      <c r="AC281" s="285"/>
      <c r="AD281" s="285"/>
      <c r="AE281" s="285"/>
      <c r="AF281" s="285"/>
      <c r="AG281" s="285"/>
      <c r="AH281" s="285"/>
      <c r="AI281" s="285"/>
      <c r="AJ281" s="285"/>
      <c r="AK281" s="352"/>
    </row>
    <row r="282" spans="1:37" ht="14.25" customHeight="1" x14ac:dyDescent="0.45">
      <c r="A282" s="618"/>
      <c r="B282" s="215"/>
      <c r="C282" s="221" t="s">
        <v>240</v>
      </c>
      <c r="D282" s="499">
        <v>12.844799999999999</v>
      </c>
      <c r="E282" s="315">
        <v>7.5053000000000001</v>
      </c>
      <c r="F282" s="315">
        <v>6.6669770000000002</v>
      </c>
      <c r="G282" s="293">
        <v>1.940002</v>
      </c>
      <c r="H282" s="285"/>
      <c r="I282" s="285"/>
      <c r="J282" s="285"/>
      <c r="K282" s="285"/>
      <c r="L282" s="285"/>
      <c r="M282" s="285"/>
      <c r="N282" s="285"/>
      <c r="O282" s="285"/>
      <c r="P282" s="285"/>
      <c r="Q282" s="285"/>
      <c r="R282" s="285"/>
      <c r="S282" s="285"/>
      <c r="T282" s="285"/>
      <c r="U282" s="285"/>
      <c r="V282" s="285"/>
      <c r="W282" s="285"/>
      <c r="X282" s="285"/>
      <c r="Y282" s="285"/>
      <c r="Z282" s="285"/>
      <c r="AA282" s="285"/>
      <c r="AB282" s="285"/>
      <c r="AC282" s="285"/>
      <c r="AD282" s="285"/>
      <c r="AE282" s="285"/>
      <c r="AF282" s="285"/>
      <c r="AG282" s="285"/>
      <c r="AH282" s="285"/>
      <c r="AI282" s="285"/>
      <c r="AJ282" s="285"/>
      <c r="AK282" s="352"/>
    </row>
    <row r="283" spans="1:37" ht="14.25" customHeight="1" x14ac:dyDescent="0.45">
      <c r="A283" s="618"/>
      <c r="B283" s="215"/>
      <c r="C283" s="228" t="s">
        <v>193</v>
      </c>
      <c r="D283" s="229">
        <f>SUM(D285:D289)</f>
        <v>29.400000000000066</v>
      </c>
      <c r="E283" s="229">
        <f>SUM(E285:E289)</f>
        <v>27.090000000000128</v>
      </c>
      <c r="F283" s="229">
        <f>SUM(F285:F289)</f>
        <v>5.06562</v>
      </c>
      <c r="G283" s="229">
        <f>SUM(G285:G289)</f>
        <v>28.01546196</v>
      </c>
      <c r="H283" s="285"/>
      <c r="I283" s="285"/>
      <c r="J283" s="285"/>
      <c r="K283" s="285"/>
      <c r="L283" s="285"/>
      <c r="M283" s="285"/>
      <c r="N283" s="285"/>
      <c r="O283" s="285"/>
      <c r="P283" s="285"/>
      <c r="Q283" s="285"/>
      <c r="R283" s="285"/>
      <c r="S283" s="285"/>
      <c r="T283" s="285"/>
      <c r="U283" s="285"/>
      <c r="V283" s="285"/>
      <c r="W283" s="285"/>
      <c r="X283" s="285"/>
      <c r="Y283" s="285"/>
      <c r="Z283" s="285"/>
      <c r="AA283" s="285"/>
      <c r="AB283" s="285"/>
      <c r="AC283" s="285"/>
      <c r="AD283" s="285"/>
      <c r="AE283" s="285"/>
      <c r="AF283" s="285"/>
      <c r="AG283" s="285"/>
      <c r="AH283" s="285"/>
      <c r="AI283" s="285"/>
      <c r="AJ283" s="285"/>
      <c r="AK283" s="352"/>
    </row>
    <row r="284" spans="1:37" ht="14.25" customHeight="1" x14ac:dyDescent="0.45">
      <c r="A284" s="618"/>
      <c r="B284" s="215"/>
      <c r="C284" s="247" t="s">
        <v>225</v>
      </c>
      <c r="D284" s="306"/>
      <c r="E284" s="306"/>
      <c r="F284" s="306"/>
      <c r="G284" s="306"/>
      <c r="H284" s="285"/>
      <c r="I284" s="285"/>
      <c r="J284" s="285"/>
      <c r="K284" s="285"/>
      <c r="L284" s="285"/>
      <c r="M284" s="285"/>
      <c r="N284" s="285"/>
      <c r="O284" s="285"/>
      <c r="P284" s="285"/>
      <c r="Q284" s="285"/>
      <c r="R284" s="285"/>
      <c r="S284" s="285"/>
      <c r="T284" s="285"/>
      <c r="U284" s="285"/>
      <c r="V284" s="285"/>
      <c r="W284" s="285"/>
      <c r="X284" s="285"/>
      <c r="Y284" s="285"/>
      <c r="Z284" s="285"/>
      <c r="AA284" s="285"/>
      <c r="AB284" s="285"/>
      <c r="AC284" s="285"/>
      <c r="AD284" s="285"/>
      <c r="AE284" s="285"/>
      <c r="AF284" s="285"/>
      <c r="AG284" s="285"/>
      <c r="AH284" s="285"/>
      <c r="AI284" s="285"/>
      <c r="AJ284" s="285"/>
      <c r="AK284" s="352"/>
    </row>
    <row r="285" spans="1:37" ht="14.25" customHeight="1" x14ac:dyDescent="0.45">
      <c r="A285" s="618"/>
      <c r="B285" s="215"/>
      <c r="C285" s="221" t="s">
        <v>236</v>
      </c>
      <c r="D285" s="101">
        <v>1.6900000000000001E-3</v>
      </c>
      <c r="E285" s="232">
        <v>0</v>
      </c>
      <c r="F285" s="232">
        <v>0</v>
      </c>
      <c r="G285" s="232">
        <v>0</v>
      </c>
      <c r="H285" s="285"/>
      <c r="I285" s="285"/>
      <c r="J285" s="285"/>
      <c r="K285" s="285"/>
      <c r="L285" s="285"/>
      <c r="M285" s="285"/>
      <c r="N285" s="285"/>
      <c r="O285" s="285"/>
      <c r="P285" s="285"/>
      <c r="Q285" s="285"/>
      <c r="R285" s="285"/>
      <c r="S285" s="285"/>
      <c r="T285" s="285"/>
      <c r="U285" s="285"/>
      <c r="V285" s="285"/>
      <c r="W285" s="285"/>
      <c r="X285" s="285"/>
      <c r="Y285" s="285"/>
      <c r="Z285" s="285"/>
      <c r="AA285" s="285"/>
      <c r="AB285" s="285"/>
      <c r="AC285" s="285"/>
      <c r="AD285" s="285"/>
      <c r="AE285" s="285"/>
      <c r="AF285" s="285"/>
      <c r="AG285" s="285"/>
      <c r="AH285" s="285"/>
      <c r="AI285" s="285"/>
      <c r="AJ285" s="285"/>
      <c r="AK285" s="352"/>
    </row>
    <row r="286" spans="1:37" ht="14.25" customHeight="1" x14ac:dyDescent="0.45">
      <c r="A286" s="618"/>
      <c r="B286" s="215"/>
      <c r="C286" s="247" t="s">
        <v>230</v>
      </c>
      <c r="D286" s="306"/>
      <c r="E286" s="306"/>
      <c r="F286" s="306"/>
      <c r="G286" s="306"/>
      <c r="H286" s="285"/>
      <c r="I286" s="285"/>
      <c r="J286" s="285"/>
      <c r="K286" s="285"/>
      <c r="L286" s="285"/>
      <c r="M286" s="285"/>
      <c r="N286" s="285"/>
      <c r="O286" s="285"/>
      <c r="P286" s="285"/>
      <c r="Q286" s="285"/>
      <c r="R286" s="285"/>
      <c r="S286" s="285"/>
      <c r="T286" s="285"/>
      <c r="U286" s="285"/>
      <c r="V286" s="285"/>
      <c r="W286" s="285"/>
      <c r="X286" s="285"/>
      <c r="Y286" s="285"/>
      <c r="Z286" s="285"/>
      <c r="AA286" s="285"/>
      <c r="AB286" s="285"/>
      <c r="AC286" s="285"/>
      <c r="AD286" s="285"/>
      <c r="AE286" s="285"/>
      <c r="AF286" s="285"/>
      <c r="AG286" s="285"/>
      <c r="AH286" s="285"/>
      <c r="AI286" s="285"/>
      <c r="AJ286" s="285"/>
      <c r="AK286" s="352"/>
    </row>
    <row r="287" spans="1:37" ht="14.25" customHeight="1" x14ac:dyDescent="0.45">
      <c r="A287" s="618"/>
      <c r="B287" s="215"/>
      <c r="C287" s="221" t="s">
        <v>236</v>
      </c>
      <c r="D287" s="499">
        <v>0.03</v>
      </c>
      <c r="E287" s="232">
        <v>1.206E-2</v>
      </c>
      <c r="F287" s="232">
        <v>1.2E-4</v>
      </c>
      <c r="G287" s="232">
        <v>0</v>
      </c>
      <c r="H287" s="285"/>
      <c r="I287" s="285"/>
      <c r="J287" s="285"/>
      <c r="K287" s="285"/>
      <c r="L287" s="285"/>
      <c r="M287" s="285"/>
      <c r="N287" s="285"/>
      <c r="O287" s="285"/>
      <c r="P287" s="285"/>
      <c r="Q287" s="285"/>
      <c r="R287" s="285"/>
      <c r="S287" s="285"/>
      <c r="T287" s="285"/>
      <c r="U287" s="285"/>
      <c r="V287" s="285"/>
      <c r="W287" s="285"/>
      <c r="X287" s="285"/>
      <c r="Y287" s="285"/>
      <c r="Z287" s="285"/>
      <c r="AA287" s="285"/>
      <c r="AB287" s="285"/>
      <c r="AC287" s="285"/>
      <c r="AD287" s="285"/>
      <c r="AE287" s="285"/>
      <c r="AF287" s="285"/>
      <c r="AG287" s="285"/>
      <c r="AH287" s="285"/>
      <c r="AI287" s="285"/>
      <c r="AJ287" s="285"/>
      <c r="AK287" s="352"/>
    </row>
    <row r="288" spans="1:37" ht="14.25" customHeight="1" x14ac:dyDescent="0.45">
      <c r="A288" s="618"/>
      <c r="B288" s="215"/>
      <c r="C288" s="247" t="s">
        <v>238</v>
      </c>
      <c r="D288" s="306"/>
      <c r="E288" s="306"/>
      <c r="F288" s="306"/>
      <c r="G288" s="306"/>
      <c r="H288" s="285"/>
      <c r="I288" s="285"/>
      <c r="J288" s="285"/>
      <c r="K288" s="285"/>
      <c r="L288" s="285"/>
      <c r="M288" s="285"/>
      <c r="N288" s="285"/>
      <c r="O288" s="285"/>
      <c r="P288" s="285"/>
      <c r="Q288" s="285"/>
      <c r="R288" s="285"/>
      <c r="S288" s="285"/>
      <c r="T288" s="285"/>
      <c r="U288" s="285"/>
      <c r="V288" s="285"/>
      <c r="W288" s="285"/>
      <c r="X288" s="285"/>
      <c r="Y288" s="285"/>
      <c r="Z288" s="285"/>
      <c r="AA288" s="285"/>
      <c r="AB288" s="285"/>
      <c r="AC288" s="285"/>
      <c r="AD288" s="285"/>
      <c r="AE288" s="285"/>
      <c r="AF288" s="285"/>
      <c r="AG288" s="285"/>
      <c r="AH288" s="285"/>
      <c r="AI288" s="285"/>
      <c r="AJ288" s="285"/>
      <c r="AK288" s="352"/>
    </row>
    <row r="289" spans="1:37" ht="14.25" customHeight="1" x14ac:dyDescent="0.45">
      <c r="A289" s="618"/>
      <c r="B289" s="215"/>
      <c r="C289" s="221" t="s">
        <v>245</v>
      </c>
      <c r="D289" s="499">
        <v>29.368310000000065</v>
      </c>
      <c r="E289" s="232">
        <v>27.077940000000126</v>
      </c>
      <c r="F289" s="315">
        <v>5.0655000000000001</v>
      </c>
      <c r="G289" s="293">
        <v>28.01546196</v>
      </c>
      <c r="H289" s="285"/>
      <c r="I289" s="285"/>
      <c r="J289" s="285"/>
      <c r="K289" s="285"/>
      <c r="L289" s="285"/>
      <c r="M289" s="285"/>
      <c r="N289" s="285"/>
      <c r="O289" s="285"/>
      <c r="P289" s="285"/>
      <c r="Q289" s="285"/>
      <c r="R289" s="285"/>
      <c r="S289" s="285"/>
      <c r="T289" s="285"/>
      <c r="U289" s="285"/>
      <c r="V289" s="285"/>
      <c r="W289" s="285"/>
      <c r="X289" s="285"/>
      <c r="Y289" s="285"/>
      <c r="Z289" s="285"/>
      <c r="AA289" s="285"/>
      <c r="AB289" s="285"/>
      <c r="AC289" s="285"/>
      <c r="AD289" s="285"/>
      <c r="AE289" s="285"/>
      <c r="AF289" s="285"/>
      <c r="AG289" s="285"/>
      <c r="AH289" s="285"/>
      <c r="AI289" s="285"/>
      <c r="AJ289" s="285"/>
      <c r="AK289" s="352"/>
    </row>
    <row r="290" spans="1:37" ht="14.25" customHeight="1" x14ac:dyDescent="0.45">
      <c r="A290" s="618"/>
      <c r="B290" s="215"/>
      <c r="C290" s="224" t="s">
        <v>929</v>
      </c>
      <c r="D290" s="295"/>
      <c r="E290" s="295"/>
      <c r="F290" s="295"/>
      <c r="G290" s="295"/>
      <c r="H290" s="285"/>
      <c r="I290" s="285"/>
      <c r="J290" s="285"/>
      <c r="K290" s="285"/>
      <c r="L290" s="285"/>
      <c r="M290" s="285"/>
      <c r="N290" s="285"/>
      <c r="O290" s="285"/>
      <c r="P290" s="285"/>
      <c r="Q290" s="285"/>
      <c r="R290" s="285"/>
      <c r="S290" s="285"/>
      <c r="T290" s="285"/>
      <c r="U290" s="285"/>
      <c r="V290" s="285"/>
      <c r="W290" s="285"/>
      <c r="X290" s="285"/>
      <c r="Y290" s="285"/>
      <c r="Z290" s="285"/>
      <c r="AA290" s="285"/>
      <c r="AB290" s="285"/>
      <c r="AC290" s="285"/>
      <c r="AD290" s="285"/>
      <c r="AE290" s="285"/>
      <c r="AF290" s="285"/>
      <c r="AG290" s="285"/>
      <c r="AH290" s="285"/>
      <c r="AI290" s="285"/>
      <c r="AJ290" s="285"/>
      <c r="AK290" s="352"/>
    </row>
    <row r="291" spans="1:37" ht="14.25" customHeight="1" x14ac:dyDescent="0.45">
      <c r="A291" s="618"/>
      <c r="B291" s="215"/>
      <c r="C291" s="221" t="s">
        <v>350</v>
      </c>
      <c r="D291" s="232">
        <f>D254+D253+D256+D264+D267+D290</f>
        <v>3867.5422199999994</v>
      </c>
      <c r="E291" s="232">
        <f>E254+E253+E256+E264+E267+E290</f>
        <v>4119.8205379300007</v>
      </c>
      <c r="F291" s="232">
        <f>F254+F253+F256+F264+F267+F290</f>
        <v>3947.475871353</v>
      </c>
      <c r="G291" s="232">
        <f>G254+G253+G256+G264+G267+G290</f>
        <v>4033.3720489049983</v>
      </c>
      <c r="H291" s="285"/>
      <c r="I291" s="285"/>
      <c r="J291" s="285"/>
      <c r="K291" s="285"/>
      <c r="L291" s="285"/>
      <c r="M291" s="285"/>
      <c r="N291" s="285"/>
      <c r="O291" s="285"/>
      <c r="P291" s="285"/>
      <c r="Q291" s="285"/>
      <c r="R291" s="285"/>
      <c r="S291" s="285"/>
      <c r="T291" s="285"/>
      <c r="U291" s="285"/>
      <c r="V291" s="285"/>
      <c r="W291" s="285"/>
      <c r="X291" s="285"/>
      <c r="Y291" s="285"/>
      <c r="Z291" s="285"/>
      <c r="AA291" s="285"/>
      <c r="AB291" s="285"/>
      <c r="AC291" s="285"/>
      <c r="AD291" s="285"/>
      <c r="AE291" s="285"/>
      <c r="AF291" s="285"/>
      <c r="AG291" s="285"/>
      <c r="AH291" s="285"/>
      <c r="AI291" s="285"/>
      <c r="AJ291" s="285"/>
      <c r="AK291" s="352"/>
    </row>
    <row r="292" spans="1:37" ht="14.25" customHeight="1" x14ac:dyDescent="0.45">
      <c r="A292" s="618"/>
      <c r="B292" s="215"/>
      <c r="C292" s="243"/>
      <c r="D292" s="232"/>
      <c r="E292" s="232"/>
      <c r="F292" s="232"/>
      <c r="G292" s="293"/>
      <c r="H292" s="285"/>
      <c r="I292" s="285"/>
      <c r="J292" s="285"/>
      <c r="K292" s="285"/>
      <c r="L292" s="285"/>
      <c r="M292" s="285"/>
      <c r="N292" s="285"/>
      <c r="O292" s="285"/>
      <c r="P292" s="285"/>
      <c r="Q292" s="285"/>
      <c r="R292" s="285"/>
      <c r="S292" s="285"/>
      <c r="T292" s="285"/>
      <c r="U292" s="285"/>
      <c r="V292" s="285"/>
      <c r="W292" s="285"/>
      <c r="X292" s="285"/>
      <c r="Y292" s="285"/>
      <c r="Z292" s="285"/>
      <c r="AA292" s="285"/>
      <c r="AB292" s="285"/>
      <c r="AC292" s="285"/>
      <c r="AD292" s="285"/>
      <c r="AE292" s="285"/>
      <c r="AF292" s="285"/>
      <c r="AG292" s="285"/>
      <c r="AH292" s="285"/>
      <c r="AI292" s="285"/>
      <c r="AJ292" s="285"/>
      <c r="AK292" s="352"/>
    </row>
    <row r="293" spans="1:37" ht="14.25" customHeight="1" x14ac:dyDescent="0.45">
      <c r="A293" s="618"/>
      <c r="B293" s="215"/>
      <c r="C293" s="243" t="s">
        <v>352</v>
      </c>
      <c r="D293" s="285"/>
      <c r="E293" s="285"/>
      <c r="F293" s="285"/>
      <c r="G293" s="293"/>
      <c r="H293" s="285"/>
      <c r="I293" s="285"/>
      <c r="J293" s="285"/>
      <c r="K293" s="285"/>
      <c r="L293" s="285"/>
      <c r="M293" s="285"/>
      <c r="N293" s="285"/>
      <c r="O293" s="285"/>
      <c r="P293" s="285"/>
      <c r="Q293" s="285"/>
      <c r="R293" s="285"/>
      <c r="S293" s="285"/>
      <c r="T293" s="285"/>
      <c r="U293" s="285"/>
      <c r="V293" s="285"/>
      <c r="W293" s="285"/>
      <c r="X293" s="285"/>
      <c r="Y293" s="285"/>
      <c r="Z293" s="285"/>
      <c r="AA293" s="285"/>
      <c r="AB293" s="285"/>
      <c r="AC293" s="285"/>
      <c r="AD293" s="285"/>
      <c r="AE293" s="285"/>
      <c r="AF293" s="285"/>
      <c r="AG293" s="285"/>
      <c r="AH293" s="285"/>
      <c r="AI293" s="285"/>
      <c r="AJ293" s="285"/>
      <c r="AK293" s="352"/>
    </row>
    <row r="294" spans="1:37" ht="14.25" customHeight="1" x14ac:dyDescent="0.45">
      <c r="A294" s="618"/>
      <c r="B294" s="215"/>
      <c r="C294" s="224" t="s">
        <v>924</v>
      </c>
      <c r="D294" s="295">
        <f>SUM(D210,D253)</f>
        <v>382.44</v>
      </c>
      <c r="E294" s="295">
        <f>SUM(E210,E253)</f>
        <v>413.55961000000002</v>
      </c>
      <c r="F294" s="295">
        <f>SUM(F210,F253)</f>
        <v>426.58668</v>
      </c>
      <c r="G294" s="295">
        <f>SUM(G210,G253)</f>
        <v>372.79780949999997</v>
      </c>
      <c r="H294" s="285"/>
      <c r="I294" s="285"/>
      <c r="J294" s="285"/>
      <c r="K294" s="285"/>
      <c r="L294" s="285"/>
      <c r="M294" s="285"/>
      <c r="N294" s="285"/>
      <c r="O294" s="285"/>
      <c r="P294" s="285"/>
      <c r="Q294" s="285"/>
      <c r="R294" s="285"/>
      <c r="S294" s="285"/>
      <c r="T294" s="285"/>
      <c r="U294" s="285"/>
      <c r="V294" s="285"/>
      <c r="W294" s="285"/>
      <c r="X294" s="285"/>
      <c r="Y294" s="285"/>
      <c r="Z294" s="285"/>
      <c r="AA294" s="285"/>
      <c r="AB294" s="285"/>
      <c r="AC294" s="285"/>
      <c r="AD294" s="285"/>
      <c r="AE294" s="285"/>
      <c r="AF294" s="285"/>
      <c r="AG294" s="285"/>
      <c r="AH294" s="285"/>
      <c r="AI294" s="285"/>
      <c r="AJ294" s="285"/>
      <c r="AK294" s="352"/>
    </row>
    <row r="295" spans="1:37" ht="14.25" customHeight="1" x14ac:dyDescent="0.45">
      <c r="A295" s="618"/>
      <c r="B295" s="215"/>
      <c r="C295" s="224" t="s">
        <v>925</v>
      </c>
      <c r="D295" s="295">
        <f>SUM(D213,D254)</f>
        <v>80.255780000000001</v>
      </c>
      <c r="E295" s="295">
        <f>SUM(E213,E254)</f>
        <v>85.526450000000011</v>
      </c>
      <c r="F295" s="295">
        <f>SUM(F213,F254)</f>
        <v>77.103729999999999</v>
      </c>
      <c r="G295" s="295">
        <f>SUM(G213,G254)</f>
        <v>62.010020000000033</v>
      </c>
      <c r="H295" s="285"/>
      <c r="I295" s="285"/>
      <c r="J295" s="285"/>
      <c r="K295" s="285"/>
      <c r="L295" s="285"/>
      <c r="M295" s="285"/>
      <c r="N295" s="285"/>
      <c r="O295" s="285"/>
      <c r="P295" s="285"/>
      <c r="Q295" s="285"/>
      <c r="R295" s="285"/>
      <c r="S295" s="285"/>
      <c r="T295" s="285"/>
      <c r="U295" s="285"/>
      <c r="V295" s="285"/>
      <c r="W295" s="285"/>
      <c r="X295" s="285"/>
      <c r="Y295" s="285"/>
      <c r="Z295" s="285"/>
      <c r="AA295" s="285"/>
      <c r="AB295" s="285"/>
      <c r="AC295" s="285"/>
      <c r="AD295" s="285"/>
      <c r="AE295" s="285"/>
      <c r="AF295" s="285"/>
      <c r="AG295" s="285"/>
      <c r="AH295" s="285"/>
      <c r="AI295" s="285"/>
      <c r="AJ295" s="285"/>
      <c r="AK295" s="352"/>
    </row>
    <row r="296" spans="1:37" ht="14.25" customHeight="1" x14ac:dyDescent="0.45">
      <c r="A296" s="618"/>
      <c r="B296" s="215"/>
      <c r="C296" s="224" t="s">
        <v>926</v>
      </c>
      <c r="D296" s="295">
        <f>SUM(D297:D298)</f>
        <v>20678.027170000001</v>
      </c>
      <c r="E296" s="295">
        <f>SUM(E297:E298)</f>
        <v>24640.573410885001</v>
      </c>
      <c r="F296" s="295">
        <f>SUM(F297:F298)</f>
        <v>24333.256840651997</v>
      </c>
      <c r="G296" s="295">
        <f>SUM(G297:G298)</f>
        <v>25574.607534327006</v>
      </c>
      <c r="H296" s="285"/>
      <c r="I296" s="285"/>
      <c r="J296" s="285"/>
      <c r="K296" s="285"/>
      <c r="L296" s="285"/>
      <c r="M296" s="285"/>
      <c r="N296" s="285"/>
      <c r="O296" s="285"/>
      <c r="P296" s="285"/>
      <c r="Q296" s="285"/>
      <c r="R296" s="285"/>
      <c r="S296" s="285"/>
      <c r="T296" s="285"/>
      <c r="U296" s="285"/>
      <c r="V296" s="285"/>
      <c r="W296" s="285"/>
      <c r="X296" s="285"/>
      <c r="Y296" s="285"/>
      <c r="Z296" s="285"/>
      <c r="AA296" s="285"/>
      <c r="AB296" s="285"/>
      <c r="AC296" s="285"/>
      <c r="AD296" s="285"/>
      <c r="AE296" s="285"/>
      <c r="AF296" s="285"/>
      <c r="AG296" s="285"/>
      <c r="AH296" s="285"/>
      <c r="AI296" s="285"/>
      <c r="AJ296" s="285"/>
      <c r="AK296" s="352"/>
    </row>
    <row r="297" spans="1:37" ht="14.25" customHeight="1" x14ac:dyDescent="0.45">
      <c r="A297" s="618"/>
      <c r="B297" s="215"/>
      <c r="C297" s="228" t="s">
        <v>173</v>
      </c>
      <c r="D297" s="229">
        <f>SUM(D215)</f>
        <v>7709.74</v>
      </c>
      <c r="E297" s="229">
        <f>SUM(E215)</f>
        <v>8951.7123226279982</v>
      </c>
      <c r="F297" s="229">
        <f>SUM(F215)</f>
        <v>8075.3943276150003</v>
      </c>
      <c r="G297" s="229">
        <f>SUM(G215)</f>
        <v>8705.3032754990018</v>
      </c>
      <c r="H297" s="285"/>
      <c r="I297" s="285"/>
      <c r="J297" s="285"/>
      <c r="K297" s="285"/>
      <c r="L297" s="285"/>
      <c r="M297" s="285"/>
      <c r="N297" s="285"/>
      <c r="O297" s="285"/>
      <c r="P297" s="285"/>
      <c r="Q297" s="285"/>
      <c r="R297" s="285"/>
      <c r="S297" s="285"/>
      <c r="T297" s="285"/>
      <c r="U297" s="285"/>
      <c r="V297" s="285"/>
      <c r="W297" s="285"/>
      <c r="X297" s="285"/>
      <c r="Y297" s="285"/>
      <c r="Z297" s="285"/>
      <c r="AA297" s="285"/>
      <c r="AB297" s="285"/>
      <c r="AC297" s="285"/>
      <c r="AD297" s="285"/>
      <c r="AE297" s="285"/>
      <c r="AF297" s="285"/>
      <c r="AG297" s="285"/>
      <c r="AH297" s="285"/>
      <c r="AI297" s="285"/>
      <c r="AJ297" s="285"/>
      <c r="AK297" s="352"/>
    </row>
    <row r="298" spans="1:37" ht="14.25" customHeight="1" x14ac:dyDescent="0.45">
      <c r="A298" s="618"/>
      <c r="B298" s="215"/>
      <c r="C298" s="228" t="s">
        <v>176</v>
      </c>
      <c r="D298" s="229">
        <f>SUM(D218,D257)</f>
        <v>12968.287170000001</v>
      </c>
      <c r="E298" s="229">
        <f>SUM(E218,E257)</f>
        <v>15688.861088257001</v>
      </c>
      <c r="F298" s="229">
        <f>SUM(F218,F257)</f>
        <v>16257.862513036996</v>
      </c>
      <c r="G298" s="229">
        <f>SUM(G218,G257)</f>
        <v>16869.304258828004</v>
      </c>
      <c r="H298" s="285"/>
      <c r="I298" s="285"/>
      <c r="J298" s="285"/>
      <c r="K298" s="285"/>
      <c r="L298" s="285"/>
      <c r="M298" s="285"/>
      <c r="N298" s="285"/>
      <c r="O298" s="285"/>
      <c r="P298" s="285"/>
      <c r="Q298" s="285"/>
      <c r="R298" s="285"/>
      <c r="S298" s="285"/>
      <c r="T298" s="285"/>
      <c r="U298" s="285"/>
      <c r="V298" s="285"/>
      <c r="W298" s="285"/>
      <c r="X298" s="285"/>
      <c r="Y298" s="285"/>
      <c r="Z298" s="285"/>
      <c r="AA298" s="285"/>
      <c r="AB298" s="285"/>
      <c r="AC298" s="285"/>
      <c r="AD298" s="285"/>
      <c r="AE298" s="285"/>
      <c r="AF298" s="285"/>
      <c r="AG298" s="285"/>
      <c r="AH298" s="285"/>
      <c r="AI298" s="285"/>
      <c r="AJ298" s="285"/>
      <c r="AK298" s="352"/>
    </row>
    <row r="299" spans="1:37" ht="14.25" customHeight="1" x14ac:dyDescent="0.45">
      <c r="A299" s="618"/>
      <c r="B299" s="215"/>
      <c r="C299" s="224" t="s">
        <v>927</v>
      </c>
      <c r="D299" s="295">
        <f>SUM(D221,D264)</f>
        <v>38.080940000000005</v>
      </c>
      <c r="E299" s="295">
        <f>SUM(E221,E264)</f>
        <v>37.622040000000005</v>
      </c>
      <c r="F299" s="295">
        <f>SUM(F221,F264)</f>
        <v>37.764680715999994</v>
      </c>
      <c r="G299" s="295">
        <f>SUM(G221,G264)</f>
        <v>36.864546539999999</v>
      </c>
      <c r="H299" s="285"/>
      <c r="I299" s="285"/>
      <c r="J299" s="285"/>
      <c r="K299" s="285"/>
      <c r="L299" s="285"/>
      <c r="M299" s="285"/>
      <c r="N299" s="285"/>
      <c r="O299" s="285"/>
      <c r="P299" s="285"/>
      <c r="Q299" s="285"/>
      <c r="R299" s="285"/>
      <c r="S299" s="285"/>
      <c r="T299" s="285"/>
      <c r="U299" s="285"/>
      <c r="V299" s="285"/>
      <c r="W299" s="285"/>
      <c r="X299" s="285"/>
      <c r="Y299" s="285"/>
      <c r="Z299" s="285"/>
      <c r="AA299" s="285"/>
      <c r="AB299" s="285"/>
      <c r="AC299" s="285"/>
      <c r="AD299" s="285"/>
      <c r="AE299" s="285"/>
      <c r="AF299" s="285"/>
      <c r="AG299" s="285"/>
      <c r="AH299" s="285"/>
      <c r="AI299" s="285"/>
      <c r="AJ299" s="285"/>
      <c r="AK299" s="352"/>
    </row>
    <row r="300" spans="1:37" ht="14.25" customHeight="1" x14ac:dyDescent="0.45">
      <c r="A300" s="618"/>
      <c r="B300" s="215"/>
      <c r="C300" s="224" t="s">
        <v>928</v>
      </c>
      <c r="D300" s="295">
        <f>SUM(D301,D302,D303)</f>
        <v>8019.1759199999997</v>
      </c>
      <c r="E300" s="295">
        <f>SUM(E301,E302,E303)</f>
        <v>7065.5174733370004</v>
      </c>
      <c r="F300" s="295">
        <f>SUM(F301,F302,F303)</f>
        <v>6329.2887430730007</v>
      </c>
      <c r="G300" s="295">
        <f>SUM(G301,G302,G303)</f>
        <v>6118.4583147109988</v>
      </c>
      <c r="H300" s="285"/>
      <c r="I300" s="285"/>
      <c r="J300" s="285"/>
      <c r="K300" s="285"/>
      <c r="L300" s="285"/>
      <c r="M300" s="285"/>
      <c r="N300" s="285"/>
      <c r="O300" s="285"/>
      <c r="P300" s="285"/>
      <c r="Q300" s="285"/>
      <c r="R300" s="285"/>
      <c r="S300" s="285"/>
      <c r="T300" s="285"/>
      <c r="U300" s="285"/>
      <c r="V300" s="285"/>
      <c r="W300" s="285"/>
      <c r="X300" s="285"/>
      <c r="Y300" s="285"/>
      <c r="Z300" s="285"/>
      <c r="AA300" s="285"/>
      <c r="AB300" s="285"/>
      <c r="AC300" s="285"/>
      <c r="AD300" s="285"/>
      <c r="AE300" s="285"/>
      <c r="AF300" s="285"/>
      <c r="AG300" s="285"/>
      <c r="AH300" s="285"/>
      <c r="AI300" s="285"/>
      <c r="AJ300" s="285"/>
      <c r="AK300" s="352"/>
    </row>
    <row r="301" spans="1:37" ht="14.25" customHeight="1" x14ac:dyDescent="0.45">
      <c r="A301" s="618"/>
      <c r="B301" s="215"/>
      <c r="C301" s="228" t="s">
        <v>180</v>
      </c>
      <c r="D301" s="229">
        <f>SUM(D223,D268)</f>
        <v>4942.8412899999994</v>
      </c>
      <c r="E301" s="229">
        <f>SUM(E223,E268)</f>
        <v>4618.3905931140007</v>
      </c>
      <c r="F301" s="229">
        <f>SUM(F223,F268)</f>
        <v>4422.103946016</v>
      </c>
      <c r="G301" s="229">
        <f>SUM(G223,G268)</f>
        <v>4335.5641799159985</v>
      </c>
      <c r="H301" s="285"/>
      <c r="I301" s="285"/>
      <c r="J301" s="285"/>
      <c r="K301" s="285"/>
      <c r="L301" s="285"/>
      <c r="M301" s="285"/>
      <c r="N301" s="285"/>
      <c r="O301" s="285"/>
      <c r="P301" s="285"/>
      <c r="Q301" s="285"/>
      <c r="R301" s="285"/>
      <c r="S301" s="285"/>
      <c r="T301" s="285"/>
      <c r="U301" s="285"/>
      <c r="V301" s="285"/>
      <c r="W301" s="285"/>
      <c r="X301" s="285"/>
      <c r="Y301" s="285"/>
      <c r="Z301" s="285"/>
      <c r="AA301" s="285"/>
      <c r="AB301" s="285"/>
      <c r="AC301" s="285"/>
      <c r="AD301" s="285"/>
      <c r="AE301" s="285"/>
      <c r="AF301" s="285"/>
      <c r="AG301" s="285"/>
      <c r="AH301" s="285"/>
      <c r="AI301" s="285"/>
      <c r="AJ301" s="285"/>
      <c r="AK301" s="352"/>
    </row>
    <row r="302" spans="1:37" ht="14.25" customHeight="1" x14ac:dyDescent="0.45">
      <c r="A302" s="618"/>
      <c r="B302" s="215"/>
      <c r="C302" s="228" t="s">
        <v>188</v>
      </c>
      <c r="D302" s="229">
        <f>SUM(D228,D278)</f>
        <v>1338.40463</v>
      </c>
      <c r="E302" s="229">
        <f>SUM(E228,E278)</f>
        <v>1185.7341851879999</v>
      </c>
      <c r="F302" s="229">
        <f>SUM(F228,F278)</f>
        <v>981.75386919499999</v>
      </c>
      <c r="G302" s="229">
        <f>SUM(G228,G278)</f>
        <v>911.82251418999977</v>
      </c>
      <c r="H302" s="285"/>
      <c r="I302" s="285"/>
      <c r="J302" s="285"/>
      <c r="K302" s="285"/>
      <c r="L302" s="285"/>
      <c r="M302" s="285"/>
      <c r="N302" s="285"/>
      <c r="O302" s="285"/>
      <c r="P302" s="285"/>
      <c r="Q302" s="285"/>
      <c r="R302" s="285"/>
      <c r="S302" s="285"/>
      <c r="T302" s="285"/>
      <c r="U302" s="285"/>
      <c r="V302" s="285"/>
      <c r="W302" s="285"/>
      <c r="X302" s="285"/>
      <c r="Y302" s="285"/>
      <c r="Z302" s="285"/>
      <c r="AA302" s="285"/>
      <c r="AB302" s="285"/>
      <c r="AC302" s="285"/>
      <c r="AD302" s="285"/>
      <c r="AE302" s="285"/>
      <c r="AF302" s="285"/>
      <c r="AG302" s="285"/>
      <c r="AH302" s="285"/>
      <c r="AI302" s="285"/>
      <c r="AJ302" s="285"/>
      <c r="AK302" s="352"/>
    </row>
    <row r="303" spans="1:37" ht="14.25" customHeight="1" x14ac:dyDescent="0.45">
      <c r="A303" s="618"/>
      <c r="B303" s="215"/>
      <c r="C303" s="228" t="s">
        <v>193</v>
      </c>
      <c r="D303" s="229">
        <f>SUM(D231,D283)</f>
        <v>1737.93</v>
      </c>
      <c r="E303" s="229">
        <f>SUM(E231,E283)</f>
        <v>1261.3926950350001</v>
      </c>
      <c r="F303" s="229">
        <f>SUM(F231,F283)</f>
        <v>925.43092786199998</v>
      </c>
      <c r="G303" s="229">
        <f>SUM(G231,G283)</f>
        <v>871.07162060500013</v>
      </c>
      <c r="H303" s="285"/>
      <c r="I303" s="285"/>
      <c r="J303" s="285"/>
      <c r="K303" s="285"/>
      <c r="L303" s="285"/>
      <c r="M303" s="285"/>
      <c r="N303" s="285"/>
      <c r="O303" s="285"/>
      <c r="P303" s="285"/>
      <c r="Q303" s="285"/>
      <c r="R303" s="285"/>
      <c r="S303" s="285"/>
      <c r="T303" s="285"/>
      <c r="U303" s="285"/>
      <c r="V303" s="285"/>
      <c r="W303" s="285"/>
      <c r="X303" s="285"/>
      <c r="Y303" s="285"/>
      <c r="Z303" s="285"/>
      <c r="AA303" s="285"/>
      <c r="AB303" s="285"/>
      <c r="AC303" s="285"/>
      <c r="AD303" s="285"/>
      <c r="AE303" s="285"/>
      <c r="AF303" s="285"/>
      <c r="AG303" s="285"/>
      <c r="AH303" s="285"/>
      <c r="AI303" s="285"/>
      <c r="AJ303" s="285"/>
      <c r="AK303" s="352"/>
    </row>
    <row r="304" spans="1:37" ht="14.25" customHeight="1" x14ac:dyDescent="0.45">
      <c r="A304" s="618"/>
      <c r="B304" s="215"/>
      <c r="C304" s="224" t="s">
        <v>929</v>
      </c>
      <c r="D304" s="295">
        <f>SUM(D233,D290)</f>
        <v>45.53</v>
      </c>
      <c r="E304" s="295">
        <f>SUM(E233,E290)</f>
        <v>41.160000000000004</v>
      </c>
      <c r="F304" s="295">
        <f>SUM(F233,F290)</f>
        <v>43.99</v>
      </c>
      <c r="G304" s="295">
        <f>SUM(G233,G290)</f>
        <v>42.13</v>
      </c>
      <c r="H304" s="285"/>
      <c r="I304" s="285"/>
      <c r="J304" s="285"/>
      <c r="K304" s="285"/>
      <c r="L304" s="285"/>
      <c r="M304" s="285"/>
      <c r="N304" s="285"/>
      <c r="O304" s="285"/>
      <c r="P304" s="285"/>
      <c r="Q304" s="285"/>
      <c r="R304" s="285"/>
      <c r="S304" s="285"/>
      <c r="T304" s="285"/>
      <c r="U304" s="285"/>
      <c r="V304" s="285"/>
      <c r="W304" s="285"/>
      <c r="X304" s="285"/>
      <c r="Y304" s="285"/>
      <c r="Z304" s="285"/>
      <c r="AA304" s="285"/>
      <c r="AB304" s="285"/>
      <c r="AC304" s="285"/>
      <c r="AD304" s="285"/>
      <c r="AE304" s="285"/>
      <c r="AF304" s="285"/>
      <c r="AG304" s="285"/>
      <c r="AH304" s="285"/>
      <c r="AI304" s="285"/>
      <c r="AJ304" s="285"/>
      <c r="AK304" s="352"/>
    </row>
    <row r="305" spans="1:37" ht="14.25" customHeight="1" x14ac:dyDescent="0.45">
      <c r="A305" s="618"/>
      <c r="B305" s="215"/>
      <c r="C305" s="224" t="s">
        <v>350</v>
      </c>
      <c r="D305" s="295">
        <f>D294+D295+D296+D299+D300+D304</f>
        <v>29243.509810000003</v>
      </c>
      <c r="E305" s="295">
        <f>E294+E295+E296+E299+E300+E304</f>
        <v>32283.958984222001</v>
      </c>
      <c r="F305" s="295">
        <f>F294+F295+F296+F299+F300+F304</f>
        <v>31247.990674441</v>
      </c>
      <c r="G305" s="295">
        <f>G294+G295+G296+G299+G300+G304</f>
        <v>32206.868225078008</v>
      </c>
      <c r="H305" s="285"/>
      <c r="I305" s="285"/>
      <c r="J305" s="285"/>
      <c r="K305" s="285"/>
      <c r="L305" s="285"/>
      <c r="M305" s="285"/>
      <c r="N305" s="285"/>
      <c r="O305" s="285"/>
      <c r="P305" s="285"/>
      <c r="Q305" s="285"/>
      <c r="R305" s="285"/>
      <c r="S305" s="285"/>
      <c r="T305" s="285"/>
      <c r="U305" s="285"/>
      <c r="V305" s="285"/>
      <c r="W305" s="285"/>
      <c r="X305" s="285"/>
      <c r="Y305" s="285"/>
      <c r="Z305" s="285"/>
      <c r="AA305" s="285"/>
      <c r="AB305" s="285"/>
      <c r="AC305" s="285"/>
      <c r="AD305" s="285"/>
      <c r="AE305" s="285"/>
      <c r="AF305" s="285"/>
      <c r="AG305" s="285"/>
      <c r="AH305" s="285"/>
      <c r="AI305" s="285"/>
      <c r="AJ305" s="285"/>
      <c r="AK305" s="352"/>
    </row>
    <row r="306" spans="1:37" ht="14.25" customHeight="1" x14ac:dyDescent="0.45">
      <c r="A306" s="618"/>
      <c r="B306" s="215"/>
      <c r="C306" s="221"/>
      <c r="D306" s="293"/>
      <c r="E306" s="293"/>
      <c r="F306" s="293"/>
      <c r="G306" s="293"/>
      <c r="H306" s="285"/>
      <c r="I306" s="285"/>
      <c r="J306" s="285"/>
      <c r="K306" s="285"/>
      <c r="L306" s="285"/>
      <c r="M306" s="285"/>
      <c r="N306" s="285"/>
      <c r="O306" s="285"/>
      <c r="P306" s="285"/>
      <c r="Q306" s="285"/>
      <c r="R306" s="285"/>
      <c r="S306" s="285"/>
      <c r="T306" s="285"/>
      <c r="U306" s="285"/>
      <c r="V306" s="285"/>
      <c r="W306" s="285"/>
      <c r="X306" s="285"/>
      <c r="Y306" s="285"/>
      <c r="Z306" s="285"/>
      <c r="AA306" s="285"/>
      <c r="AB306" s="285"/>
      <c r="AC306" s="285"/>
      <c r="AD306" s="285"/>
      <c r="AE306" s="285"/>
      <c r="AF306" s="285"/>
      <c r="AG306" s="285"/>
      <c r="AH306" s="285"/>
      <c r="AI306" s="285"/>
      <c r="AJ306" s="285"/>
      <c r="AK306" s="352"/>
    </row>
    <row r="307" spans="1:37" ht="14.25" customHeight="1" x14ac:dyDescent="0.45">
      <c r="A307" s="618"/>
      <c r="B307" s="215"/>
      <c r="C307" s="353"/>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c r="AH307" s="220"/>
      <c r="AI307" s="220"/>
      <c r="AJ307" s="220"/>
      <c r="AK307" s="352"/>
    </row>
    <row r="308" spans="1:37" ht="14.25" customHeight="1" x14ac:dyDescent="0.45">
      <c r="A308" s="618"/>
      <c r="B308" s="215"/>
      <c r="C308" s="243" t="s">
        <v>932</v>
      </c>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c r="AA308" s="285"/>
      <c r="AB308" s="285"/>
      <c r="AC308" s="285"/>
      <c r="AD308" s="285"/>
      <c r="AE308" s="285"/>
      <c r="AF308" s="285"/>
      <c r="AG308" s="285"/>
      <c r="AH308" s="285"/>
      <c r="AI308" s="285"/>
      <c r="AJ308" s="285"/>
      <c r="AK308" s="352"/>
    </row>
    <row r="309" spans="1:37" ht="15" customHeight="1" x14ac:dyDescent="0.45">
      <c r="A309" s="618">
        <v>2</v>
      </c>
      <c r="B309" s="639" t="s">
        <v>356</v>
      </c>
      <c r="C309" s="221" t="s">
        <v>166</v>
      </c>
      <c r="D309" s="285">
        <v>0.3</v>
      </c>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c r="AA309" s="285"/>
      <c r="AB309" s="285"/>
      <c r="AC309" s="285"/>
      <c r="AD309" s="285"/>
      <c r="AE309" s="285"/>
      <c r="AF309" s="285"/>
      <c r="AG309" s="285"/>
      <c r="AH309" s="285"/>
      <c r="AI309" s="285"/>
      <c r="AJ309" s="285"/>
      <c r="AK309" s="352"/>
    </row>
    <row r="310" spans="1:37" ht="14.25" customHeight="1" x14ac:dyDescent="0.45">
      <c r="A310" s="618">
        <v>2</v>
      </c>
      <c r="B310" s="631"/>
      <c r="C310" s="323" t="s">
        <v>357</v>
      </c>
      <c r="D310" s="285">
        <v>0.9</v>
      </c>
      <c r="E310" s="285"/>
      <c r="F310" s="285"/>
      <c r="G310" s="285"/>
      <c r="H310" s="285"/>
      <c r="I310" s="285"/>
      <c r="J310" s="285"/>
      <c r="K310" s="285"/>
      <c r="L310" s="285"/>
      <c r="M310" s="285"/>
      <c r="N310" s="285"/>
      <c r="O310" s="285"/>
      <c r="P310" s="285"/>
      <c r="Q310" s="285"/>
      <c r="R310" s="285"/>
      <c r="S310" s="285"/>
      <c r="T310" s="285"/>
      <c r="U310" s="285"/>
      <c r="V310" s="285"/>
      <c r="W310" s="285"/>
      <c r="X310" s="285"/>
      <c r="Y310" s="285"/>
      <c r="Z310" s="285"/>
      <c r="AA310" s="285"/>
      <c r="AB310" s="285"/>
      <c r="AC310" s="285"/>
      <c r="AD310" s="285"/>
      <c r="AE310" s="285"/>
      <c r="AF310" s="285"/>
      <c r="AG310" s="285"/>
      <c r="AH310" s="285"/>
      <c r="AI310" s="285"/>
      <c r="AJ310" s="285"/>
      <c r="AK310" s="352"/>
    </row>
    <row r="311" spans="1:37" ht="14.25" customHeight="1" x14ac:dyDescent="0.45">
      <c r="A311" s="618">
        <v>2</v>
      </c>
      <c r="B311" s="631"/>
      <c r="C311" s="221" t="s">
        <v>282</v>
      </c>
      <c r="D311" s="285">
        <v>0.95</v>
      </c>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c r="AA311" s="285"/>
      <c r="AB311" s="285"/>
      <c r="AC311" s="285"/>
      <c r="AD311" s="285"/>
      <c r="AE311" s="285"/>
      <c r="AF311" s="285"/>
      <c r="AG311" s="285"/>
      <c r="AH311" s="285"/>
      <c r="AI311" s="285"/>
      <c r="AJ311" s="285"/>
      <c r="AK311" s="352"/>
    </row>
    <row r="312" spans="1:37" ht="14.25" customHeight="1" x14ac:dyDescent="0.45">
      <c r="A312" s="618"/>
      <c r="B312" s="631"/>
      <c r="C312" s="221" t="s">
        <v>283</v>
      </c>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c r="Z312" s="285"/>
      <c r="AA312" s="285"/>
      <c r="AB312" s="285"/>
      <c r="AC312" s="285"/>
      <c r="AD312" s="285"/>
      <c r="AE312" s="285"/>
      <c r="AF312" s="285"/>
      <c r="AG312" s="285"/>
      <c r="AH312" s="285"/>
      <c r="AI312" s="285"/>
      <c r="AJ312" s="285"/>
      <c r="AK312" s="352"/>
    </row>
    <row r="313" spans="1:37" ht="14.25" customHeight="1" x14ac:dyDescent="0.45">
      <c r="A313" s="618">
        <v>2</v>
      </c>
      <c r="B313" s="631"/>
      <c r="C313" s="221" t="s">
        <v>201</v>
      </c>
      <c r="D313" s="285">
        <v>0.43759999999999999</v>
      </c>
      <c r="E313" s="285"/>
      <c r="F313" s="285"/>
      <c r="G313" s="285"/>
      <c r="H313" s="285"/>
      <c r="I313" s="285"/>
      <c r="J313" s="285"/>
      <c r="K313" s="285"/>
      <c r="L313" s="285"/>
      <c r="M313" s="285"/>
      <c r="N313" s="285"/>
      <c r="O313" s="285"/>
      <c r="P313" s="285"/>
      <c r="Q313" s="285"/>
      <c r="R313" s="285"/>
      <c r="S313" s="285"/>
      <c r="T313" s="285"/>
      <c r="U313" s="285"/>
      <c r="V313" s="285"/>
      <c r="W313" s="285"/>
      <c r="X313" s="285"/>
      <c r="Y313" s="285"/>
      <c r="Z313" s="285"/>
      <c r="AA313" s="285"/>
      <c r="AB313" s="285"/>
      <c r="AC313" s="285"/>
      <c r="AD313" s="285"/>
      <c r="AE313" s="285"/>
      <c r="AF313" s="285"/>
      <c r="AG313" s="285"/>
      <c r="AH313" s="285"/>
      <c r="AI313" s="285"/>
      <c r="AJ313" s="285"/>
      <c r="AK313" s="352"/>
    </row>
    <row r="314" spans="1:37" ht="14.25" customHeight="1" x14ac:dyDescent="0.45">
      <c r="A314" s="618">
        <v>2</v>
      </c>
      <c r="B314" s="631"/>
      <c r="C314" s="221" t="s">
        <v>203</v>
      </c>
      <c r="D314" s="285">
        <v>0.61450000000000005</v>
      </c>
      <c r="E314" s="285"/>
      <c r="F314" s="285"/>
      <c r="G314" s="285"/>
      <c r="H314" s="285"/>
      <c r="I314" s="285"/>
      <c r="J314" s="285"/>
      <c r="K314" s="285"/>
      <c r="L314" s="285"/>
      <c r="M314" s="285"/>
      <c r="N314" s="285"/>
      <c r="O314" s="285"/>
      <c r="P314" s="285"/>
      <c r="Q314" s="285"/>
      <c r="R314" s="285"/>
      <c r="S314" s="285"/>
      <c r="T314" s="285"/>
      <c r="U314" s="285"/>
      <c r="V314" s="285"/>
      <c r="W314" s="285"/>
      <c r="X314" s="285"/>
      <c r="Y314" s="285"/>
      <c r="Z314" s="285"/>
      <c r="AA314" s="285"/>
      <c r="AB314" s="285"/>
      <c r="AC314" s="285"/>
      <c r="AD314" s="285"/>
      <c r="AE314" s="285"/>
      <c r="AF314" s="285"/>
      <c r="AG314" s="285"/>
      <c r="AH314" s="285"/>
      <c r="AI314" s="285"/>
      <c r="AJ314" s="285"/>
      <c r="AK314" s="352"/>
    </row>
    <row r="315" spans="1:37" ht="14.25" customHeight="1" x14ac:dyDescent="0.45">
      <c r="A315" s="618">
        <v>2</v>
      </c>
      <c r="B315" s="631"/>
      <c r="C315" s="221" t="s">
        <v>205</v>
      </c>
      <c r="D315" s="285" t="s">
        <v>221</v>
      </c>
      <c r="E315" s="285"/>
      <c r="F315" s="285"/>
      <c r="G315" s="285"/>
      <c r="H315" s="285"/>
      <c r="I315" s="285"/>
      <c r="J315" s="285"/>
      <c r="K315" s="285"/>
      <c r="L315" s="285"/>
      <c r="M315" s="285"/>
      <c r="N315" s="285"/>
      <c r="O315" s="285"/>
      <c r="P315" s="285"/>
      <c r="Q315" s="285"/>
      <c r="R315" s="285"/>
      <c r="S315" s="285"/>
      <c r="T315" s="285"/>
      <c r="U315" s="285"/>
      <c r="V315" s="285"/>
      <c r="W315" s="285"/>
      <c r="X315" s="285"/>
      <c r="Y315" s="285"/>
      <c r="Z315" s="285"/>
      <c r="AA315" s="285"/>
      <c r="AB315" s="285"/>
      <c r="AC315" s="285"/>
      <c r="AD315" s="285"/>
      <c r="AE315" s="285"/>
      <c r="AF315" s="285"/>
      <c r="AG315" s="285"/>
      <c r="AH315" s="285"/>
      <c r="AI315" s="285"/>
      <c r="AJ315" s="285"/>
      <c r="AK315" s="352"/>
    </row>
    <row r="316" spans="1:37" ht="14.25" customHeight="1" x14ac:dyDescent="0.45">
      <c r="A316" s="618">
        <v>2</v>
      </c>
      <c r="B316" s="631"/>
      <c r="C316" s="221" t="s">
        <v>207</v>
      </c>
      <c r="D316" s="285">
        <v>0.77300000000000002</v>
      </c>
      <c r="E316" s="285"/>
      <c r="F316" s="285"/>
      <c r="G316" s="285"/>
      <c r="H316" s="285"/>
      <c r="I316" s="285"/>
      <c r="J316" s="285"/>
      <c r="K316" s="285"/>
      <c r="L316" s="285"/>
      <c r="M316" s="285"/>
      <c r="N316" s="285"/>
      <c r="O316" s="285"/>
      <c r="P316" s="285"/>
      <c r="Q316" s="285"/>
      <c r="R316" s="285"/>
      <c r="S316" s="285"/>
      <c r="T316" s="285"/>
      <c r="U316" s="285"/>
      <c r="V316" s="285"/>
      <c r="W316" s="285"/>
      <c r="X316" s="285"/>
      <c r="Y316" s="285"/>
      <c r="Z316" s="285"/>
      <c r="AA316" s="285"/>
      <c r="AB316" s="285"/>
      <c r="AC316" s="285"/>
      <c r="AD316" s="285"/>
      <c r="AE316" s="285"/>
      <c r="AF316" s="285"/>
      <c r="AG316" s="285"/>
      <c r="AH316" s="285"/>
      <c r="AI316" s="285"/>
      <c r="AJ316" s="285"/>
      <c r="AK316" s="352"/>
    </row>
    <row r="317" spans="1:37" ht="14.25" customHeight="1" x14ac:dyDescent="0.45">
      <c r="A317" s="618">
        <v>2</v>
      </c>
      <c r="B317" s="631"/>
      <c r="C317" s="221" t="s">
        <v>209</v>
      </c>
      <c r="D317" s="285">
        <v>0.64990000000000003</v>
      </c>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c r="AA317" s="285"/>
      <c r="AB317" s="285"/>
      <c r="AC317" s="285"/>
      <c r="AD317" s="285"/>
      <c r="AE317" s="285"/>
      <c r="AF317" s="285"/>
      <c r="AG317" s="285"/>
      <c r="AH317" s="285"/>
      <c r="AI317" s="285"/>
      <c r="AJ317" s="285"/>
      <c r="AK317" s="352"/>
    </row>
    <row r="318" spans="1:37" ht="14.25" customHeight="1" x14ac:dyDescent="0.45">
      <c r="A318" s="618">
        <v>2</v>
      </c>
      <c r="B318" s="631"/>
      <c r="C318" s="221" t="s">
        <v>211</v>
      </c>
      <c r="D318" s="285">
        <v>0.6321</v>
      </c>
      <c r="E318" s="285"/>
      <c r="F318" s="285"/>
      <c r="G318" s="285"/>
      <c r="H318" s="285"/>
      <c r="I318" s="285"/>
      <c r="J318" s="285"/>
      <c r="K318" s="285"/>
      <c r="L318" s="285"/>
      <c r="M318" s="285"/>
      <c r="N318" s="285"/>
      <c r="O318" s="285"/>
      <c r="P318" s="285"/>
      <c r="Q318" s="285"/>
      <c r="R318" s="285"/>
      <c r="S318" s="285"/>
      <c r="T318" s="285"/>
      <c r="U318" s="285"/>
      <c r="V318" s="285"/>
      <c r="W318" s="285"/>
      <c r="X318" s="285"/>
      <c r="Y318" s="285"/>
      <c r="Z318" s="285"/>
      <c r="AA318" s="285"/>
      <c r="AB318" s="285"/>
      <c r="AC318" s="285"/>
      <c r="AD318" s="285"/>
      <c r="AE318" s="285"/>
      <c r="AF318" s="285"/>
      <c r="AG318" s="285"/>
      <c r="AH318" s="285"/>
      <c r="AI318" s="285"/>
      <c r="AJ318" s="285"/>
      <c r="AK318" s="352"/>
    </row>
    <row r="319" spans="1:37" ht="14.25" customHeight="1" x14ac:dyDescent="0.45">
      <c r="A319" s="618"/>
      <c r="B319" s="631"/>
      <c r="C319" s="221" t="s">
        <v>285</v>
      </c>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c r="Z319" s="285"/>
      <c r="AA319" s="285"/>
      <c r="AB319" s="285"/>
      <c r="AC319" s="285"/>
      <c r="AD319" s="285"/>
      <c r="AE319" s="285"/>
      <c r="AF319" s="285"/>
      <c r="AG319" s="285"/>
      <c r="AH319" s="285"/>
      <c r="AI319" s="285"/>
      <c r="AJ319" s="285"/>
      <c r="AK319" s="352"/>
    </row>
    <row r="320" spans="1:37" ht="14.25" customHeight="1" x14ac:dyDescent="0.45">
      <c r="A320" s="618">
        <v>2</v>
      </c>
      <c r="B320" s="631"/>
      <c r="C320" s="221" t="s">
        <v>201</v>
      </c>
      <c r="D320" s="285">
        <v>0.39800000000000002</v>
      </c>
      <c r="E320" s="285"/>
      <c r="F320" s="285"/>
      <c r="G320" s="285"/>
      <c r="H320" s="285"/>
      <c r="I320" s="285"/>
      <c r="J320" s="285"/>
      <c r="K320" s="285"/>
      <c r="L320" s="285"/>
      <c r="M320" s="285"/>
      <c r="N320" s="285"/>
      <c r="O320" s="285"/>
      <c r="P320" s="285"/>
      <c r="Q320" s="285"/>
      <c r="R320" s="285"/>
      <c r="S320" s="285"/>
      <c r="T320" s="285"/>
      <c r="U320" s="285"/>
      <c r="V320" s="285"/>
      <c r="W320" s="285"/>
      <c r="X320" s="285"/>
      <c r="Y320" s="285"/>
      <c r="Z320" s="285"/>
      <c r="AA320" s="285"/>
      <c r="AB320" s="285"/>
      <c r="AC320" s="285"/>
      <c r="AD320" s="285"/>
      <c r="AE320" s="285"/>
      <c r="AF320" s="285"/>
      <c r="AG320" s="285"/>
      <c r="AH320" s="285"/>
      <c r="AI320" s="285"/>
      <c r="AJ320" s="285"/>
      <c r="AK320" s="352"/>
    </row>
    <row r="321" spans="1:37" ht="14.25" customHeight="1" x14ac:dyDescent="0.45">
      <c r="A321" s="618">
        <v>2</v>
      </c>
      <c r="B321" s="631"/>
      <c r="C321" s="221" t="s">
        <v>203</v>
      </c>
      <c r="D321" s="285">
        <v>0.50119999999999998</v>
      </c>
      <c r="E321" s="285"/>
      <c r="F321" s="285"/>
      <c r="G321" s="285"/>
      <c r="H321" s="285"/>
      <c r="I321" s="285"/>
      <c r="J321" s="285"/>
      <c r="K321" s="285"/>
      <c r="L321" s="285"/>
      <c r="M321" s="285"/>
      <c r="N321" s="285"/>
      <c r="O321" s="285"/>
      <c r="P321" s="285"/>
      <c r="Q321" s="285"/>
      <c r="R321" s="285"/>
      <c r="S321" s="285"/>
      <c r="T321" s="285"/>
      <c r="U321" s="285"/>
      <c r="V321" s="285"/>
      <c r="W321" s="285"/>
      <c r="X321" s="285"/>
      <c r="Y321" s="285"/>
      <c r="Z321" s="285"/>
      <c r="AA321" s="285"/>
      <c r="AB321" s="285"/>
      <c r="AC321" s="285"/>
      <c r="AD321" s="285"/>
      <c r="AE321" s="285"/>
      <c r="AF321" s="285"/>
      <c r="AG321" s="285"/>
      <c r="AH321" s="285"/>
      <c r="AI321" s="285"/>
      <c r="AJ321" s="285"/>
      <c r="AK321" s="352"/>
    </row>
    <row r="322" spans="1:37" ht="14.25" customHeight="1" x14ac:dyDescent="0.45">
      <c r="A322" s="618">
        <v>2</v>
      </c>
      <c r="B322" s="631"/>
      <c r="C322" s="221" t="s">
        <v>205</v>
      </c>
      <c r="D322" s="285" t="s">
        <v>221</v>
      </c>
      <c r="E322" s="285"/>
      <c r="F322" s="285"/>
      <c r="G322" s="285"/>
      <c r="H322" s="285"/>
      <c r="I322" s="285"/>
      <c r="J322" s="285"/>
      <c r="K322" s="285"/>
      <c r="L322" s="285"/>
      <c r="M322" s="285"/>
      <c r="N322" s="285"/>
      <c r="O322" s="285"/>
      <c r="P322" s="285"/>
      <c r="Q322" s="285"/>
      <c r="R322" s="285"/>
      <c r="S322" s="285"/>
      <c r="T322" s="285"/>
      <c r="U322" s="285"/>
      <c r="V322" s="285"/>
      <c r="W322" s="285"/>
      <c r="X322" s="285"/>
      <c r="Y322" s="285"/>
      <c r="Z322" s="285"/>
      <c r="AA322" s="285"/>
      <c r="AB322" s="285"/>
      <c r="AC322" s="285"/>
      <c r="AD322" s="285"/>
      <c r="AE322" s="285"/>
      <c r="AF322" s="285"/>
      <c r="AG322" s="285"/>
      <c r="AH322" s="285"/>
      <c r="AI322" s="285"/>
      <c r="AJ322" s="285"/>
      <c r="AK322" s="352"/>
    </row>
    <row r="323" spans="1:37" ht="14.25" customHeight="1" x14ac:dyDescent="0.45">
      <c r="A323" s="618">
        <v>2</v>
      </c>
      <c r="B323" s="631"/>
      <c r="C323" s="221" t="s">
        <v>207</v>
      </c>
      <c r="D323" s="285">
        <v>0.71130000000000004</v>
      </c>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c r="AA323" s="285"/>
      <c r="AB323" s="285"/>
      <c r="AC323" s="285"/>
      <c r="AD323" s="285"/>
      <c r="AE323" s="285"/>
      <c r="AF323" s="285"/>
      <c r="AG323" s="285"/>
      <c r="AH323" s="285"/>
      <c r="AI323" s="285"/>
      <c r="AJ323" s="285"/>
      <c r="AK323" s="352"/>
    </row>
    <row r="324" spans="1:37" ht="14.25" customHeight="1" x14ac:dyDescent="0.45">
      <c r="A324" s="618">
        <v>2</v>
      </c>
      <c r="B324" s="631"/>
      <c r="C324" s="221" t="s">
        <v>209</v>
      </c>
      <c r="D324" s="285">
        <v>0.78979999999999995</v>
      </c>
      <c r="E324" s="285"/>
      <c r="F324" s="285"/>
      <c r="G324" s="285"/>
      <c r="H324" s="285"/>
      <c r="I324" s="285"/>
      <c r="J324" s="285"/>
      <c r="K324" s="285"/>
      <c r="L324" s="285"/>
      <c r="M324" s="285"/>
      <c r="N324" s="285"/>
      <c r="O324" s="285"/>
      <c r="P324" s="285"/>
      <c r="Q324" s="285"/>
      <c r="R324" s="285"/>
      <c r="S324" s="285"/>
      <c r="T324" s="285"/>
      <c r="U324" s="285"/>
      <c r="V324" s="285"/>
      <c r="W324" s="285"/>
      <c r="X324" s="285"/>
      <c r="Y324" s="285"/>
      <c r="Z324" s="285"/>
      <c r="AA324" s="285"/>
      <c r="AB324" s="285"/>
      <c r="AC324" s="285"/>
      <c r="AD324" s="285"/>
      <c r="AE324" s="285"/>
      <c r="AF324" s="285"/>
      <c r="AG324" s="285"/>
      <c r="AH324" s="285"/>
      <c r="AI324" s="285"/>
      <c r="AJ324" s="285"/>
      <c r="AK324" s="352"/>
    </row>
    <row r="325" spans="1:37" ht="14.25" customHeight="1" x14ac:dyDescent="0.45">
      <c r="A325" s="618">
        <v>2</v>
      </c>
      <c r="B325" s="631"/>
      <c r="C325" s="221" t="s">
        <v>211</v>
      </c>
      <c r="D325" s="285">
        <v>0.66469999999999996</v>
      </c>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c r="AA325" s="285"/>
      <c r="AB325" s="285"/>
      <c r="AC325" s="285"/>
      <c r="AD325" s="285"/>
      <c r="AE325" s="285"/>
      <c r="AF325" s="285"/>
      <c r="AG325" s="285"/>
      <c r="AH325" s="285"/>
      <c r="AI325" s="285"/>
      <c r="AJ325" s="285"/>
      <c r="AK325" s="352"/>
    </row>
    <row r="326" spans="1:37" ht="14.25" customHeight="1" x14ac:dyDescent="0.45">
      <c r="A326" s="618">
        <v>2</v>
      </c>
      <c r="B326" s="631"/>
      <c r="C326" s="221" t="s">
        <v>286</v>
      </c>
      <c r="D326" s="285">
        <v>0.9</v>
      </c>
      <c r="E326" s="285"/>
      <c r="F326" s="285"/>
      <c r="G326" s="285"/>
      <c r="H326" s="285"/>
      <c r="I326" s="285"/>
      <c r="J326" s="285"/>
      <c r="K326" s="285"/>
      <c r="L326" s="285"/>
      <c r="M326" s="285"/>
      <c r="N326" s="285"/>
      <c r="O326" s="285"/>
      <c r="P326" s="285"/>
      <c r="Q326" s="285"/>
      <c r="R326" s="285"/>
      <c r="S326" s="285"/>
      <c r="T326" s="285"/>
      <c r="U326" s="285"/>
      <c r="V326" s="285"/>
      <c r="W326" s="285"/>
      <c r="X326" s="285"/>
      <c r="Y326" s="285"/>
      <c r="Z326" s="285"/>
      <c r="AA326" s="285"/>
      <c r="AB326" s="285"/>
      <c r="AC326" s="285"/>
      <c r="AD326" s="285"/>
      <c r="AE326" s="285"/>
      <c r="AF326" s="285"/>
      <c r="AG326" s="285"/>
      <c r="AH326" s="285"/>
      <c r="AI326" s="285"/>
      <c r="AJ326" s="285"/>
      <c r="AK326" s="352"/>
    </row>
    <row r="327" spans="1:37" ht="14.25" customHeight="1" x14ac:dyDescent="0.45">
      <c r="A327" s="618">
        <v>2</v>
      </c>
      <c r="B327" s="631"/>
      <c r="C327" s="221" t="s">
        <v>358</v>
      </c>
      <c r="D327" s="285">
        <v>0.66</v>
      </c>
      <c r="E327" s="285"/>
      <c r="F327" s="285"/>
      <c r="G327" s="285"/>
      <c r="H327" s="285"/>
      <c r="I327" s="285"/>
      <c r="J327" s="285"/>
      <c r="K327" s="285"/>
      <c r="L327" s="285"/>
      <c r="M327" s="285"/>
      <c r="N327" s="285"/>
      <c r="O327" s="285"/>
      <c r="P327" s="285"/>
      <c r="Q327" s="285"/>
      <c r="R327" s="285"/>
      <c r="S327" s="285"/>
      <c r="T327" s="285"/>
      <c r="U327" s="285"/>
      <c r="V327" s="285"/>
      <c r="W327" s="285"/>
      <c r="X327" s="285"/>
      <c r="Y327" s="285"/>
      <c r="Z327" s="285"/>
      <c r="AA327" s="285"/>
      <c r="AB327" s="285"/>
      <c r="AC327" s="285"/>
      <c r="AD327" s="285"/>
      <c r="AE327" s="285"/>
      <c r="AF327" s="285"/>
      <c r="AG327" s="285"/>
      <c r="AH327" s="285"/>
      <c r="AI327" s="285"/>
      <c r="AJ327" s="285"/>
      <c r="AK327" s="352"/>
    </row>
    <row r="328" spans="1:37" ht="15" customHeight="1" x14ac:dyDescent="0.45">
      <c r="A328" s="618">
        <v>2</v>
      </c>
      <c r="B328" s="631"/>
      <c r="C328" s="221" t="s">
        <v>359</v>
      </c>
      <c r="D328" s="285">
        <v>0.495</v>
      </c>
      <c r="E328" s="285"/>
      <c r="F328" s="285"/>
      <c r="G328" s="285"/>
      <c r="H328" s="285"/>
      <c r="I328" s="285"/>
      <c r="J328" s="285"/>
      <c r="K328" s="285"/>
      <c r="L328" s="285"/>
      <c r="M328" s="285"/>
      <c r="N328" s="285"/>
      <c r="O328" s="285"/>
      <c r="P328" s="285"/>
      <c r="Q328" s="285"/>
      <c r="R328" s="285"/>
      <c r="S328" s="285"/>
      <c r="T328" s="285"/>
      <c r="U328" s="285"/>
      <c r="V328" s="285"/>
      <c r="W328" s="285"/>
      <c r="X328" s="285"/>
      <c r="Y328" s="285"/>
      <c r="Z328" s="285"/>
      <c r="AA328" s="285"/>
      <c r="AB328" s="285"/>
      <c r="AC328" s="285"/>
      <c r="AD328" s="285"/>
      <c r="AE328" s="285"/>
      <c r="AF328" s="285"/>
      <c r="AG328" s="285"/>
      <c r="AH328" s="285"/>
      <c r="AI328" s="285"/>
      <c r="AJ328" s="285"/>
      <c r="AK328" s="352"/>
    </row>
    <row r="329" spans="1:37" ht="14.25" customHeight="1" x14ac:dyDescent="0.45">
      <c r="A329" s="618"/>
      <c r="B329" s="631"/>
      <c r="C329" s="221" t="s">
        <v>289</v>
      </c>
      <c r="D329" s="285" t="s">
        <v>221</v>
      </c>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c r="AA329" s="285"/>
      <c r="AB329" s="285"/>
      <c r="AC329" s="285"/>
      <c r="AD329" s="285"/>
      <c r="AE329" s="285"/>
      <c r="AF329" s="285"/>
      <c r="AG329" s="285"/>
      <c r="AH329" s="285"/>
      <c r="AI329" s="285"/>
      <c r="AJ329" s="285"/>
      <c r="AK329" s="352"/>
    </row>
    <row r="330" spans="1:37" ht="14.25" customHeight="1" x14ac:dyDescent="0.45">
      <c r="A330" s="618">
        <v>2</v>
      </c>
      <c r="B330" s="631"/>
      <c r="C330" s="221" t="s">
        <v>290</v>
      </c>
      <c r="D330" s="285">
        <v>0.57999999999999996</v>
      </c>
      <c r="E330" s="285"/>
      <c r="F330" s="285"/>
      <c r="G330" s="285"/>
      <c r="H330" s="285"/>
      <c r="I330" s="285"/>
      <c r="J330" s="285"/>
      <c r="K330" s="285"/>
      <c r="L330" s="285"/>
      <c r="M330" s="285"/>
      <c r="N330" s="285"/>
      <c r="O330" s="285"/>
      <c r="P330" s="285"/>
      <c r="Q330" s="285"/>
      <c r="R330" s="285"/>
      <c r="S330" s="285"/>
      <c r="T330" s="285"/>
      <c r="U330" s="285"/>
      <c r="V330" s="285"/>
      <c r="W330" s="285"/>
      <c r="X330" s="285"/>
      <c r="Y330" s="285"/>
      <c r="Z330" s="285"/>
      <c r="AA330" s="285"/>
      <c r="AB330" s="285"/>
      <c r="AC330" s="285"/>
      <c r="AD330" s="285"/>
      <c r="AE330" s="285"/>
      <c r="AF330" s="285"/>
      <c r="AG330" s="285"/>
      <c r="AH330" s="285"/>
      <c r="AI330" s="285"/>
      <c r="AJ330" s="285"/>
      <c r="AK330" s="352"/>
    </row>
    <row r="331" spans="1:37" ht="14.25" customHeight="1" x14ac:dyDescent="0.45">
      <c r="A331" s="618"/>
      <c r="B331" s="631"/>
      <c r="C331" s="221" t="s">
        <v>291</v>
      </c>
      <c r="D331" s="285" t="s">
        <v>221</v>
      </c>
      <c r="E331" s="285"/>
      <c r="F331" s="285"/>
      <c r="G331" s="285"/>
      <c r="H331" s="285"/>
      <c r="I331" s="285"/>
      <c r="J331" s="285"/>
      <c r="K331" s="285"/>
      <c r="L331" s="285"/>
      <c r="M331" s="285"/>
      <c r="N331" s="285"/>
      <c r="O331" s="285"/>
      <c r="P331" s="285"/>
      <c r="Q331" s="285"/>
      <c r="R331" s="285"/>
      <c r="S331" s="285"/>
      <c r="T331" s="285"/>
      <c r="U331" s="285"/>
      <c r="V331" s="285"/>
      <c r="W331" s="285"/>
      <c r="X331" s="285"/>
      <c r="Y331" s="285"/>
      <c r="Z331" s="285"/>
      <c r="AA331" s="285"/>
      <c r="AB331" s="285"/>
      <c r="AC331" s="285"/>
      <c r="AD331" s="285"/>
      <c r="AE331" s="285"/>
      <c r="AF331" s="285"/>
      <c r="AG331" s="285"/>
      <c r="AH331" s="285"/>
      <c r="AI331" s="285"/>
      <c r="AJ331" s="285"/>
      <c r="AK331" s="352"/>
    </row>
    <row r="332" spans="1:37" ht="14.25" customHeight="1" x14ac:dyDescent="0.45">
      <c r="A332" s="618">
        <v>1</v>
      </c>
      <c r="B332" s="631"/>
      <c r="C332" s="323" t="s">
        <v>292</v>
      </c>
      <c r="D332" s="285">
        <v>0.9</v>
      </c>
      <c r="E332" s="285"/>
      <c r="F332" s="285"/>
      <c r="G332" s="285"/>
      <c r="H332" s="285"/>
      <c r="I332" s="285"/>
      <c r="J332" s="285"/>
      <c r="K332" s="285"/>
      <c r="L332" s="285"/>
      <c r="M332" s="285"/>
      <c r="N332" s="285"/>
      <c r="O332" s="285"/>
      <c r="P332" s="285"/>
      <c r="Q332" s="285"/>
      <c r="R332" s="285"/>
      <c r="S332" s="285"/>
      <c r="T332" s="285"/>
      <c r="U332" s="285"/>
      <c r="V332" s="285"/>
      <c r="W332" s="285"/>
      <c r="X332" s="285"/>
      <c r="Y332" s="285"/>
      <c r="Z332" s="285"/>
      <c r="AA332" s="285"/>
      <c r="AB332" s="285"/>
      <c r="AC332" s="285"/>
      <c r="AD332" s="285"/>
      <c r="AE332" s="285"/>
      <c r="AF332" s="285"/>
      <c r="AG332" s="285"/>
      <c r="AH332" s="285"/>
      <c r="AI332" s="285"/>
      <c r="AJ332" s="285"/>
      <c r="AK332" s="352"/>
    </row>
    <row r="333" spans="1:37" ht="14.25" customHeight="1" x14ac:dyDescent="0.45">
      <c r="A333" s="618">
        <v>1</v>
      </c>
      <c r="B333" s="631"/>
      <c r="C333" s="323" t="s">
        <v>293</v>
      </c>
      <c r="D333" s="285">
        <v>0.9</v>
      </c>
      <c r="E333" s="285"/>
      <c r="F333" s="285"/>
      <c r="G333" s="285"/>
      <c r="H333" s="285"/>
      <c r="I333" s="285"/>
      <c r="J333" s="285"/>
      <c r="K333" s="285"/>
      <c r="L333" s="285"/>
      <c r="M333" s="285"/>
      <c r="N333" s="285"/>
      <c r="O333" s="285"/>
      <c r="P333" s="285"/>
      <c r="Q333" s="285"/>
      <c r="R333" s="285"/>
      <c r="S333" s="285"/>
      <c r="T333" s="285"/>
      <c r="U333" s="285"/>
      <c r="V333" s="285"/>
      <c r="W333" s="285"/>
      <c r="X333" s="285"/>
      <c r="Y333" s="285"/>
      <c r="Z333" s="285"/>
      <c r="AA333" s="285"/>
      <c r="AB333" s="285"/>
      <c r="AC333" s="285"/>
      <c r="AD333" s="285"/>
      <c r="AE333" s="285"/>
      <c r="AF333" s="285"/>
      <c r="AG333" s="285"/>
      <c r="AH333" s="285"/>
      <c r="AI333" s="285"/>
      <c r="AJ333" s="285"/>
      <c r="AK333" s="352"/>
    </row>
    <row r="334" spans="1:37" ht="14.25" customHeight="1" x14ac:dyDescent="0.45">
      <c r="A334" s="618">
        <v>1</v>
      </c>
      <c r="B334" s="631"/>
      <c r="C334" s="323" t="s">
        <v>294</v>
      </c>
      <c r="D334" s="285">
        <v>0.9</v>
      </c>
      <c r="E334" s="285"/>
      <c r="F334" s="285"/>
      <c r="G334" s="285"/>
      <c r="H334" s="285"/>
      <c r="I334" s="285"/>
      <c r="J334" s="285"/>
      <c r="K334" s="285"/>
      <c r="L334" s="285"/>
      <c r="M334" s="285"/>
      <c r="N334" s="285"/>
      <c r="O334" s="285"/>
      <c r="P334" s="285"/>
      <c r="Q334" s="285"/>
      <c r="R334" s="285"/>
      <c r="S334" s="285"/>
      <c r="T334" s="285"/>
      <c r="U334" s="285"/>
      <c r="V334" s="285"/>
      <c r="W334" s="285"/>
      <c r="X334" s="285"/>
      <c r="Y334" s="285"/>
      <c r="Z334" s="285"/>
      <c r="AA334" s="285"/>
      <c r="AB334" s="285"/>
      <c r="AC334" s="285"/>
      <c r="AD334" s="285"/>
      <c r="AE334" s="285"/>
      <c r="AF334" s="285"/>
      <c r="AG334" s="285"/>
      <c r="AH334" s="285"/>
      <c r="AI334" s="285"/>
      <c r="AJ334" s="285"/>
      <c r="AK334" s="352"/>
    </row>
    <row r="335" spans="1:37" ht="14.25" customHeight="1" x14ac:dyDescent="0.45">
      <c r="A335" s="618">
        <v>1</v>
      </c>
      <c r="B335" s="631"/>
      <c r="C335" s="323" t="s">
        <v>295</v>
      </c>
      <c r="D335" s="285">
        <v>0.57999999999999996</v>
      </c>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c r="AA335" s="285"/>
      <c r="AB335" s="285"/>
      <c r="AC335" s="285"/>
      <c r="AD335" s="285"/>
      <c r="AE335" s="285"/>
      <c r="AF335" s="285"/>
      <c r="AG335" s="285"/>
      <c r="AH335" s="285"/>
      <c r="AI335" s="285"/>
      <c r="AJ335" s="285"/>
      <c r="AK335" s="352"/>
    </row>
    <row r="336" spans="1:37" ht="14.25" customHeight="1" x14ac:dyDescent="0.45">
      <c r="A336" s="618">
        <v>1</v>
      </c>
      <c r="B336" s="631"/>
      <c r="C336" s="323" t="s">
        <v>296</v>
      </c>
      <c r="D336" s="285">
        <v>0.5</v>
      </c>
      <c r="E336" s="285"/>
      <c r="F336" s="285"/>
      <c r="G336" s="285"/>
      <c r="H336" s="285"/>
      <c r="I336" s="285"/>
      <c r="J336" s="285"/>
      <c r="K336" s="285"/>
      <c r="L336" s="285"/>
      <c r="M336" s="285"/>
      <c r="N336" s="285"/>
      <c r="O336" s="285"/>
      <c r="P336" s="285"/>
      <c r="Q336" s="285"/>
      <c r="R336" s="285"/>
      <c r="S336" s="285"/>
      <c r="T336" s="285"/>
      <c r="U336" s="285"/>
      <c r="V336" s="285"/>
      <c r="W336" s="285"/>
      <c r="X336" s="285"/>
      <c r="Y336" s="285"/>
      <c r="Z336" s="285"/>
      <c r="AA336" s="285"/>
      <c r="AB336" s="285"/>
      <c r="AC336" s="285"/>
      <c r="AD336" s="285"/>
      <c r="AE336" s="285"/>
      <c r="AF336" s="285"/>
      <c r="AG336" s="285"/>
      <c r="AH336" s="285"/>
      <c r="AI336" s="285"/>
      <c r="AJ336" s="285"/>
      <c r="AK336" s="352"/>
    </row>
    <row r="337" spans="1:37" ht="14.25" customHeight="1" x14ac:dyDescent="0.45">
      <c r="A337" s="618"/>
      <c r="B337" s="215"/>
      <c r="C337" s="353"/>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c r="AH337" s="220"/>
      <c r="AI337" s="220"/>
      <c r="AJ337" s="220"/>
      <c r="AK337" s="352"/>
    </row>
    <row r="338" spans="1:37" ht="14.25" customHeight="1" x14ac:dyDescent="0.45">
      <c r="A338" s="618"/>
      <c r="B338" s="215"/>
      <c r="C338" s="243" t="s">
        <v>933</v>
      </c>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c r="AA338" s="285"/>
      <c r="AB338" s="285"/>
      <c r="AC338" s="285"/>
      <c r="AD338" s="285"/>
      <c r="AE338" s="285"/>
      <c r="AF338" s="285"/>
      <c r="AG338" s="285"/>
      <c r="AH338" s="285"/>
      <c r="AI338" s="285"/>
      <c r="AJ338" s="285"/>
      <c r="AK338" s="352"/>
    </row>
    <row r="339" spans="1:37" ht="14.25" customHeight="1" x14ac:dyDescent="0.45">
      <c r="A339" s="618">
        <v>6</v>
      </c>
      <c r="B339" s="215"/>
      <c r="C339" s="221" t="s">
        <v>934</v>
      </c>
      <c r="D339" s="232">
        <v>25078.91</v>
      </c>
      <c r="E339" s="232">
        <v>28000.77</v>
      </c>
      <c r="F339" s="232">
        <v>27317.279999999999</v>
      </c>
      <c r="G339" s="232">
        <v>28166.639999999999</v>
      </c>
      <c r="H339" s="285"/>
      <c r="I339" s="285"/>
      <c r="J339" s="285"/>
      <c r="K339" s="285"/>
      <c r="L339" s="285"/>
      <c r="M339" s="285"/>
      <c r="N339" s="285"/>
      <c r="O339" s="285"/>
      <c r="P339" s="285"/>
      <c r="Q339" s="285"/>
      <c r="R339" s="285"/>
      <c r="S339" s="285"/>
      <c r="T339" s="285"/>
      <c r="U339" s="285"/>
      <c r="V339" s="285"/>
      <c r="W339" s="285"/>
      <c r="X339" s="285"/>
      <c r="Y339" s="285"/>
      <c r="Z339" s="285"/>
      <c r="AA339" s="285"/>
      <c r="AB339" s="285"/>
      <c r="AC339" s="285"/>
      <c r="AD339" s="285"/>
      <c r="AE339" s="285"/>
      <c r="AF339" s="285"/>
      <c r="AG339" s="285"/>
      <c r="AH339" s="285"/>
      <c r="AI339" s="285"/>
      <c r="AJ339" s="285"/>
      <c r="AK339" s="352"/>
    </row>
    <row r="340" spans="1:37" ht="14.25" customHeight="1" x14ac:dyDescent="0.45">
      <c r="A340" s="618">
        <v>6</v>
      </c>
      <c r="B340" s="215"/>
      <c r="C340" s="323" t="s">
        <v>935</v>
      </c>
      <c r="D340" s="232">
        <v>1077.51</v>
      </c>
      <c r="E340" s="232">
        <v>1293.1300000000001</v>
      </c>
      <c r="F340" s="232">
        <v>1260.28</v>
      </c>
      <c r="G340" s="232">
        <v>1191.74</v>
      </c>
      <c r="H340" s="285"/>
      <c r="I340" s="285"/>
      <c r="J340" s="285"/>
      <c r="K340" s="285"/>
      <c r="L340" s="285"/>
      <c r="M340" s="285"/>
      <c r="N340" s="285"/>
      <c r="O340" s="285"/>
      <c r="P340" s="285"/>
      <c r="Q340" s="285"/>
      <c r="R340" s="285"/>
      <c r="S340" s="285"/>
      <c r="T340" s="285"/>
      <c r="U340" s="285"/>
      <c r="V340" s="285"/>
      <c r="W340" s="285"/>
      <c r="X340" s="285"/>
      <c r="Y340" s="285"/>
      <c r="Z340" s="285"/>
      <c r="AA340" s="285"/>
      <c r="AB340" s="285"/>
      <c r="AC340" s="285"/>
      <c r="AD340" s="285"/>
      <c r="AE340" s="285"/>
      <c r="AF340" s="285"/>
      <c r="AG340" s="285"/>
      <c r="AH340" s="285"/>
      <c r="AI340" s="285"/>
      <c r="AJ340" s="285"/>
      <c r="AK340" s="352"/>
    </row>
    <row r="341" spans="1:37" ht="14.25" customHeight="1" x14ac:dyDescent="0.45">
      <c r="A341" s="618">
        <v>6</v>
      </c>
      <c r="B341" s="215"/>
      <c r="C341" s="221" t="s">
        <v>936</v>
      </c>
      <c r="D341" s="285">
        <v>4.2999999999999997E-2</v>
      </c>
      <c r="E341" s="285">
        <v>4.6199999999999998E-2</v>
      </c>
      <c r="F341" s="285">
        <v>4.6100000000000002E-2</v>
      </c>
      <c r="G341" s="285">
        <v>4.2299999999999997E-2</v>
      </c>
      <c r="H341" s="285"/>
      <c r="I341" s="285"/>
      <c r="J341" s="285"/>
      <c r="K341" s="285"/>
      <c r="L341" s="285"/>
      <c r="M341" s="285"/>
      <c r="N341" s="285"/>
      <c r="O341" s="285"/>
      <c r="P341" s="285"/>
      <c r="Q341" s="285"/>
      <c r="R341" s="285"/>
      <c r="S341" s="285"/>
      <c r="T341" s="285"/>
      <c r="U341" s="285"/>
      <c r="V341" s="285"/>
      <c r="W341" s="285"/>
      <c r="X341" s="285"/>
      <c r="Y341" s="285"/>
      <c r="Z341" s="285"/>
      <c r="AA341" s="285"/>
      <c r="AB341" s="285"/>
      <c r="AC341" s="285"/>
      <c r="AD341" s="285"/>
      <c r="AE341" s="285"/>
      <c r="AF341" s="285"/>
      <c r="AG341" s="285"/>
      <c r="AH341" s="285"/>
      <c r="AI341" s="285"/>
      <c r="AJ341" s="285"/>
      <c r="AK341" s="352"/>
    </row>
    <row r="342" spans="1:37" ht="14.25" customHeight="1" x14ac:dyDescent="0.45">
      <c r="A342" s="618"/>
      <c r="B342" s="215"/>
      <c r="C342" s="221"/>
      <c r="D342" s="293"/>
      <c r="E342" s="293"/>
      <c r="F342" s="293"/>
      <c r="G342" s="293"/>
      <c r="H342" s="285"/>
      <c r="I342" s="285"/>
      <c r="J342" s="285"/>
      <c r="K342" s="285"/>
      <c r="L342" s="285"/>
      <c r="M342" s="285"/>
      <c r="N342" s="285"/>
      <c r="O342" s="285"/>
      <c r="P342" s="285"/>
      <c r="Q342" s="285"/>
      <c r="R342" s="285"/>
      <c r="S342" s="285"/>
      <c r="T342" s="285"/>
      <c r="U342" s="285"/>
      <c r="V342" s="285"/>
      <c r="W342" s="285"/>
      <c r="X342" s="285"/>
      <c r="Y342" s="285"/>
      <c r="Z342" s="285"/>
      <c r="AA342" s="285"/>
      <c r="AB342" s="285"/>
      <c r="AC342" s="285"/>
      <c r="AD342" s="285"/>
      <c r="AE342" s="285"/>
      <c r="AF342" s="285"/>
      <c r="AG342" s="285"/>
      <c r="AH342" s="285"/>
      <c r="AI342" s="285"/>
      <c r="AJ342" s="285"/>
      <c r="AK342" s="352"/>
    </row>
    <row r="343" spans="1:37" ht="14.25" customHeight="1" x14ac:dyDescent="0.45">
      <c r="A343" s="618">
        <v>6</v>
      </c>
      <c r="B343" s="215"/>
      <c r="C343" s="221" t="s">
        <v>937</v>
      </c>
      <c r="D343" s="293">
        <f>D339-D340</f>
        <v>24001.4</v>
      </c>
      <c r="E343" s="293">
        <f>E339-E340</f>
        <v>26707.64</v>
      </c>
      <c r="F343" s="293">
        <f>F339-F340</f>
        <v>26057</v>
      </c>
      <c r="G343" s="293">
        <f>G339-G340</f>
        <v>26974.899999999998</v>
      </c>
      <c r="H343" s="285">
        <f t="shared" ref="H343:AJ343" si="1">H339*(1-H341)</f>
        <v>0</v>
      </c>
      <c r="I343" s="285">
        <f t="shared" si="1"/>
        <v>0</v>
      </c>
      <c r="J343" s="285">
        <f t="shared" si="1"/>
        <v>0</v>
      </c>
      <c r="K343" s="285">
        <f t="shared" si="1"/>
        <v>0</v>
      </c>
      <c r="L343" s="285">
        <f t="shared" si="1"/>
        <v>0</v>
      </c>
      <c r="M343" s="285">
        <f t="shared" si="1"/>
        <v>0</v>
      </c>
      <c r="N343" s="285">
        <f t="shared" si="1"/>
        <v>0</v>
      </c>
      <c r="O343" s="285">
        <f t="shared" si="1"/>
        <v>0</v>
      </c>
      <c r="P343" s="285">
        <f t="shared" si="1"/>
        <v>0</v>
      </c>
      <c r="Q343" s="285">
        <f t="shared" si="1"/>
        <v>0</v>
      </c>
      <c r="R343" s="285">
        <f t="shared" si="1"/>
        <v>0</v>
      </c>
      <c r="S343" s="285">
        <f t="shared" si="1"/>
        <v>0</v>
      </c>
      <c r="T343" s="285">
        <f t="shared" si="1"/>
        <v>0</v>
      </c>
      <c r="U343" s="285">
        <f t="shared" si="1"/>
        <v>0</v>
      </c>
      <c r="V343" s="285">
        <f t="shared" si="1"/>
        <v>0</v>
      </c>
      <c r="W343" s="285">
        <f t="shared" si="1"/>
        <v>0</v>
      </c>
      <c r="X343" s="285">
        <f t="shared" si="1"/>
        <v>0</v>
      </c>
      <c r="Y343" s="285">
        <f t="shared" si="1"/>
        <v>0</v>
      </c>
      <c r="Z343" s="285">
        <f t="shared" si="1"/>
        <v>0</v>
      </c>
      <c r="AA343" s="285">
        <f t="shared" si="1"/>
        <v>0</v>
      </c>
      <c r="AB343" s="285">
        <f t="shared" si="1"/>
        <v>0</v>
      </c>
      <c r="AC343" s="285">
        <f t="shared" si="1"/>
        <v>0</v>
      </c>
      <c r="AD343" s="285">
        <f t="shared" si="1"/>
        <v>0</v>
      </c>
      <c r="AE343" s="285">
        <f t="shared" si="1"/>
        <v>0</v>
      </c>
      <c r="AF343" s="285">
        <f t="shared" si="1"/>
        <v>0</v>
      </c>
      <c r="AG343" s="285">
        <f t="shared" si="1"/>
        <v>0</v>
      </c>
      <c r="AH343" s="285">
        <f t="shared" si="1"/>
        <v>0</v>
      </c>
      <c r="AI343" s="285">
        <f t="shared" si="1"/>
        <v>0</v>
      </c>
      <c r="AJ343" s="285">
        <f t="shared" si="1"/>
        <v>0</v>
      </c>
      <c r="AK343" s="352"/>
    </row>
    <row r="344" spans="1:37" ht="14.25" customHeight="1" x14ac:dyDescent="0.45">
      <c r="A344" s="618">
        <v>6</v>
      </c>
      <c r="B344" s="215"/>
      <c r="C344" s="323" t="s">
        <v>938</v>
      </c>
      <c r="D344" s="285">
        <v>255.66</v>
      </c>
      <c r="E344" s="232">
        <v>1826.64</v>
      </c>
      <c r="F344" s="232">
        <v>1340.63</v>
      </c>
      <c r="G344" s="285">
        <v>524.13</v>
      </c>
      <c r="H344" s="285"/>
      <c r="I344" s="285"/>
      <c r="J344" s="285"/>
      <c r="K344" s="285"/>
      <c r="L344" s="285"/>
      <c r="M344" s="285"/>
      <c r="N344" s="285"/>
      <c r="O344" s="285"/>
      <c r="P344" s="285"/>
      <c r="Q344" s="285"/>
      <c r="R344" s="285"/>
      <c r="S344" s="285"/>
      <c r="T344" s="285"/>
      <c r="U344" s="285"/>
      <c r="V344" s="285"/>
      <c r="W344" s="285"/>
      <c r="X344" s="285"/>
      <c r="Y344" s="285"/>
      <c r="Z344" s="285"/>
      <c r="AA344" s="285"/>
      <c r="AB344" s="285"/>
      <c r="AC344" s="285"/>
      <c r="AD344" s="285"/>
      <c r="AE344" s="285"/>
      <c r="AF344" s="285"/>
      <c r="AG344" s="285"/>
      <c r="AH344" s="285"/>
      <c r="AI344" s="285"/>
      <c r="AJ344" s="285"/>
      <c r="AK344" s="352"/>
    </row>
    <row r="345" spans="1:37" ht="14.25" customHeight="1" x14ac:dyDescent="0.45">
      <c r="A345" s="618"/>
      <c r="B345" s="215"/>
      <c r="C345" s="221"/>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c r="Z345" s="285"/>
      <c r="AA345" s="285"/>
      <c r="AB345" s="285"/>
      <c r="AC345" s="285"/>
      <c r="AD345" s="285"/>
      <c r="AE345" s="285"/>
      <c r="AF345" s="285"/>
      <c r="AG345" s="285"/>
      <c r="AH345" s="285"/>
      <c r="AI345" s="285"/>
      <c r="AJ345" s="285"/>
      <c r="AK345" s="352"/>
    </row>
    <row r="346" spans="1:37" ht="14.25" customHeight="1" x14ac:dyDescent="0.45">
      <c r="A346" s="618">
        <v>6</v>
      </c>
      <c r="B346" s="215"/>
      <c r="C346" s="221" t="s">
        <v>939</v>
      </c>
      <c r="D346" s="293">
        <f>D343-D344</f>
        <v>23745.74</v>
      </c>
      <c r="E346" s="293">
        <f>E343-E344</f>
        <v>24881</v>
      </c>
      <c r="F346" s="293">
        <f>F343-F344</f>
        <v>24716.37</v>
      </c>
      <c r="G346" s="293">
        <f>G343-G344</f>
        <v>26450.769999999997</v>
      </c>
      <c r="H346" s="285"/>
      <c r="I346" s="285"/>
      <c r="J346" s="285"/>
      <c r="K346" s="285"/>
      <c r="L346" s="285"/>
      <c r="M346" s="285"/>
      <c r="N346" s="285"/>
      <c r="O346" s="285"/>
      <c r="P346" s="285"/>
      <c r="Q346" s="285"/>
      <c r="R346" s="285"/>
      <c r="S346" s="285"/>
      <c r="T346" s="285"/>
      <c r="U346" s="285"/>
      <c r="V346" s="285"/>
      <c r="W346" s="285"/>
      <c r="X346" s="285"/>
      <c r="Y346" s="285"/>
      <c r="Z346" s="285"/>
      <c r="AA346" s="285"/>
      <c r="AB346" s="285"/>
      <c r="AC346" s="285"/>
      <c r="AD346" s="285"/>
      <c r="AE346" s="285"/>
      <c r="AF346" s="285"/>
      <c r="AG346" s="285"/>
      <c r="AH346" s="285"/>
      <c r="AI346" s="285"/>
      <c r="AJ346" s="285"/>
      <c r="AK346" s="352"/>
    </row>
    <row r="347" spans="1:37" ht="14.25" customHeight="1" x14ac:dyDescent="0.45">
      <c r="A347" s="618">
        <v>6</v>
      </c>
      <c r="B347" s="215"/>
      <c r="C347" s="221" t="s">
        <v>940</v>
      </c>
      <c r="D347" s="293">
        <v>2705.29</v>
      </c>
      <c r="E347" s="293">
        <v>2985.31</v>
      </c>
      <c r="F347" s="293">
        <f>3160.31</f>
        <v>3160.31</v>
      </c>
      <c r="G347" s="293">
        <v>3454.62</v>
      </c>
      <c r="H347" s="285"/>
      <c r="I347" s="285"/>
      <c r="J347" s="285"/>
      <c r="K347" s="285"/>
      <c r="L347" s="285"/>
      <c r="M347" s="285"/>
      <c r="N347" s="285"/>
      <c r="O347" s="285"/>
      <c r="P347" s="285"/>
      <c r="Q347" s="285"/>
      <c r="R347" s="285"/>
      <c r="S347" s="285"/>
      <c r="T347" s="285"/>
      <c r="U347" s="285"/>
      <c r="V347" s="285"/>
      <c r="W347" s="285"/>
      <c r="X347" s="285"/>
      <c r="Y347" s="285"/>
      <c r="Z347" s="285"/>
      <c r="AA347" s="285"/>
      <c r="AB347" s="285"/>
      <c r="AC347" s="285"/>
      <c r="AD347" s="285"/>
      <c r="AE347" s="285"/>
      <c r="AF347" s="285"/>
      <c r="AG347" s="285"/>
      <c r="AH347" s="285"/>
      <c r="AI347" s="285"/>
      <c r="AJ347" s="285"/>
      <c r="AK347" s="352"/>
    </row>
    <row r="348" spans="1:37" ht="14.25" customHeight="1" x14ac:dyDescent="0.45">
      <c r="A348" s="618">
        <v>6</v>
      </c>
      <c r="B348" s="215"/>
      <c r="C348" s="221" t="s">
        <v>941</v>
      </c>
      <c r="D348" s="285">
        <f>11.39/100</f>
        <v>0.1139</v>
      </c>
      <c r="E348" s="285">
        <f>12/100</f>
        <v>0.12</v>
      </c>
      <c r="F348" s="285">
        <f>12.79/100</f>
        <v>0.12789999999999999</v>
      </c>
      <c r="G348" s="285">
        <f>13.06/100</f>
        <v>0.13059999999999999</v>
      </c>
      <c r="H348" s="285"/>
      <c r="I348" s="285"/>
      <c r="J348" s="285"/>
      <c r="K348" s="285"/>
      <c r="L348" s="285"/>
      <c r="M348" s="285"/>
      <c r="N348" s="285"/>
      <c r="O348" s="285"/>
      <c r="P348" s="285"/>
      <c r="Q348" s="285"/>
      <c r="R348" s="285"/>
      <c r="S348" s="285"/>
      <c r="T348" s="285"/>
      <c r="U348" s="285"/>
      <c r="V348" s="285"/>
      <c r="W348" s="285"/>
      <c r="X348" s="285"/>
      <c r="Y348" s="285"/>
      <c r="Z348" s="285"/>
      <c r="AA348" s="285"/>
      <c r="AB348" s="285"/>
      <c r="AC348" s="285"/>
      <c r="AD348" s="285"/>
      <c r="AE348" s="285"/>
      <c r="AF348" s="285"/>
      <c r="AG348" s="285"/>
      <c r="AH348" s="285"/>
      <c r="AI348" s="285"/>
      <c r="AJ348" s="285"/>
      <c r="AK348" s="352"/>
    </row>
    <row r="349" spans="1:37" ht="14.25" customHeight="1" x14ac:dyDescent="0.45">
      <c r="A349" s="618"/>
      <c r="B349" s="215"/>
      <c r="C349" s="221"/>
      <c r="D349" s="293"/>
      <c r="E349" s="293"/>
      <c r="F349" s="293"/>
      <c r="G349" s="293"/>
      <c r="H349" s="293"/>
      <c r="I349" s="285"/>
      <c r="J349" s="285"/>
      <c r="K349" s="285"/>
      <c r="L349" s="285"/>
      <c r="M349" s="285"/>
      <c r="N349" s="285"/>
      <c r="O349" s="285"/>
      <c r="P349" s="285"/>
      <c r="Q349" s="285"/>
      <c r="R349" s="285"/>
      <c r="S349" s="285"/>
      <c r="T349" s="285"/>
      <c r="U349" s="285"/>
      <c r="V349" s="285"/>
      <c r="W349" s="285"/>
      <c r="X349" s="285"/>
      <c r="Y349" s="285"/>
      <c r="Z349" s="285"/>
      <c r="AA349" s="285"/>
      <c r="AB349" s="285"/>
      <c r="AC349" s="285"/>
      <c r="AD349" s="285"/>
      <c r="AE349" s="285"/>
      <c r="AF349" s="285"/>
      <c r="AG349" s="285"/>
      <c r="AH349" s="285"/>
      <c r="AI349" s="285"/>
      <c r="AJ349" s="285"/>
      <c r="AK349" s="352"/>
    </row>
    <row r="350" spans="1:37" ht="14.25" customHeight="1" x14ac:dyDescent="0.45">
      <c r="A350" s="618">
        <v>6</v>
      </c>
      <c r="B350" s="215"/>
      <c r="C350" s="221" t="s">
        <v>942</v>
      </c>
      <c r="D350" s="293">
        <f>D346-D347</f>
        <v>21040.45</v>
      </c>
      <c r="E350" s="293">
        <f>E346-E347</f>
        <v>21895.69</v>
      </c>
      <c r="F350" s="293">
        <f>F346-F347</f>
        <v>21556.059999999998</v>
      </c>
      <c r="G350" s="293">
        <f>G346-G347</f>
        <v>22996.149999999998</v>
      </c>
      <c r="H350" s="293">
        <f>H346-H347</f>
        <v>0</v>
      </c>
      <c r="I350" s="285">
        <f t="shared" ref="I350:AJ350" si="2">I343*I348</f>
        <v>0</v>
      </c>
      <c r="J350" s="285">
        <f t="shared" si="2"/>
        <v>0</v>
      </c>
      <c r="K350" s="285">
        <f t="shared" si="2"/>
        <v>0</v>
      </c>
      <c r="L350" s="285">
        <f t="shared" si="2"/>
        <v>0</v>
      </c>
      <c r="M350" s="285">
        <f t="shared" si="2"/>
        <v>0</v>
      </c>
      <c r="N350" s="285">
        <f t="shared" si="2"/>
        <v>0</v>
      </c>
      <c r="O350" s="285">
        <f t="shared" si="2"/>
        <v>0</v>
      </c>
      <c r="P350" s="285">
        <f t="shared" si="2"/>
        <v>0</v>
      </c>
      <c r="Q350" s="285">
        <f t="shared" si="2"/>
        <v>0</v>
      </c>
      <c r="R350" s="285">
        <f t="shared" si="2"/>
        <v>0</v>
      </c>
      <c r="S350" s="285">
        <f t="shared" si="2"/>
        <v>0</v>
      </c>
      <c r="T350" s="285">
        <f t="shared" si="2"/>
        <v>0</v>
      </c>
      <c r="U350" s="285">
        <f t="shared" si="2"/>
        <v>0</v>
      </c>
      <c r="V350" s="285">
        <f t="shared" si="2"/>
        <v>0</v>
      </c>
      <c r="W350" s="285">
        <f t="shared" si="2"/>
        <v>0</v>
      </c>
      <c r="X350" s="285">
        <f t="shared" si="2"/>
        <v>0</v>
      </c>
      <c r="Y350" s="285">
        <f t="shared" si="2"/>
        <v>0</v>
      </c>
      <c r="Z350" s="285">
        <f t="shared" si="2"/>
        <v>0</v>
      </c>
      <c r="AA350" s="285">
        <f t="shared" si="2"/>
        <v>0</v>
      </c>
      <c r="AB350" s="285">
        <f t="shared" si="2"/>
        <v>0</v>
      </c>
      <c r="AC350" s="285">
        <f t="shared" si="2"/>
        <v>0</v>
      </c>
      <c r="AD350" s="285">
        <f t="shared" si="2"/>
        <v>0</v>
      </c>
      <c r="AE350" s="285">
        <f t="shared" si="2"/>
        <v>0</v>
      </c>
      <c r="AF350" s="285">
        <f t="shared" si="2"/>
        <v>0</v>
      </c>
      <c r="AG350" s="285">
        <f t="shared" si="2"/>
        <v>0</v>
      </c>
      <c r="AH350" s="285">
        <f t="shared" si="2"/>
        <v>0</v>
      </c>
      <c r="AI350" s="285">
        <f t="shared" si="2"/>
        <v>0</v>
      </c>
      <c r="AJ350" s="285">
        <f t="shared" si="2"/>
        <v>0</v>
      </c>
      <c r="AK350" s="352"/>
    </row>
    <row r="351" spans="1:37" ht="14.25" customHeight="1" x14ac:dyDescent="0.45">
      <c r="A351" s="618"/>
      <c r="B351" s="215"/>
      <c r="C351" s="353"/>
      <c r="D351" s="356"/>
      <c r="E351" s="356"/>
      <c r="F351" s="356"/>
      <c r="G351" s="356"/>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c r="AH351" s="220"/>
      <c r="AI351" s="220"/>
      <c r="AJ351" s="220"/>
      <c r="AK351" s="352"/>
    </row>
    <row r="352" spans="1:37" ht="14.25" customHeight="1" x14ac:dyDescent="0.45">
      <c r="A352" s="618"/>
      <c r="B352" s="215"/>
      <c r="C352" s="243" t="s">
        <v>378</v>
      </c>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c r="Z352" s="285"/>
      <c r="AA352" s="285"/>
      <c r="AB352" s="285"/>
      <c r="AC352" s="285"/>
      <c r="AD352" s="285"/>
      <c r="AE352" s="285"/>
      <c r="AF352" s="285"/>
      <c r="AG352" s="285"/>
      <c r="AH352" s="285"/>
      <c r="AI352" s="285"/>
      <c r="AJ352" s="285"/>
      <c r="AK352" s="352"/>
    </row>
    <row r="353" spans="1:37" ht="14.25" customHeight="1" x14ac:dyDescent="0.45">
      <c r="A353" s="618">
        <v>6</v>
      </c>
      <c r="B353" s="215"/>
      <c r="C353" s="221" t="s">
        <v>943</v>
      </c>
      <c r="D353" s="285">
        <v>106.07</v>
      </c>
      <c r="E353" s="285">
        <v>5.83</v>
      </c>
      <c r="F353" s="285">
        <v>250.79</v>
      </c>
      <c r="G353" s="285">
        <v>363.8</v>
      </c>
      <c r="H353" s="285"/>
      <c r="I353" s="285"/>
      <c r="J353" s="285"/>
      <c r="K353" s="285"/>
      <c r="L353" s="285"/>
      <c r="M353" s="285"/>
      <c r="N353" s="285"/>
      <c r="O353" s="285"/>
      <c r="P353" s="285"/>
      <c r="Q353" s="285"/>
      <c r="R353" s="285"/>
      <c r="S353" s="285"/>
      <c r="T353" s="285"/>
      <c r="U353" s="285"/>
      <c r="V353" s="285"/>
      <c r="W353" s="285"/>
      <c r="X353" s="285"/>
      <c r="Y353" s="285"/>
      <c r="Z353" s="285"/>
      <c r="AA353" s="285"/>
      <c r="AB353" s="285"/>
      <c r="AC353" s="285"/>
      <c r="AD353" s="285"/>
      <c r="AE353" s="285"/>
      <c r="AF353" s="285"/>
      <c r="AG353" s="285"/>
      <c r="AH353" s="285"/>
      <c r="AI353" s="285"/>
      <c r="AJ353" s="285"/>
      <c r="AK353" s="352"/>
    </row>
    <row r="354" spans="1:37" ht="14.25" customHeight="1" x14ac:dyDescent="0.45">
      <c r="A354" s="618">
        <v>6</v>
      </c>
      <c r="B354" s="215"/>
      <c r="C354" s="221" t="s">
        <v>944</v>
      </c>
      <c r="D354" s="285">
        <f>D344</f>
        <v>255.66</v>
      </c>
      <c r="E354" s="232">
        <f>E344</f>
        <v>1826.64</v>
      </c>
      <c r="F354" s="232">
        <f>F344</f>
        <v>1340.63</v>
      </c>
      <c r="G354" s="285">
        <f>G344</f>
        <v>524.13</v>
      </c>
      <c r="H354" s="285"/>
      <c r="I354" s="285"/>
      <c r="J354" s="285"/>
      <c r="K354" s="285"/>
      <c r="L354" s="285"/>
      <c r="M354" s="285"/>
      <c r="N354" s="285"/>
      <c r="O354" s="285"/>
      <c r="P354" s="285"/>
      <c r="Q354" s="285"/>
      <c r="R354" s="285"/>
      <c r="S354" s="285"/>
      <c r="T354" s="285"/>
      <c r="U354" s="285"/>
      <c r="V354" s="285"/>
      <c r="W354" s="285"/>
      <c r="X354" s="285"/>
      <c r="Y354" s="285"/>
      <c r="Z354" s="285"/>
      <c r="AA354" s="285"/>
      <c r="AB354" s="285"/>
      <c r="AC354" s="285"/>
      <c r="AD354" s="285"/>
      <c r="AE354" s="285"/>
      <c r="AF354" s="285"/>
      <c r="AG354" s="285"/>
      <c r="AH354" s="285"/>
      <c r="AI354" s="285"/>
      <c r="AJ354" s="285"/>
      <c r="AK354" s="352"/>
    </row>
    <row r="355" spans="1:37" ht="14.25" customHeight="1" x14ac:dyDescent="0.45">
      <c r="A355" s="618"/>
      <c r="B355" s="215"/>
      <c r="C355" s="353"/>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c r="AH355" s="220"/>
      <c r="AI355" s="220"/>
      <c r="AJ355" s="220"/>
      <c r="AK355" s="352"/>
    </row>
    <row r="356" spans="1:37" ht="14.25" customHeight="1" x14ac:dyDescent="0.45">
      <c r="A356" s="618"/>
      <c r="B356" s="215"/>
      <c r="C356" s="243" t="s">
        <v>945</v>
      </c>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c r="AA356" s="285"/>
      <c r="AB356" s="285"/>
      <c r="AC356" s="285"/>
      <c r="AD356" s="285"/>
      <c r="AE356" s="285"/>
      <c r="AF356" s="285"/>
      <c r="AG356" s="285"/>
      <c r="AH356" s="285"/>
      <c r="AI356" s="285"/>
      <c r="AJ356" s="285"/>
      <c r="AK356" s="352"/>
    </row>
    <row r="357" spans="1:37" ht="15" customHeight="1" x14ac:dyDescent="0.45">
      <c r="A357" s="618">
        <v>7</v>
      </c>
      <c r="B357" s="639" t="s">
        <v>356</v>
      </c>
      <c r="C357" s="221" t="s">
        <v>946</v>
      </c>
      <c r="D357" s="293">
        <v>4585.2</v>
      </c>
      <c r="E357" s="293">
        <v>4743.8</v>
      </c>
      <c r="F357" s="293">
        <v>4996</v>
      </c>
      <c r="G357" s="293">
        <v>4931.5</v>
      </c>
      <c r="H357" s="285"/>
      <c r="I357" s="285"/>
      <c r="J357" s="285"/>
      <c r="K357" s="285"/>
      <c r="L357" s="285"/>
      <c r="M357" s="285"/>
      <c r="N357" s="285"/>
      <c r="O357" s="285"/>
      <c r="P357" s="285"/>
      <c r="Q357" s="285"/>
      <c r="R357" s="285"/>
      <c r="S357" s="285"/>
      <c r="T357" s="285"/>
      <c r="U357" s="285"/>
      <c r="V357" s="285"/>
      <c r="W357" s="285"/>
      <c r="X357" s="285"/>
      <c r="Y357" s="285"/>
      <c r="Z357" s="285"/>
      <c r="AA357" s="285"/>
      <c r="AB357" s="285"/>
      <c r="AC357" s="285"/>
      <c r="AD357" s="285"/>
      <c r="AE357" s="285"/>
      <c r="AF357" s="285"/>
      <c r="AG357" s="285"/>
      <c r="AH357" s="285"/>
      <c r="AI357" s="285"/>
      <c r="AJ357" s="285"/>
      <c r="AK357" s="352"/>
    </row>
    <row r="358" spans="1:37" ht="14.25" customHeight="1" x14ac:dyDescent="0.45">
      <c r="A358" s="618">
        <v>7</v>
      </c>
      <c r="B358" s="631"/>
      <c r="C358" s="221" t="s">
        <v>947</v>
      </c>
      <c r="D358" s="293">
        <v>4299.1000000000004</v>
      </c>
      <c r="E358" s="293">
        <v>4488.1000000000004</v>
      </c>
      <c r="F358" s="293">
        <v>4119.1000000000004</v>
      </c>
      <c r="G358" s="293">
        <v>4331.3999999999996</v>
      </c>
      <c r="H358" s="285"/>
      <c r="I358" s="285"/>
      <c r="J358" s="285"/>
      <c r="K358" s="285"/>
      <c r="L358" s="285"/>
      <c r="M358" s="285"/>
      <c r="N358" s="285"/>
      <c r="O358" s="285"/>
      <c r="P358" s="285"/>
      <c r="Q358" s="285"/>
      <c r="R358" s="285"/>
      <c r="S358" s="285"/>
      <c r="T358" s="285"/>
      <c r="U358" s="285"/>
      <c r="V358" s="285"/>
      <c r="W358" s="285"/>
      <c r="X358" s="285"/>
      <c r="Y358" s="285"/>
      <c r="Z358" s="285"/>
      <c r="AA358" s="285"/>
      <c r="AB358" s="285"/>
      <c r="AC358" s="285"/>
      <c r="AD358" s="285"/>
      <c r="AE358" s="285"/>
      <c r="AF358" s="285"/>
      <c r="AG358" s="285"/>
      <c r="AH358" s="285"/>
      <c r="AI358" s="285"/>
      <c r="AJ358" s="285"/>
      <c r="AK358" s="352"/>
    </row>
    <row r="359" spans="1:37" ht="14.25" customHeight="1" x14ac:dyDescent="0.45">
      <c r="A359" s="618">
        <v>7</v>
      </c>
      <c r="B359" s="631"/>
      <c r="C359" s="221" t="s">
        <v>948</v>
      </c>
      <c r="D359" s="293">
        <v>6195</v>
      </c>
      <c r="E359" s="293">
        <v>6437.6</v>
      </c>
      <c r="F359" s="293">
        <v>6284.5</v>
      </c>
      <c r="G359" s="293">
        <v>7051.6</v>
      </c>
      <c r="H359" s="285"/>
      <c r="I359" s="285"/>
      <c r="J359" s="285"/>
      <c r="K359" s="285"/>
      <c r="L359" s="285"/>
      <c r="M359" s="285"/>
      <c r="N359" s="285"/>
      <c r="O359" s="285"/>
      <c r="P359" s="285"/>
      <c r="Q359" s="285"/>
      <c r="R359" s="285"/>
      <c r="S359" s="285"/>
      <c r="T359" s="285"/>
      <c r="U359" s="285"/>
      <c r="V359" s="285"/>
      <c r="W359" s="285"/>
      <c r="X359" s="285"/>
      <c r="Y359" s="285"/>
      <c r="Z359" s="285"/>
      <c r="AA359" s="285"/>
      <c r="AB359" s="285"/>
      <c r="AC359" s="285"/>
      <c r="AD359" s="285"/>
      <c r="AE359" s="285"/>
      <c r="AF359" s="285"/>
      <c r="AG359" s="285"/>
      <c r="AH359" s="285"/>
      <c r="AI359" s="285"/>
      <c r="AJ359" s="285"/>
      <c r="AK359" s="352"/>
    </row>
    <row r="360" spans="1:37" ht="14.25" customHeight="1" x14ac:dyDescent="0.45">
      <c r="A360" s="618">
        <v>7</v>
      </c>
      <c r="B360" s="631"/>
      <c r="C360" s="221" t="s">
        <v>949</v>
      </c>
      <c r="D360" s="293">
        <v>346.7</v>
      </c>
      <c r="E360" s="293">
        <v>319</v>
      </c>
      <c r="F360" s="293">
        <v>342.5</v>
      </c>
      <c r="G360" s="293">
        <v>388.9</v>
      </c>
      <c r="H360" s="285"/>
      <c r="I360" s="285"/>
      <c r="J360" s="285"/>
      <c r="K360" s="285"/>
      <c r="L360" s="285"/>
      <c r="M360" s="285"/>
      <c r="N360" s="285"/>
      <c r="O360" s="285"/>
      <c r="P360" s="285"/>
      <c r="Q360" s="285"/>
      <c r="R360" s="285"/>
      <c r="S360" s="285"/>
      <c r="T360" s="285"/>
      <c r="U360" s="285"/>
      <c r="V360" s="285"/>
      <c r="W360" s="285"/>
      <c r="X360" s="285"/>
      <c r="Y360" s="285"/>
      <c r="Z360" s="285"/>
      <c r="AA360" s="285"/>
      <c r="AB360" s="285"/>
      <c r="AC360" s="285"/>
      <c r="AD360" s="285"/>
      <c r="AE360" s="285"/>
      <c r="AF360" s="285"/>
      <c r="AG360" s="285"/>
      <c r="AH360" s="285"/>
      <c r="AI360" s="285"/>
      <c r="AJ360" s="285"/>
      <c r="AK360" s="352"/>
    </row>
    <row r="361" spans="1:37" ht="14.25" customHeight="1" x14ac:dyDescent="0.45">
      <c r="A361" s="618">
        <v>7</v>
      </c>
      <c r="B361" s="631"/>
      <c r="C361" s="221" t="s">
        <v>950</v>
      </c>
      <c r="D361" s="293"/>
      <c r="E361" s="293"/>
      <c r="F361" s="293"/>
      <c r="G361" s="293"/>
      <c r="H361" s="285"/>
      <c r="I361" s="285"/>
      <c r="J361" s="285"/>
      <c r="K361" s="285"/>
      <c r="L361" s="285"/>
      <c r="M361" s="285"/>
      <c r="N361" s="285"/>
      <c r="O361" s="285"/>
      <c r="P361" s="285"/>
      <c r="Q361" s="285"/>
      <c r="R361" s="285"/>
      <c r="S361" s="285"/>
      <c r="T361" s="285"/>
      <c r="U361" s="285"/>
      <c r="V361" s="285"/>
      <c r="W361" s="285"/>
      <c r="X361" s="285"/>
      <c r="Y361" s="285"/>
      <c r="Z361" s="285"/>
      <c r="AA361" s="285"/>
      <c r="AB361" s="285"/>
      <c r="AC361" s="285"/>
      <c r="AD361" s="285"/>
      <c r="AE361" s="285"/>
      <c r="AF361" s="285"/>
      <c r="AG361" s="285"/>
      <c r="AH361" s="285"/>
      <c r="AI361" s="285"/>
      <c r="AJ361" s="285"/>
      <c r="AK361" s="352"/>
    </row>
    <row r="362" spans="1:37" ht="14.25" customHeight="1" x14ac:dyDescent="0.45">
      <c r="A362" s="618">
        <v>7</v>
      </c>
      <c r="B362" s="631"/>
      <c r="C362" s="221" t="s">
        <v>951</v>
      </c>
      <c r="D362" s="293"/>
      <c r="E362" s="293"/>
      <c r="F362" s="293"/>
      <c r="G362" s="293"/>
      <c r="H362" s="285"/>
      <c r="I362" s="285"/>
      <c r="J362" s="285"/>
      <c r="K362" s="285"/>
      <c r="L362" s="285"/>
      <c r="M362" s="285"/>
      <c r="N362" s="285"/>
      <c r="O362" s="285"/>
      <c r="P362" s="285"/>
      <c r="Q362" s="285"/>
      <c r="R362" s="285"/>
      <c r="S362" s="285"/>
      <c r="T362" s="285"/>
      <c r="U362" s="285"/>
      <c r="V362" s="285"/>
      <c r="W362" s="285"/>
      <c r="X362" s="285"/>
      <c r="Y362" s="285"/>
      <c r="Z362" s="285"/>
      <c r="AA362" s="285"/>
      <c r="AB362" s="285"/>
      <c r="AC362" s="285"/>
      <c r="AD362" s="285"/>
      <c r="AE362" s="285"/>
      <c r="AF362" s="285"/>
      <c r="AG362" s="285"/>
      <c r="AH362" s="285"/>
      <c r="AI362" s="285"/>
      <c r="AJ362" s="285"/>
      <c r="AK362" s="352"/>
    </row>
    <row r="363" spans="1:37" ht="14.25" customHeight="1" x14ac:dyDescent="0.45">
      <c r="A363" s="618">
        <v>7</v>
      </c>
      <c r="B363" s="631"/>
      <c r="C363" s="221" t="s">
        <v>396</v>
      </c>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c r="AA363" s="285"/>
      <c r="AB363" s="285"/>
      <c r="AC363" s="285"/>
      <c r="AD363" s="285"/>
      <c r="AE363" s="285"/>
      <c r="AF363" s="285"/>
      <c r="AG363" s="285"/>
      <c r="AH363" s="285"/>
      <c r="AI363" s="285"/>
      <c r="AJ363" s="285"/>
      <c r="AK363" s="352"/>
    </row>
    <row r="364" spans="1:37" ht="14.25" customHeight="1" x14ac:dyDescent="0.45">
      <c r="A364" s="618">
        <v>7</v>
      </c>
      <c r="B364" s="631"/>
      <c r="C364" s="221" t="s">
        <v>397</v>
      </c>
      <c r="D364" s="285">
        <v>6.7</v>
      </c>
      <c r="E364" s="285">
        <v>6.8</v>
      </c>
      <c r="F364" s="285">
        <v>6.7</v>
      </c>
      <c r="G364" s="285">
        <v>6.8</v>
      </c>
      <c r="H364" s="285"/>
      <c r="I364" s="285"/>
      <c r="J364" s="285"/>
      <c r="K364" s="285"/>
      <c r="L364" s="285"/>
      <c r="M364" s="285"/>
      <c r="N364" s="285"/>
      <c r="O364" s="285"/>
      <c r="P364" s="285"/>
      <c r="Q364" s="285"/>
      <c r="R364" s="285"/>
      <c r="S364" s="285"/>
      <c r="T364" s="285"/>
      <c r="U364" s="285"/>
      <c r="V364" s="285"/>
      <c r="W364" s="285"/>
      <c r="X364" s="285"/>
      <c r="Y364" s="285"/>
      <c r="Z364" s="285"/>
      <c r="AA364" s="285"/>
      <c r="AB364" s="285"/>
      <c r="AC364" s="285"/>
      <c r="AD364" s="285"/>
      <c r="AE364" s="285"/>
      <c r="AF364" s="285"/>
      <c r="AG364" s="285"/>
      <c r="AH364" s="285"/>
      <c r="AI364" s="285"/>
      <c r="AJ364" s="285"/>
      <c r="AK364" s="352"/>
    </row>
    <row r="365" spans="1:37" ht="14.25" customHeight="1" x14ac:dyDescent="0.45">
      <c r="A365" s="618">
        <v>7</v>
      </c>
      <c r="B365" s="631"/>
      <c r="C365" s="221" t="s">
        <v>398</v>
      </c>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c r="AA365" s="285"/>
      <c r="AB365" s="285"/>
      <c r="AC365" s="285"/>
      <c r="AD365" s="285"/>
      <c r="AE365" s="285"/>
      <c r="AF365" s="285"/>
      <c r="AG365" s="285"/>
      <c r="AH365" s="285"/>
      <c r="AI365" s="285"/>
      <c r="AJ365" s="285"/>
      <c r="AK365" s="352"/>
    </row>
    <row r="366" spans="1:37" ht="14.25" customHeight="1" x14ac:dyDescent="0.45">
      <c r="A366" s="618">
        <v>7</v>
      </c>
      <c r="B366" s="631"/>
      <c r="C366" s="221" t="s">
        <v>399</v>
      </c>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c r="AA366" s="285"/>
      <c r="AB366" s="285"/>
      <c r="AC366" s="285"/>
      <c r="AD366" s="285"/>
      <c r="AE366" s="285"/>
      <c r="AF366" s="285"/>
      <c r="AG366" s="285"/>
      <c r="AH366" s="285"/>
      <c r="AI366" s="285"/>
      <c r="AJ366" s="285"/>
      <c r="AK366" s="352"/>
    </row>
    <row r="367" spans="1:37" ht="14.25" customHeight="1" x14ac:dyDescent="0.45">
      <c r="A367" s="618"/>
      <c r="B367" s="631"/>
      <c r="C367" s="221" t="s">
        <v>849</v>
      </c>
      <c r="D367" s="293">
        <f>SUM(D357:D366)</f>
        <v>15432.7</v>
      </c>
      <c r="E367" s="293">
        <f>SUM(E357:E366)</f>
        <v>15995.300000000001</v>
      </c>
      <c r="F367" s="293">
        <f>SUM(F357:F366)</f>
        <v>15748.800000000001</v>
      </c>
      <c r="G367" s="293">
        <f>SUM(G357:G366)</f>
        <v>16710.2</v>
      </c>
      <c r="H367" s="285">
        <f t="shared" ref="H367:AJ367" si="3">SUM(H357:H361)</f>
        <v>0</v>
      </c>
      <c r="I367" s="285">
        <f t="shared" si="3"/>
        <v>0</v>
      </c>
      <c r="J367" s="285">
        <f t="shared" si="3"/>
        <v>0</v>
      </c>
      <c r="K367" s="285">
        <f t="shared" si="3"/>
        <v>0</v>
      </c>
      <c r="L367" s="285">
        <f t="shared" si="3"/>
        <v>0</v>
      </c>
      <c r="M367" s="285">
        <f t="shared" si="3"/>
        <v>0</v>
      </c>
      <c r="N367" s="285">
        <f t="shared" si="3"/>
        <v>0</v>
      </c>
      <c r="O367" s="285">
        <f t="shared" si="3"/>
        <v>0</v>
      </c>
      <c r="P367" s="285">
        <f t="shared" si="3"/>
        <v>0</v>
      </c>
      <c r="Q367" s="285">
        <f t="shared" si="3"/>
        <v>0</v>
      </c>
      <c r="R367" s="285">
        <f t="shared" si="3"/>
        <v>0</v>
      </c>
      <c r="S367" s="285">
        <f t="shared" si="3"/>
        <v>0</v>
      </c>
      <c r="T367" s="285">
        <f t="shared" si="3"/>
        <v>0</v>
      </c>
      <c r="U367" s="285">
        <f t="shared" si="3"/>
        <v>0</v>
      </c>
      <c r="V367" s="285">
        <f t="shared" si="3"/>
        <v>0</v>
      </c>
      <c r="W367" s="285">
        <f t="shared" si="3"/>
        <v>0</v>
      </c>
      <c r="X367" s="285">
        <f t="shared" si="3"/>
        <v>0</v>
      </c>
      <c r="Y367" s="285">
        <f t="shared" si="3"/>
        <v>0</v>
      </c>
      <c r="Z367" s="285">
        <f t="shared" si="3"/>
        <v>0</v>
      </c>
      <c r="AA367" s="285">
        <f t="shared" si="3"/>
        <v>0</v>
      </c>
      <c r="AB367" s="285">
        <f t="shared" si="3"/>
        <v>0</v>
      </c>
      <c r="AC367" s="285">
        <f t="shared" si="3"/>
        <v>0</v>
      </c>
      <c r="AD367" s="285">
        <f t="shared" si="3"/>
        <v>0</v>
      </c>
      <c r="AE367" s="285">
        <f t="shared" si="3"/>
        <v>0</v>
      </c>
      <c r="AF367" s="285">
        <f t="shared" si="3"/>
        <v>0</v>
      </c>
      <c r="AG367" s="285">
        <f t="shared" si="3"/>
        <v>0</v>
      </c>
      <c r="AH367" s="285">
        <f t="shared" si="3"/>
        <v>0</v>
      </c>
      <c r="AI367" s="285">
        <f t="shared" si="3"/>
        <v>0</v>
      </c>
      <c r="AJ367" s="285">
        <f t="shared" si="3"/>
        <v>0</v>
      </c>
      <c r="AK367" s="352"/>
    </row>
    <row r="368" spans="1:37" ht="14.25" customHeight="1" x14ac:dyDescent="0.45">
      <c r="A368" s="618"/>
      <c r="B368" s="215"/>
      <c r="C368" s="353"/>
      <c r="D368" s="50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c r="AH368" s="220"/>
      <c r="AI368" s="220"/>
      <c r="AJ368" s="220"/>
      <c r="AK368" s="352"/>
    </row>
    <row r="369" spans="1:37" ht="14.25" customHeight="1" x14ac:dyDescent="0.45">
      <c r="A369" s="96"/>
      <c r="B369" s="501"/>
      <c r="C369" s="502" t="s">
        <v>404</v>
      </c>
      <c r="D369" s="340"/>
      <c r="E369" s="340"/>
      <c r="F369" s="340"/>
      <c r="G369" s="340"/>
      <c r="H369" s="340"/>
      <c r="I369" s="340"/>
      <c r="J369" s="340"/>
      <c r="K369" s="340"/>
      <c r="L369" s="340"/>
      <c r="M369" s="340"/>
      <c r="N369" s="340"/>
      <c r="O369" s="340"/>
      <c r="P369" s="340"/>
      <c r="Q369" s="340"/>
      <c r="R369" s="340"/>
      <c r="S369" s="340"/>
      <c r="T369" s="340"/>
      <c r="U369" s="340"/>
      <c r="V369" s="340"/>
      <c r="W369" s="340"/>
      <c r="X369" s="340"/>
      <c r="Y369" s="340"/>
      <c r="Z369" s="340"/>
      <c r="AA369" s="340"/>
      <c r="AB369" s="340"/>
      <c r="AC369" s="340"/>
      <c r="AD369" s="340"/>
      <c r="AE369" s="340"/>
      <c r="AF369" s="340"/>
      <c r="AG369" s="340"/>
      <c r="AH369" s="340"/>
      <c r="AI369" s="340"/>
      <c r="AJ369" s="340"/>
      <c r="AK369" s="503"/>
    </row>
    <row r="370" spans="1:37" ht="14.25" customHeight="1" x14ac:dyDescent="0.45">
      <c r="A370" s="96"/>
      <c r="B370" s="501"/>
      <c r="C370" s="340" t="s">
        <v>271</v>
      </c>
      <c r="D370" s="504"/>
      <c r="E370" s="504"/>
      <c r="F370" s="504"/>
      <c r="G370" s="504"/>
      <c r="H370" s="340">
        <v>48</v>
      </c>
      <c r="I370" s="340"/>
      <c r="J370" s="340"/>
      <c r="K370" s="340"/>
      <c r="L370" s="340"/>
      <c r="M370" s="340"/>
      <c r="N370" s="340"/>
      <c r="O370" s="340"/>
      <c r="P370" s="340"/>
      <c r="Q370" s="340"/>
      <c r="R370" s="340"/>
      <c r="S370" s="340"/>
      <c r="T370" s="340"/>
      <c r="U370" s="340"/>
      <c r="V370" s="340"/>
      <c r="W370" s="340"/>
      <c r="X370" s="340"/>
      <c r="Y370" s="340"/>
      <c r="Z370" s="340"/>
      <c r="AA370" s="340"/>
      <c r="AB370" s="340"/>
      <c r="AC370" s="340"/>
      <c r="AD370" s="340"/>
      <c r="AE370" s="340"/>
      <c r="AF370" s="340"/>
      <c r="AG370" s="340"/>
      <c r="AH370" s="340"/>
      <c r="AI370" s="340"/>
      <c r="AJ370" s="340"/>
      <c r="AK370" s="503"/>
    </row>
    <row r="371" spans="1:37" ht="14.25" customHeight="1" x14ac:dyDescent="0.45">
      <c r="A371" s="96"/>
      <c r="B371" s="501"/>
      <c r="C371" s="340" t="s">
        <v>405</v>
      </c>
      <c r="D371" s="504"/>
      <c r="E371" s="504"/>
      <c r="F371" s="504"/>
      <c r="G371" s="504"/>
      <c r="H371" s="340">
        <v>36</v>
      </c>
      <c r="I371" s="340"/>
      <c r="J371" s="340"/>
      <c r="K371" s="340"/>
      <c r="L371" s="340"/>
      <c r="M371" s="340"/>
      <c r="N371" s="340"/>
      <c r="O371" s="340"/>
      <c r="P371" s="340"/>
      <c r="Q371" s="340"/>
      <c r="R371" s="340"/>
      <c r="S371" s="340"/>
      <c r="T371" s="340"/>
      <c r="U371" s="340"/>
      <c r="V371" s="340"/>
      <c r="W371" s="340"/>
      <c r="X371" s="340"/>
      <c r="Y371" s="340"/>
      <c r="Z371" s="340"/>
      <c r="AA371" s="340"/>
      <c r="AB371" s="340"/>
      <c r="AC371" s="340"/>
      <c r="AD371" s="340"/>
      <c r="AE371" s="340"/>
      <c r="AF371" s="340"/>
      <c r="AG371" s="340"/>
      <c r="AH371" s="340"/>
      <c r="AI371" s="340"/>
      <c r="AJ371" s="340"/>
      <c r="AK371" s="503"/>
    </row>
    <row r="372" spans="1:37" ht="14.25" customHeight="1" x14ac:dyDescent="0.45">
      <c r="A372" s="96"/>
      <c r="B372" s="501"/>
      <c r="C372" s="340" t="s">
        <v>406</v>
      </c>
      <c r="D372" s="504"/>
      <c r="E372" s="504"/>
      <c r="F372" s="504"/>
      <c r="G372" s="504"/>
      <c r="H372" s="340">
        <v>27</v>
      </c>
      <c r="I372" s="340"/>
      <c r="J372" s="340"/>
      <c r="K372" s="340"/>
      <c r="L372" s="340"/>
      <c r="M372" s="340"/>
      <c r="N372" s="340"/>
      <c r="O372" s="340"/>
      <c r="P372" s="340"/>
      <c r="Q372" s="340"/>
      <c r="R372" s="340"/>
      <c r="S372" s="340"/>
      <c r="T372" s="340"/>
      <c r="U372" s="340"/>
      <c r="V372" s="340"/>
      <c r="W372" s="340"/>
      <c r="X372" s="340"/>
      <c r="Y372" s="340"/>
      <c r="Z372" s="340"/>
      <c r="AA372" s="340"/>
      <c r="AB372" s="340"/>
      <c r="AC372" s="340"/>
      <c r="AD372" s="340"/>
      <c r="AE372" s="340"/>
      <c r="AF372" s="340"/>
      <c r="AG372" s="340"/>
      <c r="AH372" s="340"/>
      <c r="AI372" s="340"/>
      <c r="AJ372" s="340"/>
      <c r="AK372" s="503"/>
    </row>
    <row r="373" spans="1:37" ht="14.25" customHeight="1" x14ac:dyDescent="0.45">
      <c r="A373" s="96"/>
      <c r="B373" s="501"/>
      <c r="C373" s="340" t="s">
        <v>407</v>
      </c>
      <c r="D373" s="504"/>
      <c r="E373" s="504"/>
      <c r="F373" s="504"/>
      <c r="G373" s="504"/>
      <c r="H373" s="340">
        <v>35</v>
      </c>
      <c r="I373" s="340"/>
      <c r="J373" s="340"/>
      <c r="K373" s="340"/>
      <c r="L373" s="340"/>
      <c r="M373" s="340"/>
      <c r="N373" s="340"/>
      <c r="O373" s="340"/>
      <c r="P373" s="340"/>
      <c r="Q373" s="340"/>
      <c r="R373" s="340"/>
      <c r="S373" s="340"/>
      <c r="T373" s="340"/>
      <c r="U373" s="340"/>
      <c r="V373" s="340"/>
      <c r="W373" s="340"/>
      <c r="X373" s="340"/>
      <c r="Y373" s="340"/>
      <c r="Z373" s="340"/>
      <c r="AA373" s="340"/>
      <c r="AB373" s="340"/>
      <c r="AC373" s="340"/>
      <c r="AD373" s="340"/>
      <c r="AE373" s="340"/>
      <c r="AF373" s="340"/>
      <c r="AG373" s="340"/>
      <c r="AH373" s="340"/>
      <c r="AI373" s="340"/>
      <c r="AJ373" s="340"/>
      <c r="AK373" s="503"/>
    </row>
    <row r="374" spans="1:37" ht="14.25" customHeight="1" x14ac:dyDescent="0.45">
      <c r="A374" s="96"/>
      <c r="B374" s="501"/>
      <c r="C374" s="340" t="s">
        <v>408</v>
      </c>
      <c r="D374" s="504"/>
      <c r="E374" s="504"/>
      <c r="F374" s="504"/>
      <c r="G374" s="504"/>
      <c r="H374" s="340">
        <v>23</v>
      </c>
      <c r="I374" s="340"/>
      <c r="J374" s="340"/>
      <c r="K374" s="340"/>
      <c r="L374" s="340"/>
      <c r="M374" s="340"/>
      <c r="N374" s="340"/>
      <c r="O374" s="340"/>
      <c r="P374" s="340"/>
      <c r="Q374" s="340"/>
      <c r="R374" s="340"/>
      <c r="S374" s="340"/>
      <c r="T374" s="340"/>
      <c r="U374" s="340"/>
      <c r="V374" s="340"/>
      <c r="W374" s="340"/>
      <c r="X374" s="340"/>
      <c r="Y374" s="340"/>
      <c r="Z374" s="340"/>
      <c r="AA374" s="340"/>
      <c r="AB374" s="340"/>
      <c r="AC374" s="340"/>
      <c r="AD374" s="340"/>
      <c r="AE374" s="340"/>
      <c r="AF374" s="340"/>
      <c r="AG374" s="340"/>
      <c r="AH374" s="340"/>
      <c r="AI374" s="340"/>
      <c r="AJ374" s="340"/>
      <c r="AK374" s="503"/>
    </row>
    <row r="375" spans="1:37" ht="14.25" customHeight="1" x14ac:dyDescent="0.45">
      <c r="A375" s="96"/>
      <c r="B375" s="501"/>
      <c r="C375" s="340" t="s">
        <v>409</v>
      </c>
      <c r="D375" s="504"/>
      <c r="E375" s="504"/>
      <c r="F375" s="504"/>
      <c r="G375" s="504"/>
      <c r="H375" s="340">
        <v>23</v>
      </c>
      <c r="I375" s="340"/>
      <c r="J375" s="340"/>
      <c r="K375" s="340"/>
      <c r="L375" s="340"/>
      <c r="M375" s="340"/>
      <c r="N375" s="340"/>
      <c r="O375" s="340"/>
      <c r="P375" s="340"/>
      <c r="Q375" s="340"/>
      <c r="R375" s="340"/>
      <c r="S375" s="340"/>
      <c r="T375" s="340"/>
      <c r="U375" s="340"/>
      <c r="V375" s="340"/>
      <c r="W375" s="340"/>
      <c r="X375" s="340"/>
      <c r="Y375" s="340"/>
      <c r="Z375" s="340"/>
      <c r="AA375" s="340"/>
      <c r="AB375" s="340"/>
      <c r="AC375" s="340"/>
      <c r="AD375" s="340"/>
      <c r="AE375" s="340"/>
      <c r="AF375" s="340"/>
      <c r="AG375" s="340"/>
      <c r="AH375" s="340"/>
      <c r="AI375" s="340"/>
      <c r="AJ375" s="340"/>
      <c r="AK375" s="503"/>
    </row>
    <row r="376" spans="1:37" ht="14.25" customHeight="1" x14ac:dyDescent="0.45">
      <c r="A376" s="618"/>
      <c r="B376" s="258"/>
      <c r="C376" s="329"/>
      <c r="D376" s="259"/>
      <c r="E376" s="259"/>
      <c r="F376" s="259"/>
      <c r="G376" s="259"/>
      <c r="H376" s="259"/>
      <c r="I376" s="259"/>
      <c r="J376" s="259"/>
      <c r="K376" s="259"/>
      <c r="L376" s="259"/>
      <c r="M376" s="259"/>
      <c r="N376" s="259"/>
      <c r="O376" s="259"/>
      <c r="P376" s="259"/>
      <c r="Q376" s="259"/>
      <c r="R376" s="259"/>
      <c r="S376" s="259"/>
      <c r="T376" s="259"/>
      <c r="U376" s="259"/>
      <c r="V376" s="259"/>
      <c r="W376" s="259"/>
      <c r="X376" s="259"/>
      <c r="Y376" s="259"/>
      <c r="Z376" s="259"/>
      <c r="AA376" s="259"/>
      <c r="AB376" s="259"/>
      <c r="AC376" s="259"/>
      <c r="AD376" s="259"/>
      <c r="AE376" s="259"/>
      <c r="AF376" s="259"/>
      <c r="AG376" s="259"/>
      <c r="AH376" s="259"/>
      <c r="AI376" s="259"/>
      <c r="AJ376" s="259"/>
      <c r="AK376" s="425"/>
    </row>
    <row r="377" spans="1:37" ht="14.25" customHeight="1" x14ac:dyDescent="0.45">
      <c r="A377" s="618"/>
      <c r="B377" s="618"/>
      <c r="C377" s="5"/>
      <c r="D377" s="618"/>
      <c r="E377" s="618"/>
      <c r="F377" s="618"/>
      <c r="G377" s="618"/>
      <c r="H377" s="618"/>
      <c r="I377" s="618"/>
      <c r="J377" s="618"/>
      <c r="K377" s="618"/>
      <c r="L377" s="618"/>
      <c r="M377" s="618"/>
      <c r="N377" s="618"/>
      <c r="O377" s="618"/>
      <c r="P377" s="618"/>
      <c r="Q377" s="618"/>
      <c r="R377" s="618"/>
      <c r="S377" s="618"/>
      <c r="T377" s="618"/>
      <c r="U377" s="618"/>
      <c r="V377" s="618"/>
      <c r="W377" s="618"/>
      <c r="X377" s="618"/>
      <c r="Y377" s="618"/>
      <c r="Z377" s="618"/>
      <c r="AA377" s="618"/>
      <c r="AB377" s="618"/>
      <c r="AC377" s="618"/>
      <c r="AD377" s="618"/>
      <c r="AE377" s="618"/>
      <c r="AF377" s="618"/>
      <c r="AG377" s="618"/>
      <c r="AH377" s="618"/>
      <c r="AI377" s="618"/>
      <c r="AJ377" s="618"/>
      <c r="AK377" s="618"/>
    </row>
    <row r="378" spans="1:37" ht="14.25" customHeight="1" x14ac:dyDescent="0.45">
      <c r="A378" s="618"/>
      <c r="B378" s="618"/>
      <c r="C378" s="5" t="s">
        <v>952</v>
      </c>
      <c r="D378" s="618"/>
      <c r="E378" s="618"/>
      <c r="F378" s="618"/>
      <c r="G378" s="618"/>
      <c r="H378" s="618"/>
      <c r="I378" s="618"/>
      <c r="J378" s="618"/>
      <c r="K378" s="618"/>
      <c r="L378" s="618"/>
      <c r="M378" s="618"/>
      <c r="N378" s="618"/>
      <c r="O378" s="618"/>
      <c r="P378" s="618"/>
      <c r="Q378" s="618"/>
      <c r="R378" s="618"/>
      <c r="S378" s="618"/>
      <c r="T378" s="618"/>
      <c r="U378" s="618"/>
      <c r="V378" s="618"/>
      <c r="W378" s="618"/>
      <c r="X378" s="618"/>
      <c r="Y378" s="618"/>
      <c r="Z378" s="618"/>
      <c r="AA378" s="618"/>
      <c r="AB378" s="618"/>
      <c r="AC378" s="618"/>
      <c r="AD378" s="618"/>
      <c r="AE378" s="618"/>
      <c r="AF378" s="618"/>
      <c r="AG378" s="618"/>
      <c r="AH378" s="618"/>
      <c r="AI378" s="618"/>
      <c r="AJ378" s="618"/>
      <c r="AK378" s="618"/>
    </row>
    <row r="379" spans="1:37" ht="14.25" customHeight="1" x14ac:dyDescent="0.45">
      <c r="A379" s="618"/>
      <c r="B379" s="618"/>
      <c r="C379" s="5" t="s">
        <v>953</v>
      </c>
      <c r="D379" s="618"/>
      <c r="E379" s="618"/>
      <c r="F379" s="618"/>
      <c r="G379" s="618"/>
      <c r="H379" s="618"/>
      <c r="I379" s="24">
        <v>1</v>
      </c>
      <c r="J379" s="24">
        <v>6.1179000000000003E-6</v>
      </c>
      <c r="K379" s="618"/>
      <c r="L379" s="618"/>
      <c r="M379" s="618"/>
      <c r="N379" s="618"/>
      <c r="O379" s="618"/>
      <c r="P379" s="618"/>
      <c r="Q379" s="618"/>
      <c r="R379" s="618"/>
      <c r="S379" s="618"/>
      <c r="T379" s="618"/>
      <c r="U379" s="618"/>
      <c r="V379" s="618"/>
      <c r="W379" s="618"/>
      <c r="X379" s="618"/>
      <c r="Y379" s="618"/>
      <c r="Z379" s="618"/>
      <c r="AA379" s="618"/>
      <c r="AB379" s="618"/>
      <c r="AC379" s="618"/>
      <c r="AD379" s="618"/>
      <c r="AE379" s="618"/>
      <c r="AF379" s="618"/>
      <c r="AG379" s="618"/>
      <c r="AH379" s="618"/>
      <c r="AI379" s="618"/>
      <c r="AJ379" s="618"/>
      <c r="AK379" s="618"/>
    </row>
    <row r="380" spans="1:37" ht="14.25" customHeight="1" x14ac:dyDescent="0.45">
      <c r="A380" s="618"/>
      <c r="B380" s="618"/>
      <c r="C380" s="14"/>
      <c r="D380" s="618"/>
      <c r="E380" s="618"/>
      <c r="F380" s="618"/>
      <c r="G380" s="618"/>
      <c r="H380" s="618"/>
      <c r="I380" s="618"/>
      <c r="J380" s="618"/>
      <c r="K380" s="618"/>
      <c r="L380" s="618"/>
      <c r="M380" s="618"/>
      <c r="N380" s="618"/>
      <c r="O380" s="618"/>
      <c r="P380" s="618"/>
      <c r="Q380" s="618"/>
      <c r="R380" s="618"/>
      <c r="S380" s="618"/>
      <c r="T380" s="618"/>
      <c r="U380" s="618"/>
      <c r="V380" s="618"/>
      <c r="W380" s="618"/>
      <c r="X380" s="618"/>
      <c r="Y380" s="618"/>
      <c r="Z380" s="618"/>
      <c r="AA380" s="618"/>
      <c r="AB380" s="618"/>
      <c r="AC380" s="618"/>
      <c r="AD380" s="618"/>
      <c r="AE380" s="618"/>
      <c r="AF380" s="618"/>
      <c r="AG380" s="618"/>
      <c r="AH380" s="618"/>
      <c r="AI380" s="618"/>
      <c r="AJ380" s="618"/>
      <c r="AK380" s="618"/>
    </row>
    <row r="381" spans="1:37" ht="14.25" customHeight="1" x14ac:dyDescent="0.45">
      <c r="A381" s="618"/>
      <c r="B381" s="618"/>
      <c r="C381" s="14" t="s">
        <v>814</v>
      </c>
      <c r="D381" s="618"/>
      <c r="E381" s="618"/>
      <c r="F381" s="618"/>
      <c r="G381" s="618"/>
      <c r="H381" s="618"/>
      <c r="I381" s="618"/>
      <c r="J381" s="618"/>
      <c r="K381" s="618"/>
      <c r="L381" s="618"/>
      <c r="M381" s="618"/>
      <c r="N381" s="618"/>
      <c r="O381" s="618"/>
      <c r="P381" s="618"/>
      <c r="Q381" s="618"/>
      <c r="R381" s="618"/>
      <c r="S381" s="618"/>
      <c r="T381" s="618"/>
      <c r="U381" s="618"/>
      <c r="V381" s="618"/>
      <c r="W381" s="618"/>
      <c r="X381" s="618"/>
      <c r="Y381" s="618"/>
      <c r="Z381" s="618"/>
      <c r="AA381" s="618"/>
      <c r="AB381" s="618"/>
      <c r="AC381" s="618"/>
      <c r="AD381" s="618"/>
      <c r="AE381" s="618"/>
      <c r="AF381" s="618"/>
      <c r="AG381" s="618"/>
      <c r="AH381" s="618"/>
      <c r="AI381" s="618"/>
      <c r="AJ381" s="618"/>
      <c r="AK381" s="618"/>
    </row>
    <row r="382" spans="1:37" ht="14.25" customHeight="1" x14ac:dyDescent="0.45">
      <c r="A382" s="618"/>
      <c r="B382" s="618">
        <v>1</v>
      </c>
      <c r="C382" s="5" t="s">
        <v>954</v>
      </c>
      <c r="D382" s="17">
        <v>2018</v>
      </c>
      <c r="E382" s="494">
        <v>2019</v>
      </c>
      <c r="F382" s="17">
        <v>2020</v>
      </c>
      <c r="G382" s="17">
        <v>2021</v>
      </c>
      <c r="H382" s="618"/>
      <c r="I382" s="618"/>
      <c r="J382" s="618"/>
      <c r="K382" s="618"/>
      <c r="L382" s="618"/>
      <c r="M382" s="618"/>
      <c r="N382" s="618"/>
      <c r="O382" s="618"/>
      <c r="P382" s="618"/>
      <c r="Q382" s="618"/>
      <c r="R382" s="618"/>
      <c r="S382" s="618"/>
      <c r="T382" s="618"/>
      <c r="U382" s="618"/>
      <c r="V382" s="618"/>
      <c r="W382" s="618"/>
      <c r="X382" s="618"/>
      <c r="Y382" s="618"/>
      <c r="Z382" s="618"/>
      <c r="AA382" s="618"/>
      <c r="AB382" s="618"/>
      <c r="AC382" s="618"/>
      <c r="AD382" s="618"/>
      <c r="AE382" s="618"/>
      <c r="AF382" s="618"/>
      <c r="AG382" s="618"/>
      <c r="AH382" s="618"/>
      <c r="AI382" s="618"/>
      <c r="AJ382" s="618"/>
      <c r="AK382" s="618"/>
    </row>
    <row r="383" spans="1:37" ht="15.75" customHeight="1" x14ac:dyDescent="0.45">
      <c r="A383" s="618"/>
      <c r="B383" s="618">
        <v>2</v>
      </c>
      <c r="C383" s="505" t="s">
        <v>955</v>
      </c>
      <c r="D383" s="1"/>
      <c r="E383" s="1"/>
      <c r="F383" s="1"/>
      <c r="G383" s="1"/>
      <c r="H383" s="618"/>
      <c r="I383" s="618"/>
      <c r="J383" s="618"/>
      <c r="K383" s="618"/>
      <c r="L383" s="618"/>
      <c r="M383" s="618"/>
      <c r="N383" s="618"/>
      <c r="O383" s="618"/>
      <c r="P383" s="618"/>
      <c r="Q383" s="618"/>
      <c r="R383" s="618"/>
      <c r="S383" s="618"/>
      <c r="T383" s="618"/>
      <c r="U383" s="618"/>
      <c r="V383" s="618"/>
      <c r="W383" s="618"/>
      <c r="X383" s="618"/>
      <c r="Y383" s="618"/>
      <c r="Z383" s="618"/>
      <c r="AA383" s="618"/>
      <c r="AB383" s="618"/>
      <c r="AC383" s="618"/>
      <c r="AD383" s="618"/>
      <c r="AE383" s="618"/>
      <c r="AF383" s="618"/>
      <c r="AG383" s="618"/>
      <c r="AH383" s="618"/>
      <c r="AI383" s="618"/>
      <c r="AJ383" s="618"/>
      <c r="AK383" s="618"/>
    </row>
    <row r="384" spans="1:37" ht="14.25" customHeight="1" x14ac:dyDescent="0.45">
      <c r="A384" s="618"/>
      <c r="B384" s="618">
        <v>3</v>
      </c>
      <c r="C384" s="5" t="s">
        <v>956</v>
      </c>
      <c r="D384" s="618"/>
      <c r="E384" s="618"/>
      <c r="F384" s="618"/>
      <c r="G384" s="17">
        <v>2021</v>
      </c>
      <c r="H384" s="618"/>
      <c r="I384" s="618"/>
      <c r="J384" s="618"/>
      <c r="K384" s="618"/>
      <c r="L384" s="618"/>
      <c r="M384" s="618"/>
      <c r="N384" s="618"/>
      <c r="O384" s="618"/>
      <c r="P384" s="618"/>
      <c r="Q384" s="618"/>
      <c r="R384" s="618"/>
      <c r="S384" s="618"/>
      <c r="T384" s="618"/>
      <c r="U384" s="618"/>
      <c r="V384" s="618"/>
      <c r="W384" s="618"/>
      <c r="X384" s="618"/>
      <c r="Y384" s="618"/>
      <c r="Z384" s="618"/>
      <c r="AA384" s="618"/>
      <c r="AB384" s="618"/>
      <c r="AC384" s="618"/>
      <c r="AD384" s="618"/>
      <c r="AE384" s="618"/>
      <c r="AF384" s="618"/>
      <c r="AG384" s="618"/>
      <c r="AH384" s="618"/>
      <c r="AI384" s="618"/>
      <c r="AJ384" s="618"/>
      <c r="AK384" s="618"/>
    </row>
    <row r="385" spans="1:37" ht="14.25" customHeight="1" x14ac:dyDescent="0.45">
      <c r="A385" s="618"/>
      <c r="B385" s="618">
        <v>4</v>
      </c>
      <c r="C385" s="5" t="s">
        <v>957</v>
      </c>
      <c r="D385" s="618"/>
      <c r="E385" s="618"/>
      <c r="F385" s="618"/>
      <c r="G385" s="618"/>
      <c r="H385" s="618"/>
      <c r="I385" s="618"/>
      <c r="J385" s="618"/>
      <c r="K385" s="618"/>
      <c r="L385" s="618"/>
      <c r="M385" s="618"/>
      <c r="N385" s="618"/>
      <c r="O385" s="618"/>
      <c r="P385" s="618"/>
      <c r="Q385" s="618"/>
      <c r="R385" s="618"/>
      <c r="S385" s="618"/>
      <c r="T385" s="618"/>
      <c r="U385" s="618"/>
      <c r="V385" s="618"/>
      <c r="W385" s="618"/>
      <c r="X385" s="618"/>
      <c r="Y385" s="618"/>
      <c r="Z385" s="618"/>
      <c r="AA385" s="618"/>
      <c r="AB385" s="618"/>
      <c r="AC385" s="618"/>
      <c r="AD385" s="618"/>
      <c r="AE385" s="618"/>
      <c r="AF385" s="618"/>
      <c r="AG385" s="618"/>
      <c r="AH385" s="618"/>
      <c r="AI385" s="618"/>
      <c r="AJ385" s="618"/>
      <c r="AK385" s="618"/>
    </row>
    <row r="386" spans="1:37" ht="14.25" customHeight="1" x14ac:dyDescent="0.45">
      <c r="A386" s="618"/>
      <c r="B386" s="618">
        <v>5</v>
      </c>
      <c r="C386" s="495" t="s">
        <v>958</v>
      </c>
      <c r="D386" s="618"/>
      <c r="E386" s="618"/>
      <c r="F386" s="618"/>
      <c r="G386" s="618"/>
      <c r="H386" s="618"/>
      <c r="I386" s="618"/>
      <c r="J386" s="618"/>
      <c r="K386" s="618"/>
      <c r="L386" s="618"/>
      <c r="M386" s="618"/>
      <c r="N386" s="618"/>
      <c r="O386" s="618"/>
      <c r="P386" s="618"/>
      <c r="Q386" s="618"/>
      <c r="R386" s="618"/>
      <c r="S386" s="618"/>
      <c r="T386" s="618"/>
      <c r="U386" s="618"/>
      <c r="V386" s="618"/>
      <c r="W386" s="618"/>
      <c r="X386" s="618"/>
      <c r="Y386" s="618"/>
      <c r="Z386" s="618"/>
      <c r="AA386" s="618"/>
      <c r="AB386" s="618"/>
      <c r="AC386" s="618"/>
      <c r="AD386" s="618"/>
      <c r="AE386" s="618"/>
      <c r="AF386" s="618"/>
      <c r="AG386" s="618"/>
      <c r="AH386" s="618"/>
      <c r="AI386" s="618"/>
      <c r="AJ386" s="618"/>
      <c r="AK386" s="618"/>
    </row>
    <row r="387" spans="1:37" ht="14.25" customHeight="1" x14ac:dyDescent="0.45">
      <c r="A387" s="618"/>
      <c r="B387" s="618">
        <v>6</v>
      </c>
      <c r="C387" s="5" t="s">
        <v>959</v>
      </c>
      <c r="D387" s="17">
        <v>2018</v>
      </c>
      <c r="E387" s="17">
        <v>2019</v>
      </c>
      <c r="F387" s="17">
        <v>2020</v>
      </c>
      <c r="G387" s="17">
        <v>2021</v>
      </c>
      <c r="H387" s="618"/>
      <c r="I387" s="618"/>
      <c r="J387" s="618"/>
      <c r="K387" s="618"/>
      <c r="L387" s="618"/>
      <c r="M387" s="618"/>
      <c r="N387" s="618"/>
      <c r="O387" s="618"/>
      <c r="P387" s="618"/>
      <c r="Q387" s="618"/>
      <c r="R387" s="618"/>
      <c r="S387" s="618"/>
      <c r="T387" s="618"/>
      <c r="U387" s="618"/>
      <c r="V387" s="618"/>
      <c r="W387" s="618"/>
      <c r="X387" s="618"/>
      <c r="Y387" s="618"/>
      <c r="Z387" s="618"/>
      <c r="AA387" s="618"/>
      <c r="AB387" s="618"/>
      <c r="AC387" s="618"/>
      <c r="AD387" s="618"/>
      <c r="AE387" s="618"/>
      <c r="AF387" s="618"/>
      <c r="AG387" s="618"/>
      <c r="AH387" s="618"/>
      <c r="AI387" s="618"/>
      <c r="AJ387" s="618"/>
      <c r="AK387" s="618"/>
    </row>
    <row r="388" spans="1:37" ht="14.25" customHeight="1" x14ac:dyDescent="0.45">
      <c r="A388" s="618"/>
      <c r="B388" s="618">
        <v>7</v>
      </c>
      <c r="C388" s="421" t="s">
        <v>960</v>
      </c>
      <c r="D388" s="1"/>
      <c r="E388" s="1"/>
      <c r="F388" s="1"/>
      <c r="G388" s="1"/>
      <c r="H388" s="618"/>
      <c r="I388" s="618"/>
      <c r="J388" s="618"/>
      <c r="K388" s="618"/>
      <c r="L388" s="618"/>
      <c r="M388" s="618"/>
      <c r="N388" s="618"/>
      <c r="O388" s="618"/>
      <c r="P388" s="618"/>
      <c r="Q388" s="618"/>
      <c r="R388" s="618"/>
      <c r="S388" s="618"/>
      <c r="T388" s="618"/>
      <c r="U388" s="618"/>
      <c r="V388" s="618"/>
      <c r="W388" s="618"/>
      <c r="X388" s="618"/>
      <c r="Y388" s="618"/>
      <c r="Z388" s="618"/>
      <c r="AA388" s="618"/>
      <c r="AB388" s="618"/>
      <c r="AC388" s="618"/>
      <c r="AD388" s="618"/>
      <c r="AE388" s="618"/>
      <c r="AF388" s="618"/>
      <c r="AG388" s="618"/>
      <c r="AH388" s="618"/>
      <c r="AI388" s="618"/>
      <c r="AJ388" s="618"/>
      <c r="AK388" s="618"/>
    </row>
    <row r="389" spans="1:37" ht="14.25" customHeight="1" x14ac:dyDescent="0.45">
      <c r="A389" s="618"/>
      <c r="B389" s="618">
        <v>8</v>
      </c>
      <c r="C389" s="506" t="s">
        <v>961</v>
      </c>
      <c r="D389" s="618"/>
      <c r="E389" s="618"/>
      <c r="F389" s="618"/>
      <c r="G389" s="618"/>
      <c r="H389" s="618"/>
      <c r="I389" s="618"/>
      <c r="J389" s="618"/>
      <c r="K389" s="618"/>
      <c r="L389" s="618"/>
      <c r="M389" s="618"/>
      <c r="N389" s="618"/>
      <c r="O389" s="618"/>
      <c r="P389" s="618"/>
      <c r="Q389" s="618"/>
      <c r="R389" s="618"/>
      <c r="S389" s="618"/>
      <c r="T389" s="618"/>
      <c r="U389" s="618"/>
      <c r="V389" s="618"/>
      <c r="W389" s="618"/>
      <c r="X389" s="618"/>
      <c r="Y389" s="618"/>
      <c r="Z389" s="618"/>
      <c r="AA389" s="618"/>
      <c r="AB389" s="618"/>
      <c r="AC389" s="618"/>
      <c r="AD389" s="618"/>
      <c r="AE389" s="618"/>
      <c r="AF389" s="618"/>
      <c r="AG389" s="618"/>
      <c r="AH389" s="618"/>
      <c r="AI389" s="618"/>
      <c r="AJ389" s="618"/>
      <c r="AK389" s="618"/>
    </row>
    <row r="390" spans="1:37" ht="14.25" customHeight="1" x14ac:dyDescent="0.45">
      <c r="A390" s="618"/>
      <c r="B390" s="618">
        <v>9</v>
      </c>
      <c r="C390" s="495" t="s">
        <v>962</v>
      </c>
      <c r="D390" s="618"/>
      <c r="E390" s="618"/>
      <c r="F390" s="618"/>
      <c r="G390" s="618"/>
      <c r="H390" s="618"/>
      <c r="I390" s="618"/>
      <c r="J390" s="618"/>
      <c r="K390" s="618"/>
      <c r="L390" s="618"/>
      <c r="M390" s="618"/>
      <c r="N390" s="618"/>
      <c r="O390" s="618"/>
      <c r="P390" s="618"/>
      <c r="Q390" s="618"/>
      <c r="R390" s="618"/>
      <c r="S390" s="618"/>
      <c r="T390" s="618"/>
      <c r="U390" s="618"/>
      <c r="V390" s="618"/>
      <c r="W390" s="618"/>
      <c r="X390" s="618"/>
      <c r="Y390" s="618"/>
      <c r="Z390" s="618"/>
      <c r="AA390" s="618"/>
      <c r="AB390" s="618"/>
      <c r="AC390" s="618"/>
      <c r="AD390" s="618"/>
      <c r="AE390" s="618"/>
      <c r="AF390" s="618"/>
      <c r="AG390" s="618"/>
      <c r="AH390" s="618"/>
      <c r="AI390" s="618"/>
      <c r="AJ390" s="618"/>
      <c r="AK390" s="618"/>
    </row>
    <row r="391" spans="1:37" ht="14.25" customHeight="1" x14ac:dyDescent="0.45">
      <c r="A391" s="618"/>
      <c r="B391" s="618">
        <v>10</v>
      </c>
      <c r="C391" s="5" t="s">
        <v>963</v>
      </c>
      <c r="D391" s="618"/>
      <c r="E391" s="618"/>
      <c r="F391" s="618"/>
      <c r="G391" s="618"/>
      <c r="H391" s="618"/>
      <c r="I391" s="618"/>
      <c r="J391" s="618"/>
      <c r="K391" s="618"/>
      <c r="L391" s="618"/>
      <c r="M391" s="618"/>
      <c r="N391" s="618"/>
      <c r="O391" s="618"/>
      <c r="P391" s="618"/>
      <c r="Q391" s="618"/>
      <c r="R391" s="618"/>
      <c r="S391" s="618"/>
      <c r="T391" s="618"/>
      <c r="U391" s="618"/>
      <c r="V391" s="618"/>
      <c r="W391" s="618"/>
      <c r="X391" s="618"/>
      <c r="Y391" s="618"/>
      <c r="Z391" s="618"/>
      <c r="AA391" s="618"/>
      <c r="AB391" s="618"/>
      <c r="AC391" s="618"/>
      <c r="AD391" s="618"/>
      <c r="AE391" s="618"/>
      <c r="AF391" s="618"/>
      <c r="AG391" s="618"/>
      <c r="AH391" s="618"/>
      <c r="AI391" s="618"/>
      <c r="AJ391" s="618"/>
      <c r="AK391" s="618"/>
    </row>
    <row r="392" spans="1:37" ht="14.25" customHeight="1" x14ac:dyDescent="0.45">
      <c r="A392" s="618"/>
      <c r="B392" s="618">
        <v>11</v>
      </c>
      <c r="C392" s="528" t="s">
        <v>964</v>
      </c>
      <c r="D392" s="618"/>
      <c r="E392" s="618"/>
      <c r="F392" s="618"/>
      <c r="G392" s="618"/>
      <c r="H392" s="618"/>
      <c r="I392" s="618"/>
      <c r="J392" s="618"/>
      <c r="K392" s="618"/>
      <c r="L392" s="618"/>
      <c r="M392" s="618"/>
      <c r="N392" s="618"/>
      <c r="O392" s="618"/>
      <c r="P392" s="618"/>
      <c r="Q392" s="618"/>
      <c r="R392" s="618"/>
      <c r="S392" s="618"/>
      <c r="T392" s="618"/>
      <c r="U392" s="618"/>
      <c r="V392" s="618"/>
      <c r="W392" s="618"/>
      <c r="X392" s="618"/>
      <c r="Y392" s="618"/>
      <c r="Z392" s="618"/>
      <c r="AA392" s="618"/>
      <c r="AB392" s="618"/>
      <c r="AC392" s="618"/>
      <c r="AD392" s="618"/>
      <c r="AE392" s="618"/>
      <c r="AF392" s="618"/>
      <c r="AG392" s="618"/>
      <c r="AH392" s="618"/>
      <c r="AI392" s="618"/>
      <c r="AJ392" s="618"/>
      <c r="AK392" s="618"/>
    </row>
    <row r="393" spans="1:37" ht="14.25" customHeight="1" x14ac:dyDescent="0.45">
      <c r="A393" s="618"/>
      <c r="B393" s="618"/>
      <c r="C393" s="5"/>
      <c r="D393" s="618"/>
      <c r="E393" s="618"/>
      <c r="F393" s="618"/>
      <c r="G393" s="618"/>
      <c r="H393" s="618"/>
      <c r="I393" s="618"/>
      <c r="J393" s="618"/>
      <c r="K393" s="618"/>
      <c r="L393" s="618"/>
      <c r="M393" s="618"/>
      <c r="N393" s="618"/>
      <c r="O393" s="618"/>
      <c r="P393" s="618"/>
      <c r="Q393" s="618"/>
      <c r="R393" s="618"/>
      <c r="S393" s="618"/>
      <c r="T393" s="618"/>
      <c r="U393" s="618"/>
      <c r="V393" s="618"/>
      <c r="W393" s="618"/>
      <c r="X393" s="618"/>
      <c r="Y393" s="618"/>
      <c r="Z393" s="618"/>
      <c r="AA393" s="618"/>
      <c r="AB393" s="618"/>
      <c r="AC393" s="618"/>
      <c r="AD393" s="618"/>
      <c r="AE393" s="618"/>
      <c r="AF393" s="618"/>
      <c r="AG393" s="618"/>
      <c r="AH393" s="618"/>
      <c r="AI393" s="618"/>
      <c r="AJ393" s="618"/>
      <c r="AK393" s="618"/>
    </row>
    <row r="394" spans="1:37" ht="14.25" customHeight="1" x14ac:dyDescent="0.45">
      <c r="A394" s="618"/>
      <c r="B394" s="618"/>
      <c r="C394" s="5" t="s">
        <v>965</v>
      </c>
      <c r="D394" s="618"/>
      <c r="E394" s="618"/>
      <c r="F394" s="618"/>
      <c r="G394" s="618"/>
      <c r="H394" s="618"/>
      <c r="I394" s="618"/>
      <c r="J394" s="618"/>
      <c r="K394" s="618"/>
      <c r="L394" s="618"/>
      <c r="M394" s="618"/>
      <c r="N394" s="618"/>
      <c r="O394" s="618"/>
      <c r="P394" s="618"/>
      <c r="Q394" s="618"/>
      <c r="R394" s="618"/>
      <c r="S394" s="618"/>
      <c r="T394" s="618"/>
      <c r="U394" s="618"/>
      <c r="V394" s="618"/>
      <c r="W394" s="618"/>
      <c r="X394" s="618"/>
      <c r="Y394" s="618"/>
      <c r="Z394" s="618"/>
      <c r="AA394" s="618"/>
      <c r="AB394" s="618"/>
      <c r="AC394" s="618"/>
      <c r="AD394" s="618"/>
      <c r="AE394" s="618"/>
      <c r="AF394" s="618"/>
      <c r="AG394" s="618"/>
      <c r="AH394" s="618"/>
      <c r="AI394" s="618"/>
      <c r="AJ394" s="618"/>
      <c r="AK394" s="618"/>
    </row>
    <row r="395" spans="1:37" ht="14.25" customHeight="1" x14ac:dyDescent="0.45">
      <c r="A395" s="618"/>
      <c r="B395" s="618"/>
      <c r="C395" s="5"/>
      <c r="D395" s="618"/>
      <c r="E395" s="618"/>
      <c r="F395" s="618"/>
      <c r="G395" s="618"/>
      <c r="H395" s="618"/>
      <c r="I395" s="618"/>
      <c r="J395" s="618"/>
      <c r="K395" s="618"/>
      <c r="L395" s="618"/>
      <c r="M395" s="618"/>
      <c r="N395" s="618"/>
      <c r="O395" s="618"/>
      <c r="P395" s="618"/>
      <c r="Q395" s="618"/>
      <c r="R395" s="618"/>
      <c r="S395" s="618"/>
      <c r="T395" s="618"/>
      <c r="U395" s="618"/>
      <c r="V395" s="618"/>
      <c r="W395" s="618"/>
      <c r="X395" s="618"/>
      <c r="Y395" s="618"/>
      <c r="Z395" s="618"/>
      <c r="AA395" s="618"/>
      <c r="AB395" s="618"/>
      <c r="AC395" s="618"/>
      <c r="AD395" s="618"/>
      <c r="AE395" s="618"/>
      <c r="AF395" s="618"/>
      <c r="AG395" s="618"/>
      <c r="AH395" s="618"/>
      <c r="AI395" s="618"/>
      <c r="AJ395" s="618"/>
      <c r="AK395" s="618"/>
    </row>
    <row r="396" spans="1:37" ht="14.25" customHeight="1" x14ac:dyDescent="0.45">
      <c r="A396" s="618"/>
      <c r="B396" s="618"/>
      <c r="C396" s="507" t="s">
        <v>966</v>
      </c>
      <c r="D396" s="508" t="s">
        <v>967</v>
      </c>
      <c r="E396" s="508" t="s">
        <v>968</v>
      </c>
      <c r="F396" s="508" t="s">
        <v>969</v>
      </c>
      <c r="G396" s="508" t="s">
        <v>970</v>
      </c>
      <c r="H396" s="508" t="s">
        <v>971</v>
      </c>
      <c r="I396" s="618"/>
      <c r="J396" s="618"/>
      <c r="K396" s="618"/>
      <c r="L396" s="618"/>
      <c r="M396" s="618"/>
      <c r="N396" s="618"/>
      <c r="O396" s="618"/>
      <c r="P396" s="618"/>
      <c r="Q396" s="618"/>
      <c r="R396" s="618"/>
      <c r="S396" s="618"/>
      <c r="T396" s="618"/>
      <c r="U396" s="618"/>
      <c r="V396" s="618"/>
      <c r="W396" s="618"/>
      <c r="X396" s="618"/>
      <c r="Y396" s="618"/>
      <c r="Z396" s="618"/>
      <c r="AA396" s="618"/>
      <c r="AB396" s="618"/>
      <c r="AC396" s="618"/>
      <c r="AD396" s="618"/>
      <c r="AE396" s="618"/>
      <c r="AF396" s="618"/>
      <c r="AG396" s="618"/>
      <c r="AH396" s="618"/>
      <c r="AI396" s="618"/>
      <c r="AJ396" s="618"/>
      <c r="AK396" s="618"/>
    </row>
    <row r="397" spans="1:37" ht="14.25" customHeight="1" x14ac:dyDescent="0.45">
      <c r="A397" s="618"/>
      <c r="B397" s="618"/>
      <c r="C397" s="509">
        <v>2020</v>
      </c>
      <c r="D397" s="510" t="s">
        <v>972</v>
      </c>
      <c r="E397" s="511" t="s">
        <v>973</v>
      </c>
      <c r="F397" s="510" t="s">
        <v>175</v>
      </c>
      <c r="G397" s="512">
        <v>5.95</v>
      </c>
      <c r="H397" s="510" t="s">
        <v>974</v>
      </c>
      <c r="I397" s="618"/>
      <c r="J397" s="618"/>
      <c r="K397" s="618"/>
      <c r="L397" s="618"/>
      <c r="M397" s="618"/>
      <c r="N397" s="618"/>
      <c r="O397" s="618"/>
      <c r="P397" s="618"/>
      <c r="Q397" s="618"/>
      <c r="R397" s="618"/>
      <c r="S397" s="618"/>
      <c r="T397" s="618"/>
      <c r="U397" s="618"/>
      <c r="V397" s="618"/>
      <c r="W397" s="618"/>
      <c r="X397" s="618"/>
      <c r="Y397" s="618"/>
      <c r="Z397" s="618"/>
      <c r="AA397" s="618"/>
      <c r="AB397" s="618"/>
      <c r="AC397" s="618"/>
      <c r="AD397" s="618"/>
      <c r="AE397" s="618"/>
      <c r="AF397" s="618"/>
      <c r="AG397" s="618"/>
      <c r="AH397" s="618"/>
      <c r="AI397" s="618"/>
      <c r="AJ397" s="618"/>
      <c r="AK397" s="618"/>
    </row>
    <row r="398" spans="1:37" ht="14.25" customHeight="1" x14ac:dyDescent="0.45">
      <c r="A398" s="618"/>
      <c r="B398" s="618"/>
      <c r="C398" s="509">
        <v>2021</v>
      </c>
      <c r="D398" s="510" t="s">
        <v>975</v>
      </c>
      <c r="E398" s="510" t="s">
        <v>976</v>
      </c>
      <c r="F398" s="510" t="s">
        <v>175</v>
      </c>
      <c r="G398" s="512">
        <v>7.59</v>
      </c>
      <c r="H398" s="510" t="s">
        <v>974</v>
      </c>
      <c r="I398" s="618"/>
      <c r="J398" s="618"/>
      <c r="K398" s="618"/>
      <c r="L398" s="618"/>
      <c r="M398" s="618"/>
      <c r="N398" s="618"/>
      <c r="O398" s="618"/>
      <c r="P398" s="618"/>
      <c r="Q398" s="618"/>
      <c r="R398" s="618"/>
      <c r="S398" s="618"/>
      <c r="T398" s="618"/>
      <c r="U398" s="618"/>
      <c r="V398" s="618"/>
      <c r="W398" s="618"/>
      <c r="X398" s="618"/>
      <c r="Y398" s="618"/>
      <c r="Z398" s="618"/>
      <c r="AA398" s="618"/>
      <c r="AB398" s="618"/>
      <c r="AC398" s="618"/>
      <c r="AD398" s="618"/>
      <c r="AE398" s="618"/>
      <c r="AF398" s="618"/>
      <c r="AG398" s="618"/>
      <c r="AH398" s="618"/>
      <c r="AI398" s="618"/>
      <c r="AJ398" s="618"/>
      <c r="AK398" s="618"/>
    </row>
    <row r="399" spans="1:37" ht="14.25" customHeight="1" x14ac:dyDescent="0.45">
      <c r="A399" s="618"/>
      <c r="B399" s="618"/>
      <c r="C399" s="509">
        <v>2021</v>
      </c>
      <c r="D399" s="510" t="s">
        <v>977</v>
      </c>
      <c r="E399" s="511" t="s">
        <v>978</v>
      </c>
      <c r="F399" s="510" t="s">
        <v>175</v>
      </c>
      <c r="G399" s="512">
        <v>49</v>
      </c>
      <c r="H399" s="510" t="s">
        <v>974</v>
      </c>
      <c r="I399" s="618"/>
      <c r="J399" s="618"/>
      <c r="K399" s="618"/>
      <c r="L399" s="618"/>
      <c r="M399" s="618"/>
      <c r="N399" s="618"/>
      <c r="O399" s="618"/>
      <c r="P399" s="618"/>
      <c r="Q399" s="618"/>
      <c r="R399" s="618"/>
      <c r="S399" s="618"/>
      <c r="T399" s="618"/>
      <c r="U399" s="618"/>
      <c r="V399" s="618"/>
      <c r="W399" s="618"/>
      <c r="X399" s="618"/>
      <c r="Y399" s="618"/>
      <c r="Z399" s="618"/>
      <c r="AA399" s="618"/>
      <c r="AB399" s="618"/>
      <c r="AC399" s="618"/>
      <c r="AD399" s="618"/>
      <c r="AE399" s="618"/>
      <c r="AF399" s="618"/>
      <c r="AG399" s="618"/>
      <c r="AH399" s="618"/>
      <c r="AI399" s="618"/>
      <c r="AJ399" s="618"/>
      <c r="AK399" s="618"/>
    </row>
    <row r="400" spans="1:37" ht="14.25" customHeight="1" x14ac:dyDescent="0.45">
      <c r="A400" s="618"/>
      <c r="B400" s="618"/>
      <c r="C400" s="509">
        <v>2021</v>
      </c>
      <c r="D400" s="510" t="s">
        <v>979</v>
      </c>
      <c r="E400" s="510" t="s">
        <v>359</v>
      </c>
      <c r="F400" s="510"/>
      <c r="G400" s="512">
        <v>50</v>
      </c>
      <c r="H400" s="510"/>
      <c r="I400" s="618"/>
      <c r="J400" s="618"/>
      <c r="K400" s="618"/>
      <c r="L400" s="618"/>
      <c r="M400" s="618"/>
      <c r="N400" s="618"/>
      <c r="O400" s="618"/>
      <c r="P400" s="618"/>
      <c r="Q400" s="618"/>
      <c r="R400" s="618"/>
      <c r="S400" s="618"/>
      <c r="T400" s="618"/>
      <c r="U400" s="618"/>
      <c r="V400" s="618"/>
      <c r="W400" s="618"/>
      <c r="X400" s="618"/>
      <c r="Y400" s="618"/>
      <c r="Z400" s="618"/>
      <c r="AA400" s="618"/>
      <c r="AB400" s="618"/>
      <c r="AC400" s="618"/>
      <c r="AD400" s="618"/>
      <c r="AE400" s="618"/>
      <c r="AF400" s="618"/>
      <c r="AG400" s="618"/>
      <c r="AH400" s="618"/>
      <c r="AI400" s="618"/>
      <c r="AJ400" s="618"/>
      <c r="AK400" s="618"/>
    </row>
    <row r="401" spans="1:37" ht="14.25" customHeight="1" x14ac:dyDescent="0.45">
      <c r="A401" s="618"/>
      <c r="B401" s="618"/>
      <c r="C401" s="509">
        <v>2021</v>
      </c>
      <c r="D401" s="510" t="s">
        <v>980</v>
      </c>
      <c r="E401" s="511" t="s">
        <v>978</v>
      </c>
      <c r="F401" s="510" t="s">
        <v>175</v>
      </c>
      <c r="G401" s="512">
        <v>205.4</v>
      </c>
      <c r="H401" s="510" t="s">
        <v>981</v>
      </c>
      <c r="I401" s="618"/>
      <c r="J401" s="618"/>
      <c r="K401" s="618"/>
      <c r="L401" s="618"/>
      <c r="M401" s="618"/>
      <c r="N401" s="618"/>
      <c r="O401" s="618"/>
      <c r="P401" s="618"/>
      <c r="Q401" s="618"/>
      <c r="R401" s="618"/>
      <c r="S401" s="618"/>
      <c r="T401" s="618"/>
      <c r="U401" s="618"/>
      <c r="V401" s="618"/>
      <c r="W401" s="618"/>
      <c r="X401" s="618"/>
      <c r="Y401" s="618"/>
      <c r="Z401" s="618"/>
      <c r="AA401" s="618"/>
      <c r="AB401" s="618"/>
      <c r="AC401" s="618"/>
      <c r="AD401" s="618"/>
      <c r="AE401" s="618"/>
      <c r="AF401" s="618"/>
      <c r="AG401" s="618"/>
      <c r="AH401" s="618"/>
      <c r="AI401" s="618"/>
      <c r="AJ401" s="618"/>
      <c r="AK401" s="618"/>
    </row>
    <row r="402" spans="1:37" ht="14.25" customHeight="1" x14ac:dyDescent="0.45">
      <c r="A402" s="618"/>
      <c r="B402" s="618"/>
      <c r="C402" s="509">
        <v>2022</v>
      </c>
      <c r="D402" s="510" t="s">
        <v>982</v>
      </c>
      <c r="E402" s="510" t="s">
        <v>287</v>
      </c>
      <c r="F402" s="510"/>
      <c r="G402" s="512">
        <v>200</v>
      </c>
      <c r="H402" s="510"/>
      <c r="I402" s="618"/>
      <c r="J402" s="618"/>
      <c r="K402" s="618"/>
      <c r="L402" s="618"/>
      <c r="M402" s="618"/>
      <c r="N402" s="618"/>
      <c r="O402" s="618"/>
      <c r="P402" s="618"/>
      <c r="Q402" s="618"/>
      <c r="R402" s="618"/>
      <c r="S402" s="618"/>
      <c r="T402" s="618"/>
      <c r="U402" s="618"/>
      <c r="V402" s="618"/>
      <c r="W402" s="618"/>
      <c r="X402" s="618"/>
      <c r="Y402" s="618"/>
      <c r="Z402" s="618"/>
      <c r="AA402" s="618"/>
      <c r="AB402" s="618"/>
      <c r="AC402" s="618"/>
      <c r="AD402" s="618"/>
      <c r="AE402" s="618"/>
      <c r="AF402" s="618"/>
      <c r="AG402" s="618"/>
      <c r="AH402" s="618"/>
      <c r="AI402" s="618"/>
      <c r="AJ402" s="618"/>
      <c r="AK402" s="618"/>
    </row>
    <row r="403" spans="1:37" ht="14.25" customHeight="1" x14ac:dyDescent="0.45">
      <c r="A403" s="618"/>
      <c r="B403" s="618"/>
      <c r="C403" s="509">
        <v>2022</v>
      </c>
      <c r="D403" s="510" t="s">
        <v>983</v>
      </c>
      <c r="E403" s="511" t="s">
        <v>973</v>
      </c>
      <c r="F403" s="510" t="s">
        <v>174</v>
      </c>
      <c r="G403" s="512">
        <v>30</v>
      </c>
      <c r="H403" s="510" t="s">
        <v>974</v>
      </c>
      <c r="I403" s="618"/>
      <c r="J403" s="618"/>
      <c r="K403" s="618"/>
      <c r="L403" s="618"/>
      <c r="M403" s="618"/>
      <c r="N403" s="618"/>
      <c r="O403" s="618"/>
      <c r="P403" s="618"/>
      <c r="Q403" s="618"/>
      <c r="R403" s="618"/>
      <c r="S403" s="618"/>
      <c r="T403" s="618"/>
      <c r="U403" s="618"/>
      <c r="V403" s="618"/>
      <c r="W403" s="618"/>
      <c r="X403" s="618"/>
      <c r="Y403" s="618"/>
      <c r="Z403" s="618"/>
      <c r="AA403" s="618"/>
      <c r="AB403" s="618"/>
      <c r="AC403" s="618"/>
      <c r="AD403" s="618"/>
      <c r="AE403" s="618"/>
      <c r="AF403" s="618"/>
      <c r="AG403" s="618"/>
      <c r="AH403" s="618"/>
      <c r="AI403" s="618"/>
      <c r="AJ403" s="618"/>
      <c r="AK403" s="618"/>
    </row>
    <row r="404" spans="1:37" ht="14.25" customHeight="1" x14ac:dyDescent="0.45">
      <c r="A404" s="618"/>
      <c r="B404" s="618"/>
      <c r="C404" s="509">
        <v>2022</v>
      </c>
      <c r="D404" s="510" t="s">
        <v>984</v>
      </c>
      <c r="E404" s="511" t="s">
        <v>973</v>
      </c>
      <c r="F404" s="510" t="s">
        <v>174</v>
      </c>
      <c r="G404" s="512">
        <v>7.19</v>
      </c>
      <c r="H404" s="510" t="s">
        <v>974</v>
      </c>
      <c r="I404" s="618"/>
      <c r="J404" s="618"/>
      <c r="K404" s="618"/>
      <c r="L404" s="618"/>
      <c r="M404" s="618"/>
      <c r="N404" s="618"/>
      <c r="O404" s="618"/>
      <c r="P404" s="618"/>
      <c r="Q404" s="618"/>
      <c r="R404" s="618"/>
      <c r="S404" s="618"/>
      <c r="T404" s="618"/>
      <c r="U404" s="618"/>
      <c r="V404" s="618"/>
      <c r="W404" s="618"/>
      <c r="X404" s="618"/>
      <c r="Y404" s="618"/>
      <c r="Z404" s="618"/>
      <c r="AA404" s="618"/>
      <c r="AB404" s="618"/>
      <c r="AC404" s="618"/>
      <c r="AD404" s="618"/>
      <c r="AE404" s="618"/>
      <c r="AF404" s="618"/>
      <c r="AG404" s="618"/>
      <c r="AH404" s="618"/>
      <c r="AI404" s="618"/>
      <c r="AJ404" s="618"/>
      <c r="AK404" s="618"/>
    </row>
    <row r="405" spans="1:37" ht="14.25" customHeight="1" x14ac:dyDescent="0.45">
      <c r="A405" s="618"/>
      <c r="B405" s="618"/>
      <c r="C405" s="509">
        <v>2023</v>
      </c>
      <c r="D405" s="510" t="s">
        <v>985</v>
      </c>
      <c r="E405" s="510" t="s">
        <v>359</v>
      </c>
      <c r="F405" s="510"/>
      <c r="G405" s="512">
        <v>110</v>
      </c>
      <c r="H405" s="510"/>
      <c r="I405" s="618"/>
      <c r="J405" s="618"/>
      <c r="K405" s="618"/>
      <c r="L405" s="618"/>
      <c r="M405" s="618"/>
      <c r="N405" s="618"/>
      <c r="O405" s="618"/>
      <c r="P405" s="618"/>
      <c r="Q405" s="618"/>
      <c r="R405" s="618"/>
      <c r="S405" s="618"/>
      <c r="T405" s="618"/>
      <c r="U405" s="618"/>
      <c r="V405" s="618"/>
      <c r="W405" s="618"/>
      <c r="X405" s="618"/>
      <c r="Y405" s="618"/>
      <c r="Z405" s="618"/>
      <c r="AA405" s="618"/>
      <c r="AB405" s="618"/>
      <c r="AC405" s="618"/>
      <c r="AD405" s="618"/>
      <c r="AE405" s="618"/>
      <c r="AF405" s="618"/>
      <c r="AG405" s="618"/>
      <c r="AH405" s="618"/>
      <c r="AI405" s="618"/>
      <c r="AJ405" s="618"/>
      <c r="AK405" s="618"/>
    </row>
    <row r="406" spans="1:37" ht="14.25" customHeight="1" x14ac:dyDescent="0.45">
      <c r="A406" s="618"/>
      <c r="B406" s="618"/>
      <c r="C406" s="509">
        <v>2023</v>
      </c>
      <c r="D406" s="510" t="s">
        <v>986</v>
      </c>
      <c r="E406" s="510" t="s">
        <v>976</v>
      </c>
      <c r="F406" s="510" t="s">
        <v>175</v>
      </c>
      <c r="G406" s="512">
        <v>9</v>
      </c>
      <c r="H406" s="510" t="s">
        <v>974</v>
      </c>
      <c r="I406" s="618"/>
      <c r="J406" s="618"/>
      <c r="K406" s="618"/>
      <c r="L406" s="618"/>
      <c r="M406" s="618"/>
      <c r="N406" s="618"/>
      <c r="O406" s="618"/>
      <c r="P406" s="618"/>
      <c r="Q406" s="618"/>
      <c r="R406" s="618"/>
      <c r="S406" s="618"/>
      <c r="T406" s="618"/>
      <c r="U406" s="618"/>
      <c r="V406" s="618"/>
      <c r="W406" s="618"/>
      <c r="X406" s="618"/>
      <c r="Y406" s="618"/>
      <c r="Z406" s="618"/>
      <c r="AA406" s="618"/>
      <c r="AB406" s="618"/>
      <c r="AC406" s="618"/>
      <c r="AD406" s="618"/>
      <c r="AE406" s="618"/>
      <c r="AF406" s="618"/>
      <c r="AG406" s="618"/>
      <c r="AH406" s="618"/>
      <c r="AI406" s="618"/>
      <c r="AJ406" s="618"/>
      <c r="AK406" s="618"/>
    </row>
    <row r="407" spans="1:37" ht="14.25" customHeight="1" x14ac:dyDescent="0.45">
      <c r="A407" s="618"/>
      <c r="B407" s="618"/>
      <c r="C407" s="509">
        <v>2024</v>
      </c>
      <c r="D407" s="510" t="s">
        <v>987</v>
      </c>
      <c r="E407" s="510" t="s">
        <v>976</v>
      </c>
      <c r="F407" s="510" t="s">
        <v>175</v>
      </c>
      <c r="G407" s="512">
        <v>20</v>
      </c>
      <c r="H407" s="510" t="s">
        <v>974</v>
      </c>
      <c r="I407" s="618"/>
      <c r="J407" s="618"/>
      <c r="K407" s="618"/>
      <c r="L407" s="618"/>
      <c r="M407" s="618"/>
      <c r="N407" s="618"/>
      <c r="O407" s="618"/>
      <c r="P407" s="618"/>
      <c r="Q407" s="618"/>
      <c r="R407" s="618"/>
      <c r="S407" s="618"/>
      <c r="T407" s="618"/>
      <c r="U407" s="618"/>
      <c r="V407" s="618"/>
      <c r="W407" s="618"/>
      <c r="X407" s="618"/>
      <c r="Y407" s="618"/>
      <c r="Z407" s="618"/>
      <c r="AA407" s="618"/>
      <c r="AB407" s="618"/>
      <c r="AC407" s="618"/>
      <c r="AD407" s="618"/>
      <c r="AE407" s="618"/>
      <c r="AF407" s="618"/>
      <c r="AG407" s="618"/>
      <c r="AH407" s="618"/>
      <c r="AI407" s="618"/>
      <c r="AJ407" s="618"/>
      <c r="AK407" s="618"/>
    </row>
    <row r="408" spans="1:37" ht="14.25" customHeight="1" x14ac:dyDescent="0.45">
      <c r="A408" s="618"/>
      <c r="B408" s="618"/>
      <c r="C408" s="509">
        <v>2024</v>
      </c>
      <c r="D408" s="510" t="s">
        <v>988</v>
      </c>
      <c r="E408" s="511" t="s">
        <v>973</v>
      </c>
      <c r="F408" s="510" t="s">
        <v>174</v>
      </c>
      <c r="G408" s="512">
        <v>7.38</v>
      </c>
      <c r="H408" s="510" t="s">
        <v>974</v>
      </c>
      <c r="I408" s="618"/>
      <c r="J408" s="618"/>
      <c r="K408" s="618"/>
      <c r="L408" s="618"/>
      <c r="M408" s="618"/>
      <c r="N408" s="618"/>
      <c r="O408" s="618"/>
      <c r="P408" s="618"/>
      <c r="Q408" s="618"/>
      <c r="R408" s="618"/>
      <c r="S408" s="618"/>
      <c r="T408" s="618"/>
      <c r="U408" s="618"/>
      <c r="V408" s="618"/>
      <c r="W408" s="618"/>
      <c r="X408" s="618"/>
      <c r="Y408" s="618"/>
      <c r="Z408" s="618"/>
      <c r="AA408" s="618"/>
      <c r="AB408" s="618"/>
      <c r="AC408" s="618"/>
      <c r="AD408" s="618"/>
      <c r="AE408" s="618"/>
      <c r="AF408" s="618"/>
      <c r="AG408" s="618"/>
      <c r="AH408" s="618"/>
      <c r="AI408" s="618"/>
      <c r="AJ408" s="618"/>
      <c r="AK408" s="618"/>
    </row>
    <row r="409" spans="1:37" ht="14.25" customHeight="1" x14ac:dyDescent="0.45">
      <c r="A409" s="618"/>
      <c r="B409" s="618"/>
      <c r="C409" s="509">
        <v>2024</v>
      </c>
      <c r="D409" s="510" t="s">
        <v>989</v>
      </c>
      <c r="E409" s="510" t="s">
        <v>990</v>
      </c>
      <c r="F409" s="510"/>
      <c r="G409" s="512">
        <v>110</v>
      </c>
      <c r="H409" s="510"/>
      <c r="I409" s="618"/>
      <c r="J409" s="618"/>
      <c r="K409" s="618"/>
      <c r="L409" s="618"/>
      <c r="M409" s="618"/>
      <c r="N409" s="618"/>
      <c r="O409" s="618"/>
      <c r="P409" s="618"/>
      <c r="Q409" s="618"/>
      <c r="R409" s="618"/>
      <c r="S409" s="618"/>
      <c r="T409" s="618"/>
      <c r="U409" s="618"/>
      <c r="V409" s="618"/>
      <c r="W409" s="618"/>
      <c r="X409" s="618"/>
      <c r="Y409" s="618"/>
      <c r="Z409" s="618"/>
      <c r="AA409" s="618"/>
      <c r="AB409" s="618"/>
      <c r="AC409" s="618"/>
      <c r="AD409" s="618"/>
      <c r="AE409" s="618"/>
      <c r="AF409" s="618"/>
      <c r="AG409" s="618"/>
      <c r="AH409" s="618"/>
      <c r="AI409" s="618"/>
      <c r="AJ409" s="618"/>
      <c r="AK409" s="618"/>
    </row>
    <row r="410" spans="1:37" ht="14.25" customHeight="1" x14ac:dyDescent="0.45">
      <c r="A410" s="618"/>
      <c r="B410" s="618"/>
      <c r="C410" s="509">
        <v>2024</v>
      </c>
      <c r="D410" s="510" t="s">
        <v>991</v>
      </c>
      <c r="E410" s="511" t="s">
        <v>978</v>
      </c>
      <c r="F410" s="510" t="s">
        <v>174</v>
      </c>
      <c r="G410" s="512">
        <v>7.2</v>
      </c>
      <c r="H410" s="510"/>
      <c r="I410" s="618"/>
      <c r="J410" s="618"/>
      <c r="K410" s="618"/>
      <c r="L410" s="618"/>
      <c r="M410" s="618"/>
      <c r="N410" s="618"/>
      <c r="O410" s="618"/>
      <c r="P410" s="618"/>
      <c r="Q410" s="618"/>
      <c r="R410" s="618"/>
      <c r="S410" s="618"/>
      <c r="T410" s="618"/>
      <c r="U410" s="618"/>
      <c r="V410" s="618"/>
      <c r="W410" s="618"/>
      <c r="X410" s="618"/>
      <c r="Y410" s="618"/>
      <c r="Z410" s="618"/>
      <c r="AA410" s="618"/>
      <c r="AB410" s="618"/>
      <c r="AC410" s="618"/>
      <c r="AD410" s="618"/>
      <c r="AE410" s="618"/>
      <c r="AF410" s="618"/>
      <c r="AG410" s="618"/>
      <c r="AH410" s="618"/>
      <c r="AI410" s="618"/>
      <c r="AJ410" s="618"/>
      <c r="AK410" s="618"/>
    </row>
    <row r="411" spans="1:37" ht="14.25" customHeight="1" x14ac:dyDescent="0.45">
      <c r="A411" s="618"/>
      <c r="B411" s="618"/>
      <c r="C411" s="509">
        <v>2024</v>
      </c>
      <c r="D411" s="510" t="s">
        <v>992</v>
      </c>
      <c r="E411" s="510" t="s">
        <v>976</v>
      </c>
      <c r="F411" s="510" t="s">
        <v>174</v>
      </c>
      <c r="G411" s="512">
        <v>4</v>
      </c>
      <c r="H411" s="510" t="s">
        <v>974</v>
      </c>
      <c r="I411" s="618"/>
      <c r="J411" s="618"/>
      <c r="K411" s="618"/>
      <c r="L411" s="618"/>
      <c r="M411" s="618"/>
      <c r="N411" s="618"/>
      <c r="O411" s="618"/>
      <c r="P411" s="618"/>
      <c r="Q411" s="618"/>
      <c r="R411" s="618"/>
      <c r="S411" s="618"/>
      <c r="T411" s="618"/>
      <c r="U411" s="618"/>
      <c r="V411" s="618"/>
      <c r="W411" s="618"/>
      <c r="X411" s="618"/>
      <c r="Y411" s="618"/>
      <c r="Z411" s="618"/>
      <c r="AA411" s="618"/>
      <c r="AB411" s="618"/>
      <c r="AC411" s="618"/>
      <c r="AD411" s="618"/>
      <c r="AE411" s="618"/>
      <c r="AF411" s="618"/>
      <c r="AG411" s="618"/>
      <c r="AH411" s="618"/>
      <c r="AI411" s="618"/>
      <c r="AJ411" s="618"/>
      <c r="AK411" s="618"/>
    </row>
    <row r="412" spans="1:37" ht="14.25" customHeight="1" x14ac:dyDescent="0.45">
      <c r="A412" s="618"/>
      <c r="B412" s="618"/>
      <c r="C412" s="509">
        <v>2024</v>
      </c>
      <c r="D412" s="510" t="s">
        <v>993</v>
      </c>
      <c r="E412" s="510" t="s">
        <v>976</v>
      </c>
      <c r="F412" s="510" t="s">
        <v>175</v>
      </c>
      <c r="G412" s="512">
        <v>30</v>
      </c>
      <c r="H412" s="510" t="s">
        <v>974</v>
      </c>
      <c r="I412" s="618"/>
      <c r="J412" s="618"/>
      <c r="K412" s="618"/>
      <c r="L412" s="618"/>
      <c r="M412" s="618"/>
      <c r="N412" s="618"/>
      <c r="O412" s="618"/>
      <c r="P412" s="618"/>
      <c r="Q412" s="618"/>
      <c r="R412" s="618"/>
      <c r="S412" s="618"/>
      <c r="T412" s="618"/>
      <c r="U412" s="618"/>
      <c r="V412" s="618"/>
      <c r="W412" s="618"/>
      <c r="X412" s="618"/>
      <c r="Y412" s="618"/>
      <c r="Z412" s="618"/>
      <c r="AA412" s="618"/>
      <c r="AB412" s="618"/>
      <c r="AC412" s="618"/>
      <c r="AD412" s="618"/>
      <c r="AE412" s="618"/>
      <c r="AF412" s="618"/>
      <c r="AG412" s="618"/>
      <c r="AH412" s="618"/>
      <c r="AI412" s="618"/>
      <c r="AJ412" s="618"/>
      <c r="AK412" s="618"/>
    </row>
    <row r="413" spans="1:37" ht="14.25" customHeight="1" x14ac:dyDescent="0.45">
      <c r="A413" s="618"/>
      <c r="B413" s="618"/>
      <c r="C413" s="509">
        <v>2024</v>
      </c>
      <c r="D413" s="510" t="s">
        <v>994</v>
      </c>
      <c r="E413" s="511" t="s">
        <v>978</v>
      </c>
      <c r="F413" s="510" t="s">
        <v>174</v>
      </c>
      <c r="G413" s="512">
        <v>14.6</v>
      </c>
      <c r="H413" s="510"/>
      <c r="I413" s="618"/>
      <c r="J413" s="618"/>
      <c r="K413" s="618"/>
      <c r="L413" s="618"/>
      <c r="M413" s="618"/>
      <c r="N413" s="618"/>
      <c r="O413" s="618"/>
      <c r="P413" s="618"/>
      <c r="Q413" s="618"/>
      <c r="R413" s="618"/>
      <c r="S413" s="618"/>
      <c r="T413" s="618"/>
      <c r="U413" s="618"/>
      <c r="V413" s="618"/>
      <c r="W413" s="618"/>
      <c r="X413" s="618"/>
      <c r="Y413" s="618"/>
      <c r="Z413" s="618"/>
      <c r="AA413" s="618"/>
      <c r="AB413" s="618"/>
      <c r="AC413" s="618"/>
      <c r="AD413" s="618"/>
      <c r="AE413" s="618"/>
      <c r="AF413" s="618"/>
      <c r="AG413" s="618"/>
      <c r="AH413" s="618"/>
      <c r="AI413" s="618"/>
      <c r="AJ413" s="618"/>
      <c r="AK413" s="618"/>
    </row>
    <row r="414" spans="1:37" ht="14.25" customHeight="1" x14ac:dyDescent="0.45">
      <c r="A414" s="618"/>
      <c r="B414" s="618"/>
      <c r="C414" s="509">
        <v>2024</v>
      </c>
      <c r="D414" s="510" t="s">
        <v>995</v>
      </c>
      <c r="E414" s="511" t="s">
        <v>996</v>
      </c>
      <c r="F414" s="510"/>
      <c r="G414" s="512">
        <v>500</v>
      </c>
      <c r="H414" s="510"/>
      <c r="I414" s="618"/>
      <c r="J414" s="618"/>
      <c r="K414" s="618"/>
      <c r="L414" s="618"/>
      <c r="M414" s="618"/>
      <c r="N414" s="618"/>
      <c r="O414" s="618"/>
      <c r="P414" s="618"/>
      <c r="Q414" s="618"/>
      <c r="R414" s="618"/>
      <c r="S414" s="618"/>
      <c r="T414" s="618"/>
      <c r="U414" s="618"/>
      <c r="V414" s="618"/>
      <c r="W414" s="618"/>
      <c r="X414" s="618"/>
      <c r="Y414" s="618"/>
      <c r="Z414" s="618"/>
      <c r="AA414" s="618"/>
      <c r="AB414" s="618"/>
      <c r="AC414" s="618"/>
      <c r="AD414" s="618"/>
      <c r="AE414" s="618"/>
      <c r="AF414" s="618"/>
      <c r="AG414" s="618"/>
      <c r="AH414" s="618"/>
      <c r="AI414" s="618"/>
      <c r="AJ414" s="618"/>
      <c r="AK414" s="618"/>
    </row>
    <row r="415" spans="1:37" ht="14.25" customHeight="1" x14ac:dyDescent="0.45">
      <c r="A415" s="618"/>
      <c r="B415" s="618"/>
      <c r="C415" s="509">
        <v>2025</v>
      </c>
      <c r="D415" s="510" t="s">
        <v>997</v>
      </c>
      <c r="E415" s="511" t="s">
        <v>973</v>
      </c>
      <c r="F415" s="510" t="s">
        <v>174</v>
      </c>
      <c r="G415" s="512">
        <v>50</v>
      </c>
      <c r="H415" s="510" t="s">
        <v>981</v>
      </c>
      <c r="I415" s="618"/>
      <c r="J415" s="618"/>
      <c r="K415" s="618"/>
      <c r="L415" s="618"/>
      <c r="M415" s="618"/>
      <c r="N415" s="618"/>
      <c r="O415" s="618"/>
      <c r="P415" s="618"/>
      <c r="Q415" s="618"/>
      <c r="R415" s="618"/>
      <c r="S415" s="618"/>
      <c r="T415" s="618"/>
      <c r="U415" s="618"/>
      <c r="V415" s="618"/>
      <c r="W415" s="618"/>
      <c r="X415" s="618"/>
      <c r="Y415" s="618"/>
      <c r="Z415" s="618"/>
      <c r="AA415" s="618"/>
      <c r="AB415" s="618"/>
      <c r="AC415" s="618"/>
      <c r="AD415" s="618"/>
      <c r="AE415" s="618"/>
      <c r="AF415" s="618"/>
      <c r="AG415" s="618"/>
      <c r="AH415" s="618"/>
      <c r="AI415" s="618"/>
      <c r="AJ415" s="618"/>
      <c r="AK415" s="618"/>
    </row>
    <row r="416" spans="1:37" ht="14.25" customHeight="1" x14ac:dyDescent="0.45">
      <c r="A416" s="618"/>
      <c r="B416" s="618"/>
      <c r="C416" s="509">
        <v>2025</v>
      </c>
      <c r="D416" s="510" t="s">
        <v>998</v>
      </c>
      <c r="E416" s="510" t="s">
        <v>996</v>
      </c>
      <c r="F416" s="510"/>
      <c r="G416" s="512">
        <v>500</v>
      </c>
      <c r="H416" s="510"/>
      <c r="I416" s="618"/>
      <c r="J416" s="618"/>
      <c r="K416" s="618"/>
      <c r="L416" s="618"/>
      <c r="M416" s="618"/>
      <c r="N416" s="618"/>
      <c r="O416" s="618"/>
      <c r="P416" s="618"/>
      <c r="Q416" s="618"/>
      <c r="R416" s="618"/>
      <c r="S416" s="618"/>
      <c r="T416" s="618"/>
      <c r="U416" s="618"/>
      <c r="V416" s="618"/>
      <c r="W416" s="618"/>
      <c r="X416" s="618"/>
      <c r="Y416" s="618"/>
      <c r="Z416" s="618"/>
      <c r="AA416" s="618"/>
      <c r="AB416" s="618"/>
      <c r="AC416" s="618"/>
      <c r="AD416" s="618"/>
      <c r="AE416" s="618"/>
      <c r="AF416" s="618"/>
      <c r="AG416" s="618"/>
      <c r="AH416" s="618"/>
      <c r="AI416" s="618"/>
      <c r="AJ416" s="618"/>
      <c r="AK416" s="618"/>
    </row>
    <row r="417" spans="1:37" ht="14.25" customHeight="1" x14ac:dyDescent="0.45">
      <c r="A417" s="618"/>
      <c r="B417" s="618"/>
      <c r="C417" s="509">
        <v>2026</v>
      </c>
      <c r="D417" s="510" t="s">
        <v>999</v>
      </c>
      <c r="E417" s="510" t="s">
        <v>1000</v>
      </c>
      <c r="F417" s="510"/>
      <c r="G417" s="512">
        <v>400</v>
      </c>
      <c r="H417" s="510"/>
      <c r="I417" s="618"/>
      <c r="J417" s="618"/>
      <c r="K417" s="618"/>
      <c r="L417" s="618"/>
      <c r="M417" s="618"/>
      <c r="N417" s="618"/>
      <c r="O417" s="618"/>
      <c r="P417" s="618"/>
      <c r="Q417" s="618"/>
      <c r="R417" s="618"/>
      <c r="S417" s="618"/>
      <c r="T417" s="618"/>
      <c r="U417" s="618"/>
      <c r="V417" s="618"/>
      <c r="W417" s="618"/>
      <c r="X417" s="618"/>
      <c r="Y417" s="618"/>
      <c r="Z417" s="618"/>
      <c r="AA417" s="618"/>
      <c r="AB417" s="618"/>
      <c r="AC417" s="618"/>
      <c r="AD417" s="618"/>
      <c r="AE417" s="618"/>
      <c r="AF417" s="618"/>
      <c r="AG417" s="618"/>
      <c r="AH417" s="618"/>
      <c r="AI417" s="618"/>
      <c r="AJ417" s="618"/>
      <c r="AK417" s="618"/>
    </row>
    <row r="418" spans="1:37" ht="14.25" customHeight="1" x14ac:dyDescent="0.45">
      <c r="A418" s="618"/>
      <c r="B418" s="618"/>
      <c r="C418" s="509">
        <v>2026</v>
      </c>
      <c r="D418" s="510" t="s">
        <v>1001</v>
      </c>
      <c r="E418" s="510" t="s">
        <v>996</v>
      </c>
      <c r="F418" s="510"/>
      <c r="G418" s="512">
        <v>120</v>
      </c>
      <c r="H418" s="510"/>
      <c r="I418" s="618"/>
      <c r="J418" s="618"/>
      <c r="K418" s="618"/>
      <c r="L418" s="618"/>
      <c r="M418" s="618"/>
      <c r="N418" s="618"/>
      <c r="O418" s="618"/>
      <c r="P418" s="618"/>
      <c r="Q418" s="618"/>
      <c r="R418" s="618"/>
      <c r="S418" s="618"/>
      <c r="T418" s="618"/>
      <c r="U418" s="618"/>
      <c r="V418" s="618"/>
      <c r="W418" s="618"/>
      <c r="X418" s="618"/>
      <c r="Y418" s="618"/>
      <c r="Z418" s="618"/>
      <c r="AA418" s="618"/>
      <c r="AB418" s="618"/>
      <c r="AC418" s="618"/>
      <c r="AD418" s="618"/>
      <c r="AE418" s="618"/>
      <c r="AF418" s="618"/>
      <c r="AG418" s="618"/>
      <c r="AH418" s="618"/>
      <c r="AI418" s="618"/>
      <c r="AJ418" s="618"/>
      <c r="AK418" s="618"/>
    </row>
    <row r="419" spans="1:37" ht="14.25" customHeight="1" x14ac:dyDescent="0.45">
      <c r="A419" s="618"/>
      <c r="B419" s="618"/>
      <c r="C419" s="509">
        <v>2028</v>
      </c>
      <c r="D419" s="510" t="s">
        <v>1002</v>
      </c>
      <c r="E419" s="510" t="s">
        <v>996</v>
      </c>
      <c r="F419" s="510"/>
      <c r="G419" s="512">
        <v>320</v>
      </c>
      <c r="H419" s="510"/>
      <c r="I419" s="618"/>
      <c r="J419" s="618"/>
      <c r="K419" s="618"/>
      <c r="L419" s="618"/>
      <c r="M419" s="618"/>
      <c r="N419" s="618"/>
      <c r="O419" s="618"/>
      <c r="P419" s="618"/>
      <c r="Q419" s="618"/>
      <c r="R419" s="618"/>
      <c r="S419" s="618"/>
      <c r="T419" s="618"/>
      <c r="U419" s="618"/>
      <c r="V419" s="618"/>
      <c r="W419" s="618"/>
      <c r="X419" s="618"/>
      <c r="Y419" s="618"/>
      <c r="Z419" s="618"/>
      <c r="AA419" s="618"/>
      <c r="AB419" s="618"/>
      <c r="AC419" s="618"/>
      <c r="AD419" s="618"/>
      <c r="AE419" s="618"/>
      <c r="AF419" s="618"/>
      <c r="AG419" s="618"/>
      <c r="AH419" s="618"/>
      <c r="AI419" s="618"/>
      <c r="AJ419" s="618"/>
      <c r="AK419" s="618"/>
    </row>
    <row r="420" spans="1:37" ht="14.25" customHeight="1" x14ac:dyDescent="0.45">
      <c r="A420" s="618"/>
      <c r="B420" s="618"/>
      <c r="C420" s="509">
        <v>2028</v>
      </c>
      <c r="D420" s="510" t="s">
        <v>1003</v>
      </c>
      <c r="E420" s="510" t="s">
        <v>282</v>
      </c>
      <c r="F420" s="510"/>
      <c r="G420" s="512">
        <v>50</v>
      </c>
      <c r="H420" s="510"/>
      <c r="I420" s="618"/>
      <c r="J420" s="618"/>
      <c r="K420" s="618"/>
      <c r="L420" s="618"/>
      <c r="M420" s="618"/>
      <c r="N420" s="618"/>
      <c r="O420" s="618"/>
      <c r="P420" s="618"/>
      <c r="Q420" s="618"/>
      <c r="R420" s="618"/>
      <c r="S420" s="618"/>
      <c r="T420" s="618"/>
      <c r="U420" s="618"/>
      <c r="V420" s="618"/>
      <c r="W420" s="618"/>
      <c r="X420" s="618"/>
      <c r="Y420" s="618"/>
      <c r="Z420" s="618"/>
      <c r="AA420" s="618"/>
      <c r="AB420" s="618"/>
      <c r="AC420" s="618"/>
      <c r="AD420" s="618"/>
      <c r="AE420" s="618"/>
      <c r="AF420" s="618"/>
      <c r="AG420" s="618"/>
      <c r="AH420" s="618"/>
      <c r="AI420" s="618"/>
      <c r="AJ420" s="618"/>
      <c r="AK420" s="618"/>
    </row>
    <row r="421" spans="1:37" ht="14.25" customHeight="1" x14ac:dyDescent="0.45">
      <c r="A421" s="618"/>
      <c r="B421" s="618"/>
      <c r="C421" s="509">
        <v>2028</v>
      </c>
      <c r="D421" s="510" t="s">
        <v>1004</v>
      </c>
      <c r="E421" s="510" t="s">
        <v>1005</v>
      </c>
      <c r="F421" s="510" t="s">
        <v>175</v>
      </c>
      <c r="G421" s="512">
        <v>194</v>
      </c>
      <c r="H421" s="510" t="s">
        <v>981</v>
      </c>
      <c r="I421" s="618"/>
      <c r="J421" s="618"/>
      <c r="K421" s="618"/>
      <c r="L421" s="618"/>
      <c r="M421" s="618"/>
      <c r="N421" s="618"/>
      <c r="O421" s="618"/>
      <c r="P421" s="618"/>
      <c r="Q421" s="618"/>
      <c r="R421" s="618"/>
      <c r="S421" s="618"/>
      <c r="T421" s="618"/>
      <c r="U421" s="618"/>
      <c r="V421" s="618"/>
      <c r="W421" s="618"/>
      <c r="X421" s="618"/>
      <c r="Y421" s="618"/>
      <c r="Z421" s="618"/>
      <c r="AA421" s="618"/>
      <c r="AB421" s="618"/>
      <c r="AC421" s="618"/>
      <c r="AD421" s="618"/>
      <c r="AE421" s="618"/>
      <c r="AF421" s="618"/>
      <c r="AG421" s="618"/>
      <c r="AH421" s="618"/>
      <c r="AI421" s="618"/>
      <c r="AJ421" s="618"/>
      <c r="AK421" s="618"/>
    </row>
    <row r="422" spans="1:37" ht="14.25" customHeight="1" x14ac:dyDescent="0.45">
      <c r="A422" s="618"/>
      <c r="B422" s="618"/>
      <c r="C422" s="509">
        <v>2029</v>
      </c>
      <c r="D422" s="510" t="s">
        <v>1006</v>
      </c>
      <c r="E422" s="511" t="s">
        <v>978</v>
      </c>
      <c r="F422" s="510" t="s">
        <v>174</v>
      </c>
      <c r="G422" s="512">
        <v>595.6</v>
      </c>
      <c r="H422" s="510" t="s">
        <v>1007</v>
      </c>
      <c r="I422" s="618"/>
      <c r="J422" s="618"/>
      <c r="K422" s="618"/>
      <c r="L422" s="618"/>
      <c r="M422" s="618"/>
      <c r="N422" s="618"/>
      <c r="O422" s="618"/>
      <c r="P422" s="618"/>
      <c r="Q422" s="618"/>
      <c r="R422" s="618"/>
      <c r="S422" s="618"/>
      <c r="T422" s="618"/>
      <c r="U422" s="618"/>
      <c r="V422" s="618"/>
      <c r="W422" s="618"/>
      <c r="X422" s="618"/>
      <c r="Y422" s="618"/>
      <c r="Z422" s="618"/>
      <c r="AA422" s="618"/>
      <c r="AB422" s="618"/>
      <c r="AC422" s="618"/>
      <c r="AD422" s="618"/>
      <c r="AE422" s="618"/>
      <c r="AF422" s="618"/>
      <c r="AG422" s="618"/>
      <c r="AH422" s="618"/>
      <c r="AI422" s="618"/>
      <c r="AJ422" s="618"/>
      <c r="AK422" s="618"/>
    </row>
    <row r="423" spans="1:37" ht="14.25" customHeight="1" x14ac:dyDescent="0.45">
      <c r="A423" s="618"/>
      <c r="B423" s="618"/>
      <c r="C423" s="509">
        <v>2030</v>
      </c>
      <c r="D423" s="510" t="s">
        <v>1008</v>
      </c>
      <c r="E423" s="511" t="s">
        <v>978</v>
      </c>
      <c r="F423" s="510" t="s">
        <v>174</v>
      </c>
      <c r="G423" s="512">
        <v>1200</v>
      </c>
      <c r="H423" s="510" t="s">
        <v>1007</v>
      </c>
      <c r="I423" s="618"/>
      <c r="J423" s="618"/>
      <c r="K423" s="618"/>
      <c r="L423" s="618"/>
      <c r="M423" s="618"/>
      <c r="N423" s="618"/>
      <c r="O423" s="618"/>
      <c r="P423" s="618"/>
      <c r="Q423" s="618"/>
      <c r="R423" s="618"/>
      <c r="S423" s="618"/>
      <c r="T423" s="618"/>
      <c r="U423" s="618"/>
      <c r="V423" s="618"/>
      <c r="W423" s="618"/>
      <c r="X423" s="618"/>
      <c r="Y423" s="618"/>
      <c r="Z423" s="618"/>
      <c r="AA423" s="618"/>
      <c r="AB423" s="618"/>
      <c r="AC423" s="618"/>
      <c r="AD423" s="618"/>
      <c r="AE423" s="618"/>
      <c r="AF423" s="618"/>
      <c r="AG423" s="618"/>
      <c r="AH423" s="618"/>
      <c r="AI423" s="618"/>
      <c r="AJ423" s="618"/>
      <c r="AK423" s="618"/>
    </row>
    <row r="424" spans="1:37" ht="14.25" customHeight="1" x14ac:dyDescent="0.45">
      <c r="A424" s="618"/>
      <c r="B424" s="618"/>
      <c r="C424" s="509">
        <v>2031</v>
      </c>
      <c r="D424" s="510" t="s">
        <v>1009</v>
      </c>
      <c r="E424" s="511" t="s">
        <v>978</v>
      </c>
      <c r="F424" s="510" t="s">
        <v>174</v>
      </c>
      <c r="G424" s="512">
        <v>1200</v>
      </c>
      <c r="H424" s="510" t="s">
        <v>1007</v>
      </c>
      <c r="I424" s="618"/>
      <c r="J424" s="618"/>
      <c r="K424" s="618"/>
      <c r="L424" s="618"/>
      <c r="M424" s="618"/>
      <c r="N424" s="618"/>
      <c r="O424" s="618"/>
      <c r="P424" s="618"/>
      <c r="Q424" s="618"/>
      <c r="R424" s="618"/>
      <c r="S424" s="618"/>
      <c r="T424" s="618"/>
      <c r="U424" s="618"/>
      <c r="V424" s="618"/>
      <c r="W424" s="618"/>
      <c r="X424" s="618"/>
      <c r="Y424" s="618"/>
      <c r="Z424" s="618"/>
      <c r="AA424" s="618"/>
      <c r="AB424" s="618"/>
      <c r="AC424" s="618"/>
      <c r="AD424" s="618"/>
      <c r="AE424" s="618"/>
      <c r="AF424" s="618"/>
      <c r="AG424" s="618"/>
      <c r="AH424" s="618"/>
      <c r="AI424" s="618"/>
      <c r="AJ424" s="618"/>
      <c r="AK424" s="618"/>
    </row>
    <row r="425" spans="1:37" ht="14.25" customHeight="1" x14ac:dyDescent="0.45">
      <c r="A425" s="618"/>
      <c r="B425" s="618"/>
      <c r="C425" s="1"/>
      <c r="D425" s="1"/>
      <c r="E425" s="1"/>
      <c r="F425" s="1"/>
      <c r="G425" s="1"/>
      <c r="H425" s="1"/>
      <c r="I425" s="618"/>
      <c r="J425" s="618"/>
      <c r="K425" s="618"/>
      <c r="L425" s="618"/>
      <c r="M425" s="618"/>
      <c r="N425" s="618"/>
      <c r="O425" s="618"/>
      <c r="P425" s="618"/>
      <c r="Q425" s="618"/>
      <c r="R425" s="618"/>
      <c r="S425" s="618"/>
      <c r="T425" s="618"/>
      <c r="U425" s="618"/>
      <c r="V425" s="618"/>
      <c r="W425" s="618"/>
      <c r="X425" s="618"/>
      <c r="Y425" s="618"/>
      <c r="Z425" s="618"/>
      <c r="AA425" s="618"/>
      <c r="AB425" s="618"/>
      <c r="AC425" s="618"/>
      <c r="AD425" s="618"/>
      <c r="AE425" s="618"/>
      <c r="AF425" s="618"/>
      <c r="AG425" s="618"/>
      <c r="AH425" s="618"/>
      <c r="AI425" s="618"/>
      <c r="AJ425" s="618"/>
      <c r="AK425" s="618"/>
    </row>
    <row r="426" spans="1:37" ht="14.25" customHeight="1" x14ac:dyDescent="0.45">
      <c r="A426" s="618"/>
      <c r="B426" s="618"/>
      <c r="C426" s="18" t="s">
        <v>1010</v>
      </c>
      <c r="D426" s="1"/>
      <c r="E426" s="1"/>
      <c r="F426" s="1"/>
      <c r="G426" s="1"/>
      <c r="H426" s="1"/>
      <c r="I426" s="618"/>
      <c r="J426" s="618"/>
      <c r="K426" s="618"/>
      <c r="L426" s="618"/>
      <c r="M426" s="618"/>
      <c r="N426" s="618"/>
      <c r="O426" s="618"/>
      <c r="P426" s="618"/>
      <c r="Q426" s="618"/>
      <c r="R426" s="618"/>
      <c r="S426" s="618"/>
      <c r="T426" s="618"/>
      <c r="U426" s="618"/>
      <c r="V426" s="618"/>
      <c r="W426" s="618"/>
      <c r="X426" s="618"/>
      <c r="Y426" s="618"/>
      <c r="Z426" s="618"/>
      <c r="AA426" s="618"/>
      <c r="AB426" s="618"/>
      <c r="AC426" s="618"/>
      <c r="AD426" s="618"/>
      <c r="AE426" s="618"/>
      <c r="AF426" s="618"/>
      <c r="AG426" s="618"/>
      <c r="AH426" s="618"/>
      <c r="AI426" s="618"/>
      <c r="AJ426" s="618"/>
      <c r="AK426" s="618"/>
    </row>
    <row r="427" spans="1:37" ht="14.25" customHeight="1" x14ac:dyDescent="0.45">
      <c r="A427" s="618"/>
      <c r="B427" s="618"/>
      <c r="C427" s="1" t="s">
        <v>1011</v>
      </c>
      <c r="D427" s="1"/>
      <c r="E427" s="1"/>
      <c r="F427" s="1"/>
      <c r="G427" s="1"/>
      <c r="H427" s="1"/>
      <c r="I427" s="618"/>
      <c r="J427" s="618"/>
      <c r="K427" s="618"/>
      <c r="L427" s="618"/>
      <c r="M427" s="618"/>
      <c r="N427" s="618"/>
      <c r="O427" s="618"/>
      <c r="P427" s="618"/>
      <c r="Q427" s="618"/>
      <c r="R427" s="618"/>
      <c r="S427" s="618"/>
      <c r="T427" s="618"/>
      <c r="U427" s="618"/>
      <c r="V427" s="618"/>
      <c r="W427" s="618"/>
      <c r="X427" s="618"/>
      <c r="Y427" s="618"/>
      <c r="Z427" s="618"/>
      <c r="AA427" s="618"/>
      <c r="AB427" s="618"/>
      <c r="AC427" s="618"/>
      <c r="AD427" s="618"/>
      <c r="AE427" s="618"/>
      <c r="AF427" s="618"/>
      <c r="AG427" s="618"/>
      <c r="AH427" s="618"/>
      <c r="AI427" s="618"/>
      <c r="AJ427" s="618"/>
      <c r="AK427" s="618"/>
    </row>
    <row r="428" spans="1:37" ht="14.25" customHeight="1" x14ac:dyDescent="0.45">
      <c r="A428" s="618"/>
      <c r="B428" s="618"/>
      <c r="C428" s="1" t="s">
        <v>1012</v>
      </c>
      <c r="D428" s="1"/>
      <c r="E428" s="1"/>
      <c r="F428" s="1"/>
      <c r="G428" s="1"/>
      <c r="H428" s="1"/>
      <c r="I428" s="618"/>
      <c r="J428" s="618"/>
      <c r="K428" s="618"/>
      <c r="L428" s="618"/>
      <c r="M428" s="618"/>
      <c r="N428" s="618"/>
      <c r="O428" s="618"/>
      <c r="P428" s="618"/>
      <c r="Q428" s="618"/>
      <c r="R428" s="618"/>
      <c r="S428" s="618"/>
      <c r="T428" s="618"/>
      <c r="U428" s="618"/>
      <c r="V428" s="618"/>
      <c r="W428" s="618"/>
      <c r="X428" s="618"/>
      <c r="Y428" s="618"/>
      <c r="Z428" s="618"/>
      <c r="AA428" s="618"/>
      <c r="AB428" s="618"/>
      <c r="AC428" s="618"/>
      <c r="AD428" s="618"/>
      <c r="AE428" s="618"/>
      <c r="AF428" s="618"/>
      <c r="AG428" s="618"/>
      <c r="AH428" s="618"/>
      <c r="AI428" s="618"/>
      <c r="AJ428" s="618"/>
      <c r="AK428" s="618"/>
    </row>
    <row r="429" spans="1:37" ht="14.25" customHeight="1" x14ac:dyDescent="0.45">
      <c r="A429" s="618"/>
      <c r="B429" s="618"/>
      <c r="C429" s="1"/>
      <c r="D429" s="1"/>
      <c r="E429" s="1"/>
      <c r="F429" s="1"/>
      <c r="G429" s="1"/>
      <c r="H429" s="1"/>
      <c r="I429" s="618"/>
      <c r="J429" s="618"/>
      <c r="K429" s="618"/>
      <c r="L429" s="618"/>
      <c r="M429" s="618"/>
      <c r="N429" s="618"/>
      <c r="O429" s="618"/>
      <c r="P429" s="618"/>
      <c r="Q429" s="618"/>
      <c r="R429" s="618"/>
      <c r="S429" s="618"/>
      <c r="T429" s="618"/>
      <c r="U429" s="618"/>
      <c r="V429" s="618"/>
      <c r="W429" s="618"/>
      <c r="X429" s="618"/>
      <c r="Y429" s="618"/>
      <c r="Z429" s="618"/>
      <c r="AA429" s="618"/>
      <c r="AB429" s="618"/>
      <c r="AC429" s="618"/>
      <c r="AD429" s="618"/>
      <c r="AE429" s="618"/>
      <c r="AF429" s="618"/>
      <c r="AG429" s="618"/>
      <c r="AH429" s="618"/>
      <c r="AI429" s="618"/>
      <c r="AJ429" s="618"/>
      <c r="AK429" s="618"/>
    </row>
    <row r="430" spans="1:37" ht="14.25" customHeight="1" x14ac:dyDescent="0.45">
      <c r="A430" s="618"/>
      <c r="B430" s="618"/>
      <c r="C430" s="18" t="s">
        <v>1013</v>
      </c>
      <c r="D430" s="1"/>
      <c r="E430" s="1"/>
      <c r="F430" s="1"/>
      <c r="G430" s="1"/>
      <c r="H430" s="1"/>
      <c r="I430" s="618"/>
      <c r="J430" s="618"/>
      <c r="K430" s="618"/>
      <c r="L430" s="618"/>
      <c r="M430" s="618"/>
      <c r="N430" s="618"/>
      <c r="O430" s="618"/>
      <c r="P430" s="618"/>
      <c r="Q430" s="618"/>
      <c r="R430" s="618"/>
      <c r="S430" s="618"/>
      <c r="T430" s="618"/>
      <c r="U430" s="618"/>
      <c r="V430" s="618"/>
      <c r="W430" s="618"/>
      <c r="X430" s="618"/>
      <c r="Y430" s="618"/>
      <c r="Z430" s="618"/>
      <c r="AA430" s="618"/>
      <c r="AB430" s="618"/>
      <c r="AC430" s="618"/>
      <c r="AD430" s="618"/>
      <c r="AE430" s="618"/>
      <c r="AF430" s="618"/>
      <c r="AG430" s="618"/>
      <c r="AH430" s="618"/>
      <c r="AI430" s="618"/>
      <c r="AJ430" s="618"/>
      <c r="AK430" s="618"/>
    </row>
    <row r="431" spans="1:37" ht="14.25" customHeight="1" x14ac:dyDescent="0.45">
      <c r="A431" s="618"/>
      <c r="B431" s="618"/>
      <c r="C431" s="1" t="s">
        <v>1014</v>
      </c>
      <c r="D431" s="1"/>
      <c r="E431" s="1"/>
      <c r="F431" s="1"/>
      <c r="G431" s="1"/>
      <c r="H431" s="1"/>
      <c r="I431" s="618"/>
      <c r="J431" s="618"/>
      <c r="K431" s="618"/>
      <c r="L431" s="618"/>
      <c r="M431" s="618"/>
      <c r="N431" s="618"/>
      <c r="O431" s="618"/>
      <c r="P431" s="618"/>
      <c r="Q431" s="618"/>
      <c r="R431" s="618"/>
      <c r="S431" s="618"/>
      <c r="T431" s="618"/>
      <c r="U431" s="618"/>
      <c r="V431" s="618"/>
      <c r="W431" s="618"/>
      <c r="X431" s="618"/>
      <c r="Y431" s="618"/>
      <c r="Z431" s="618"/>
      <c r="AA431" s="618"/>
      <c r="AB431" s="618"/>
      <c r="AC431" s="618"/>
      <c r="AD431" s="618"/>
      <c r="AE431" s="618"/>
      <c r="AF431" s="618"/>
      <c r="AG431" s="618"/>
      <c r="AH431" s="618"/>
      <c r="AI431" s="618"/>
      <c r="AJ431" s="618"/>
      <c r="AK431" s="618"/>
    </row>
    <row r="432" spans="1:37" ht="14.25" customHeight="1" x14ac:dyDescent="0.45">
      <c r="A432" s="618"/>
      <c r="B432" s="618"/>
      <c r="C432" s="1" t="s">
        <v>1015</v>
      </c>
      <c r="D432" s="1"/>
      <c r="E432" s="1"/>
      <c r="F432" s="1"/>
      <c r="G432" s="1"/>
      <c r="H432" s="1"/>
      <c r="I432" s="618"/>
      <c r="J432" s="618"/>
      <c r="K432" s="618"/>
      <c r="L432" s="618"/>
      <c r="M432" s="618"/>
      <c r="N432" s="618"/>
      <c r="O432" s="618"/>
      <c r="P432" s="618"/>
      <c r="Q432" s="618"/>
      <c r="R432" s="618"/>
      <c r="S432" s="618"/>
      <c r="T432" s="618"/>
      <c r="U432" s="618"/>
      <c r="V432" s="618"/>
      <c r="W432" s="618"/>
      <c r="X432" s="618"/>
      <c r="Y432" s="618"/>
      <c r="Z432" s="618"/>
      <c r="AA432" s="618"/>
      <c r="AB432" s="618"/>
      <c r="AC432" s="618"/>
      <c r="AD432" s="618"/>
      <c r="AE432" s="618"/>
      <c r="AF432" s="618"/>
      <c r="AG432" s="618"/>
      <c r="AH432" s="618"/>
      <c r="AI432" s="618"/>
      <c r="AJ432" s="618"/>
      <c r="AK432" s="618"/>
    </row>
    <row r="433" spans="1:37" ht="14.25" customHeight="1" x14ac:dyDescent="0.45">
      <c r="A433" s="618"/>
      <c r="B433" s="618"/>
      <c r="C433" s="1" t="s">
        <v>1016</v>
      </c>
      <c r="D433" s="1"/>
      <c r="E433" s="1"/>
      <c r="F433" s="1"/>
      <c r="G433" s="1"/>
      <c r="H433" s="1"/>
      <c r="I433" s="618"/>
      <c r="J433" s="618"/>
      <c r="K433" s="618"/>
      <c r="L433" s="618"/>
      <c r="M433" s="618"/>
      <c r="N433" s="618"/>
      <c r="O433" s="618"/>
      <c r="P433" s="618"/>
      <c r="Q433" s="618"/>
      <c r="R433" s="618"/>
      <c r="S433" s="618"/>
      <c r="T433" s="618"/>
      <c r="U433" s="618"/>
      <c r="V433" s="618"/>
      <c r="W433" s="618"/>
      <c r="X433" s="618"/>
      <c r="Y433" s="618"/>
      <c r="Z433" s="618"/>
      <c r="AA433" s="618"/>
      <c r="AB433" s="618"/>
      <c r="AC433" s="618"/>
      <c r="AD433" s="618"/>
      <c r="AE433" s="618"/>
      <c r="AF433" s="618"/>
      <c r="AG433" s="618"/>
      <c r="AH433" s="618"/>
      <c r="AI433" s="618"/>
      <c r="AJ433" s="618"/>
      <c r="AK433" s="618"/>
    </row>
    <row r="434" spans="1:37" ht="14.25" customHeight="1" x14ac:dyDescent="0.45">
      <c r="A434" s="618"/>
      <c r="B434" s="618"/>
      <c r="C434" s="1"/>
      <c r="D434" s="1"/>
      <c r="E434" s="1"/>
      <c r="F434" s="1"/>
      <c r="G434" s="1"/>
      <c r="H434" s="1"/>
      <c r="I434" s="618"/>
      <c r="J434" s="618"/>
      <c r="K434" s="618"/>
      <c r="L434" s="618"/>
      <c r="M434" s="618"/>
      <c r="N434" s="618"/>
      <c r="O434" s="618"/>
      <c r="P434" s="618"/>
      <c r="Q434" s="618"/>
      <c r="R434" s="618"/>
      <c r="S434" s="618"/>
      <c r="T434" s="618"/>
      <c r="U434" s="618"/>
      <c r="V434" s="618"/>
      <c r="W434" s="618"/>
      <c r="X434" s="618"/>
      <c r="Y434" s="618"/>
      <c r="Z434" s="618"/>
      <c r="AA434" s="618"/>
      <c r="AB434" s="618"/>
      <c r="AC434" s="618"/>
      <c r="AD434" s="618"/>
      <c r="AE434" s="618"/>
      <c r="AF434" s="618"/>
      <c r="AG434" s="618"/>
      <c r="AH434" s="618"/>
      <c r="AI434" s="618"/>
      <c r="AJ434" s="618"/>
      <c r="AK434" s="618"/>
    </row>
    <row r="435" spans="1:37" ht="14.25" customHeight="1" x14ac:dyDescent="0.45">
      <c r="A435" s="618"/>
      <c r="B435" s="618"/>
      <c r="C435" s="90" t="s">
        <v>1017</v>
      </c>
      <c r="D435" s="1"/>
      <c r="E435" s="1"/>
      <c r="F435" s="1"/>
      <c r="G435" s="1"/>
      <c r="H435" s="1"/>
      <c r="I435" s="618"/>
      <c r="J435" s="618"/>
      <c r="K435" s="618"/>
      <c r="L435" s="618"/>
      <c r="M435" s="618"/>
      <c r="N435" s="618"/>
      <c r="O435" s="618"/>
      <c r="P435" s="618"/>
      <c r="Q435" s="618"/>
      <c r="R435" s="618"/>
      <c r="S435" s="618"/>
      <c r="T435" s="618"/>
      <c r="U435" s="618"/>
      <c r="V435" s="618"/>
      <c r="W435" s="618"/>
      <c r="X435" s="618"/>
      <c r="Y435" s="618"/>
      <c r="Z435" s="618"/>
      <c r="AA435" s="618"/>
      <c r="AB435" s="618"/>
      <c r="AC435" s="618"/>
      <c r="AD435" s="618"/>
      <c r="AE435" s="618"/>
      <c r="AF435" s="618"/>
      <c r="AG435" s="618"/>
      <c r="AH435" s="618"/>
      <c r="AI435" s="618"/>
      <c r="AJ435" s="618"/>
      <c r="AK435" s="618"/>
    </row>
    <row r="436" spans="1:37" ht="14.25" customHeight="1" x14ac:dyDescent="0.45">
      <c r="A436" s="618"/>
      <c r="B436" s="618"/>
      <c r="C436" s="1" t="s">
        <v>1018</v>
      </c>
      <c r="D436" s="1" t="s">
        <v>1019</v>
      </c>
      <c r="E436" s="1"/>
      <c r="F436" s="1"/>
      <c r="G436" s="1"/>
      <c r="H436" s="1"/>
      <c r="I436" s="618"/>
      <c r="J436" s="618"/>
      <c r="K436" s="618"/>
      <c r="L436" s="618"/>
      <c r="M436" s="618"/>
      <c r="N436" s="618"/>
      <c r="O436" s="618"/>
      <c r="P436" s="618"/>
      <c r="Q436" s="618"/>
      <c r="R436" s="618"/>
      <c r="S436" s="618"/>
      <c r="T436" s="618"/>
      <c r="U436" s="618"/>
      <c r="V436" s="618"/>
      <c r="W436" s="618"/>
      <c r="X436" s="618"/>
      <c r="Y436" s="618"/>
      <c r="Z436" s="618"/>
      <c r="AA436" s="618"/>
      <c r="AB436" s="618"/>
      <c r="AC436" s="618"/>
      <c r="AD436" s="618"/>
      <c r="AE436" s="618"/>
      <c r="AF436" s="618"/>
      <c r="AG436" s="618"/>
      <c r="AH436" s="618"/>
      <c r="AI436" s="618"/>
      <c r="AJ436" s="618"/>
      <c r="AK436" s="618"/>
    </row>
    <row r="437" spans="1:37" ht="14.25" customHeight="1" x14ac:dyDescent="0.45">
      <c r="A437" s="618"/>
      <c r="B437" s="618"/>
      <c r="C437" s="1" t="s">
        <v>1020</v>
      </c>
      <c r="D437" s="1" t="s">
        <v>1021</v>
      </c>
      <c r="E437" s="1"/>
      <c r="F437" s="1"/>
      <c r="G437" s="1"/>
      <c r="H437" s="1"/>
      <c r="I437" s="618"/>
      <c r="J437" s="618"/>
      <c r="K437" s="618"/>
      <c r="L437" s="618"/>
      <c r="M437" s="618"/>
      <c r="N437" s="618"/>
      <c r="O437" s="618"/>
      <c r="P437" s="618"/>
      <c r="Q437" s="618"/>
      <c r="R437" s="618"/>
      <c r="S437" s="618"/>
      <c r="T437" s="618"/>
      <c r="U437" s="618"/>
      <c r="V437" s="618"/>
      <c r="W437" s="618"/>
      <c r="X437" s="618"/>
      <c r="Y437" s="618"/>
      <c r="Z437" s="618"/>
      <c r="AA437" s="618"/>
      <c r="AB437" s="618"/>
      <c r="AC437" s="618"/>
      <c r="AD437" s="618"/>
      <c r="AE437" s="618"/>
      <c r="AF437" s="618"/>
      <c r="AG437" s="618"/>
      <c r="AH437" s="618"/>
      <c r="AI437" s="618"/>
      <c r="AJ437" s="618"/>
      <c r="AK437" s="618"/>
    </row>
    <row r="438" spans="1:37" ht="14.25" customHeight="1" x14ac:dyDescent="0.45">
      <c r="A438" s="618"/>
      <c r="B438" s="618"/>
      <c r="C438" s="1" t="s">
        <v>1022</v>
      </c>
      <c r="D438" s="1" t="s">
        <v>1023</v>
      </c>
      <c r="E438" s="1"/>
      <c r="F438" s="1"/>
      <c r="G438" s="1"/>
      <c r="H438" s="1"/>
      <c r="I438" s="618"/>
      <c r="J438" s="618"/>
      <c r="K438" s="618"/>
      <c r="L438" s="618"/>
      <c r="M438" s="618"/>
      <c r="N438" s="618"/>
      <c r="O438" s="618"/>
      <c r="P438" s="618"/>
      <c r="Q438" s="618"/>
      <c r="R438" s="618"/>
      <c r="S438" s="618"/>
      <c r="T438" s="618"/>
      <c r="U438" s="618"/>
      <c r="V438" s="618"/>
      <c r="W438" s="618"/>
      <c r="X438" s="618"/>
      <c r="Y438" s="618"/>
      <c r="Z438" s="618"/>
      <c r="AA438" s="618"/>
      <c r="AB438" s="618"/>
      <c r="AC438" s="618"/>
      <c r="AD438" s="618"/>
      <c r="AE438" s="618"/>
      <c r="AF438" s="618"/>
      <c r="AG438" s="618"/>
      <c r="AH438" s="618"/>
      <c r="AI438" s="618"/>
      <c r="AJ438" s="618"/>
      <c r="AK438" s="618"/>
    </row>
    <row r="439" spans="1:37" ht="14.25" customHeight="1" x14ac:dyDescent="0.45">
      <c r="A439" s="618"/>
      <c r="B439" s="618"/>
      <c r="C439" s="1" t="s">
        <v>1024</v>
      </c>
      <c r="D439" s="1" t="s">
        <v>1025</v>
      </c>
      <c r="E439" s="1"/>
      <c r="F439" s="1"/>
      <c r="G439" s="1"/>
      <c r="H439" s="1"/>
      <c r="I439" s="618"/>
      <c r="J439" s="618"/>
      <c r="K439" s="618"/>
      <c r="L439" s="618"/>
      <c r="M439" s="618"/>
      <c r="N439" s="618"/>
      <c r="O439" s="618"/>
      <c r="P439" s="618"/>
      <c r="Q439" s="618"/>
      <c r="R439" s="618"/>
      <c r="S439" s="618"/>
      <c r="T439" s="618"/>
      <c r="U439" s="618"/>
      <c r="V439" s="618"/>
      <c r="W439" s="618"/>
      <c r="X439" s="618"/>
      <c r="Y439" s="618"/>
      <c r="Z439" s="618"/>
      <c r="AA439" s="618"/>
      <c r="AB439" s="618"/>
      <c r="AC439" s="618"/>
      <c r="AD439" s="618"/>
      <c r="AE439" s="618"/>
      <c r="AF439" s="618"/>
      <c r="AG439" s="618"/>
      <c r="AH439" s="618"/>
      <c r="AI439" s="618"/>
      <c r="AJ439" s="618"/>
      <c r="AK439" s="618"/>
    </row>
    <row r="440" spans="1:37" ht="14.25" customHeight="1" x14ac:dyDescent="0.45">
      <c r="A440" s="618"/>
      <c r="B440" s="618"/>
      <c r="C440" s="1"/>
      <c r="D440" s="1"/>
      <c r="E440" s="1"/>
      <c r="F440" s="1"/>
      <c r="G440" s="1"/>
      <c r="H440" s="1"/>
      <c r="I440" s="618"/>
      <c r="J440" s="618"/>
      <c r="K440" s="618"/>
      <c r="L440" s="618"/>
      <c r="M440" s="618"/>
      <c r="N440" s="618"/>
      <c r="O440" s="618"/>
      <c r="P440" s="618"/>
      <c r="Q440" s="618"/>
      <c r="R440" s="618"/>
      <c r="S440" s="618"/>
      <c r="T440" s="618"/>
      <c r="U440" s="618"/>
      <c r="V440" s="618"/>
      <c r="W440" s="618"/>
      <c r="X440" s="618"/>
      <c r="Y440" s="618"/>
      <c r="Z440" s="618"/>
      <c r="AA440" s="618"/>
      <c r="AB440" s="618"/>
      <c r="AC440" s="618"/>
      <c r="AD440" s="618"/>
      <c r="AE440" s="618"/>
      <c r="AF440" s="618"/>
      <c r="AG440" s="618"/>
      <c r="AH440" s="618"/>
      <c r="AI440" s="618"/>
      <c r="AJ440" s="618"/>
      <c r="AK440" s="618"/>
    </row>
    <row r="441" spans="1:37" ht="14.25" customHeight="1" x14ac:dyDescent="0.45">
      <c r="A441" s="618"/>
      <c r="B441" s="618"/>
      <c r="C441" s="1"/>
      <c r="D441" s="1"/>
      <c r="E441" s="1"/>
      <c r="F441" s="1"/>
      <c r="G441" s="1"/>
      <c r="H441" s="1"/>
      <c r="I441" s="618"/>
      <c r="J441" s="618"/>
      <c r="K441" s="618"/>
      <c r="L441" s="618"/>
      <c r="M441" s="618"/>
      <c r="N441" s="618"/>
      <c r="O441" s="618"/>
      <c r="P441" s="618"/>
      <c r="Q441" s="618"/>
      <c r="R441" s="618"/>
      <c r="S441" s="618"/>
      <c r="T441" s="618"/>
      <c r="U441" s="618"/>
      <c r="V441" s="618"/>
      <c r="W441" s="618"/>
      <c r="X441" s="618"/>
      <c r="Y441" s="618"/>
      <c r="Z441" s="618"/>
      <c r="AA441" s="618"/>
      <c r="AB441" s="618"/>
      <c r="AC441" s="618"/>
      <c r="AD441" s="618"/>
      <c r="AE441" s="618"/>
      <c r="AF441" s="618"/>
      <c r="AG441" s="618"/>
      <c r="AH441" s="618"/>
      <c r="AI441" s="618"/>
      <c r="AJ441" s="618"/>
      <c r="AK441" s="618"/>
    </row>
    <row r="442" spans="1:37" ht="14.25" customHeight="1" x14ac:dyDescent="0.45">
      <c r="A442" s="618"/>
      <c r="B442" s="618"/>
      <c r="C442" s="5"/>
      <c r="D442" s="618"/>
      <c r="E442" s="618"/>
      <c r="F442" s="618"/>
      <c r="G442" s="618"/>
      <c r="H442" s="618"/>
      <c r="I442" s="618"/>
      <c r="J442" s="618"/>
      <c r="K442" s="618"/>
      <c r="L442" s="618"/>
      <c r="M442" s="618"/>
      <c r="N442" s="618"/>
      <c r="O442" s="618"/>
      <c r="P442" s="618"/>
      <c r="Q442" s="618"/>
      <c r="R442" s="618"/>
      <c r="S442" s="618"/>
      <c r="T442" s="618"/>
      <c r="U442" s="618"/>
      <c r="V442" s="618"/>
      <c r="W442" s="618"/>
      <c r="X442" s="618"/>
      <c r="Y442" s="618"/>
      <c r="Z442" s="618"/>
      <c r="AA442" s="618"/>
      <c r="AB442" s="618"/>
      <c r="AC442" s="618"/>
      <c r="AD442" s="618"/>
      <c r="AE442" s="618"/>
      <c r="AF442" s="618"/>
      <c r="AG442" s="618"/>
      <c r="AH442" s="618"/>
      <c r="AI442" s="618"/>
      <c r="AJ442" s="618"/>
      <c r="AK442" s="618"/>
    </row>
    <row r="443" spans="1:37" ht="14.25" customHeight="1" x14ac:dyDescent="0.45">
      <c r="A443" s="618"/>
      <c r="B443" s="618"/>
      <c r="C443" s="5"/>
      <c r="D443" s="618"/>
      <c r="E443" s="618"/>
      <c r="F443" s="618"/>
      <c r="G443" s="618"/>
      <c r="H443" s="618"/>
      <c r="I443" s="618"/>
      <c r="J443" s="618"/>
      <c r="K443" s="618"/>
      <c r="L443" s="618"/>
      <c r="M443" s="618"/>
      <c r="N443" s="618"/>
      <c r="O443" s="618"/>
      <c r="P443" s="618"/>
      <c r="Q443" s="618"/>
      <c r="R443" s="618"/>
      <c r="S443" s="618"/>
      <c r="T443" s="618"/>
      <c r="U443" s="618"/>
      <c r="V443" s="618"/>
      <c r="W443" s="618"/>
      <c r="X443" s="618"/>
      <c r="Y443" s="618"/>
      <c r="Z443" s="618"/>
      <c r="AA443" s="618"/>
      <c r="AB443" s="618"/>
      <c r="AC443" s="618"/>
      <c r="AD443" s="618"/>
      <c r="AE443" s="618"/>
      <c r="AF443" s="618"/>
      <c r="AG443" s="618"/>
      <c r="AH443" s="618"/>
      <c r="AI443" s="618"/>
      <c r="AJ443" s="618"/>
      <c r="AK443" s="618"/>
    </row>
    <row r="444" spans="1:37" ht="14.25" customHeight="1" x14ac:dyDescent="0.45">
      <c r="A444" s="618"/>
      <c r="B444" s="618"/>
      <c r="C444" s="5"/>
      <c r="D444" s="618"/>
      <c r="E444" s="618"/>
      <c r="F444" s="618"/>
      <c r="G444" s="618"/>
      <c r="H444" s="618"/>
      <c r="I444" s="618"/>
      <c r="J444" s="618"/>
      <c r="K444" s="618"/>
      <c r="L444" s="618"/>
      <c r="M444" s="618"/>
      <c r="N444" s="618"/>
      <c r="O444" s="618"/>
      <c r="P444" s="618"/>
      <c r="Q444" s="618"/>
      <c r="R444" s="618"/>
      <c r="S444" s="618"/>
      <c r="T444" s="618"/>
      <c r="U444" s="618"/>
      <c r="V444" s="618"/>
      <c r="W444" s="618"/>
      <c r="X444" s="618"/>
      <c r="Y444" s="618"/>
      <c r="Z444" s="618"/>
      <c r="AA444" s="618"/>
      <c r="AB444" s="618"/>
      <c r="AC444" s="618"/>
      <c r="AD444" s="618"/>
      <c r="AE444" s="618"/>
      <c r="AF444" s="618"/>
      <c r="AG444" s="618"/>
      <c r="AH444" s="618"/>
      <c r="AI444" s="618"/>
      <c r="AJ444" s="618"/>
      <c r="AK444" s="618"/>
    </row>
    <row r="445" spans="1:37" ht="14.25" customHeight="1" x14ac:dyDescent="0.45">
      <c r="A445" s="618"/>
      <c r="B445" s="618"/>
      <c r="C445" s="5"/>
      <c r="D445" s="618"/>
      <c r="E445" s="618"/>
      <c r="F445" s="618"/>
      <c r="G445" s="618"/>
      <c r="H445" s="618"/>
      <c r="I445" s="618"/>
      <c r="J445" s="618"/>
      <c r="K445" s="618"/>
      <c r="L445" s="618"/>
      <c r="M445" s="618"/>
      <c r="N445" s="618"/>
      <c r="O445" s="618"/>
      <c r="P445" s="618"/>
      <c r="Q445" s="618"/>
      <c r="R445" s="618"/>
      <c r="S445" s="618"/>
      <c r="T445" s="618"/>
      <c r="U445" s="618"/>
      <c r="V445" s="618"/>
      <c r="W445" s="618"/>
      <c r="X445" s="618"/>
      <c r="Y445" s="618"/>
      <c r="Z445" s="618"/>
      <c r="AA445" s="618"/>
      <c r="AB445" s="618"/>
      <c r="AC445" s="618"/>
      <c r="AD445" s="618"/>
      <c r="AE445" s="618"/>
      <c r="AF445" s="618"/>
      <c r="AG445" s="618"/>
      <c r="AH445" s="618"/>
      <c r="AI445" s="618"/>
      <c r="AJ445" s="618"/>
      <c r="AK445" s="618"/>
    </row>
    <row r="446" spans="1:37" ht="14.25" customHeight="1" x14ac:dyDescent="0.45">
      <c r="A446" s="618"/>
      <c r="B446" s="618"/>
      <c r="C446" s="5"/>
      <c r="D446" s="618"/>
      <c r="E446" s="618"/>
      <c r="F446" s="618"/>
      <c r="G446" s="618"/>
      <c r="H446" s="618"/>
      <c r="I446" s="618"/>
      <c r="J446" s="618"/>
      <c r="K446" s="618"/>
      <c r="L446" s="618"/>
      <c r="M446" s="618"/>
      <c r="N446" s="618"/>
      <c r="O446" s="618"/>
      <c r="P446" s="618"/>
      <c r="Q446" s="618"/>
      <c r="R446" s="618"/>
      <c r="S446" s="618"/>
      <c r="T446" s="618"/>
      <c r="U446" s="618"/>
      <c r="V446" s="618"/>
      <c r="W446" s="618"/>
      <c r="X446" s="618"/>
      <c r="Y446" s="618"/>
      <c r="Z446" s="618"/>
      <c r="AA446" s="618"/>
      <c r="AB446" s="618"/>
      <c r="AC446" s="618"/>
      <c r="AD446" s="618"/>
      <c r="AE446" s="618"/>
      <c r="AF446" s="618"/>
      <c r="AG446" s="618"/>
      <c r="AH446" s="618"/>
      <c r="AI446" s="618"/>
      <c r="AJ446" s="618"/>
      <c r="AK446" s="618"/>
    </row>
    <row r="447" spans="1:37" ht="14.25" customHeight="1" x14ac:dyDescent="0.45">
      <c r="A447" s="618"/>
      <c r="B447" s="618"/>
      <c r="C447" s="5"/>
      <c r="D447" s="618"/>
      <c r="E447" s="618"/>
      <c r="F447" s="618"/>
      <c r="G447" s="618"/>
      <c r="H447" s="618"/>
      <c r="I447" s="618"/>
      <c r="J447" s="618"/>
      <c r="K447" s="618"/>
      <c r="L447" s="618"/>
      <c r="M447" s="618"/>
      <c r="N447" s="618"/>
      <c r="O447" s="618"/>
      <c r="P447" s="618"/>
      <c r="Q447" s="618"/>
      <c r="R447" s="618"/>
      <c r="S447" s="618"/>
      <c r="T447" s="618"/>
      <c r="U447" s="618"/>
      <c r="V447" s="618"/>
      <c r="W447" s="618"/>
      <c r="X447" s="618"/>
      <c r="Y447" s="618"/>
      <c r="Z447" s="618"/>
      <c r="AA447" s="618"/>
      <c r="AB447" s="618"/>
      <c r="AC447" s="618"/>
      <c r="AD447" s="618"/>
      <c r="AE447" s="618"/>
      <c r="AF447" s="618"/>
      <c r="AG447" s="618"/>
      <c r="AH447" s="618"/>
      <c r="AI447" s="618"/>
      <c r="AJ447" s="618"/>
      <c r="AK447" s="618"/>
    </row>
    <row r="448" spans="1:37" ht="14.25" customHeight="1" x14ac:dyDescent="0.45">
      <c r="A448" s="618"/>
      <c r="B448" s="618"/>
      <c r="C448" s="5"/>
      <c r="D448" s="618"/>
      <c r="E448" s="618"/>
      <c r="F448" s="618"/>
      <c r="G448" s="618"/>
      <c r="H448" s="618"/>
      <c r="I448" s="618"/>
      <c r="J448" s="618"/>
      <c r="K448" s="618"/>
      <c r="L448" s="618"/>
      <c r="M448" s="618"/>
      <c r="N448" s="618"/>
      <c r="O448" s="618"/>
      <c r="P448" s="618"/>
      <c r="Q448" s="618"/>
      <c r="R448" s="618"/>
      <c r="S448" s="618"/>
      <c r="T448" s="618"/>
      <c r="U448" s="618"/>
      <c r="V448" s="618"/>
      <c r="W448" s="618"/>
      <c r="X448" s="618"/>
      <c r="Y448" s="618"/>
      <c r="Z448" s="618"/>
      <c r="AA448" s="618"/>
      <c r="AB448" s="618"/>
      <c r="AC448" s="618"/>
      <c r="AD448" s="618"/>
      <c r="AE448" s="618"/>
      <c r="AF448" s="618"/>
      <c r="AG448" s="618"/>
      <c r="AH448" s="618"/>
      <c r="AI448" s="618"/>
      <c r="AJ448" s="618"/>
      <c r="AK448" s="618"/>
    </row>
    <row r="449" spans="1:37" ht="14.25" customHeight="1" x14ac:dyDescent="0.45">
      <c r="A449" s="618"/>
      <c r="B449" s="618"/>
      <c r="C449" s="5"/>
      <c r="D449" s="618"/>
      <c r="E449" s="618"/>
      <c r="F449" s="618"/>
      <c r="G449" s="618"/>
      <c r="H449" s="618"/>
      <c r="I449" s="618"/>
      <c r="J449" s="618"/>
      <c r="K449" s="618"/>
      <c r="L449" s="618"/>
      <c r="M449" s="618"/>
      <c r="N449" s="618"/>
      <c r="O449" s="618"/>
      <c r="P449" s="618"/>
      <c r="Q449" s="618"/>
      <c r="R449" s="618"/>
      <c r="S449" s="618"/>
      <c r="T449" s="618"/>
      <c r="U449" s="618"/>
      <c r="V449" s="618"/>
      <c r="W449" s="618"/>
      <c r="X449" s="618"/>
      <c r="Y449" s="618"/>
      <c r="Z449" s="618"/>
      <c r="AA449" s="618"/>
      <c r="AB449" s="618"/>
      <c r="AC449" s="618"/>
      <c r="AD449" s="618"/>
      <c r="AE449" s="618"/>
      <c r="AF449" s="618"/>
      <c r="AG449" s="618"/>
      <c r="AH449" s="618"/>
      <c r="AI449" s="618"/>
      <c r="AJ449" s="618"/>
      <c r="AK449" s="618"/>
    </row>
    <row r="450" spans="1:37" ht="14.25" customHeight="1" x14ac:dyDescent="0.45">
      <c r="A450" s="618"/>
      <c r="B450" s="618"/>
      <c r="C450" s="5"/>
      <c r="D450" s="618"/>
      <c r="E450" s="618"/>
      <c r="F450" s="618"/>
      <c r="G450" s="618"/>
      <c r="H450" s="618"/>
      <c r="I450" s="618"/>
      <c r="J450" s="618"/>
      <c r="K450" s="618"/>
      <c r="L450" s="618"/>
      <c r="M450" s="618"/>
      <c r="N450" s="618"/>
      <c r="O450" s="618"/>
      <c r="P450" s="618"/>
      <c r="Q450" s="618"/>
      <c r="R450" s="618"/>
      <c r="S450" s="618"/>
      <c r="T450" s="618"/>
      <c r="U450" s="618"/>
      <c r="V450" s="618"/>
      <c r="W450" s="618"/>
      <c r="X450" s="618"/>
      <c r="Y450" s="618"/>
      <c r="Z450" s="618"/>
      <c r="AA450" s="618"/>
      <c r="AB450" s="618"/>
      <c r="AC450" s="618"/>
      <c r="AD450" s="618"/>
      <c r="AE450" s="618"/>
      <c r="AF450" s="618"/>
      <c r="AG450" s="618"/>
      <c r="AH450" s="618"/>
      <c r="AI450" s="618"/>
      <c r="AJ450" s="618"/>
      <c r="AK450" s="618"/>
    </row>
    <row r="451" spans="1:37" ht="14.25" customHeight="1" x14ac:dyDescent="0.45">
      <c r="A451" s="618"/>
      <c r="B451" s="618"/>
      <c r="C451" s="5"/>
      <c r="D451" s="618"/>
      <c r="E451" s="618"/>
      <c r="F451" s="618"/>
      <c r="G451" s="618"/>
      <c r="H451" s="618"/>
      <c r="I451" s="618"/>
      <c r="J451" s="618"/>
      <c r="K451" s="618"/>
      <c r="L451" s="618"/>
      <c r="M451" s="618"/>
      <c r="N451" s="618"/>
      <c r="O451" s="618"/>
      <c r="P451" s="618"/>
      <c r="Q451" s="618"/>
      <c r="R451" s="618"/>
      <c r="S451" s="618"/>
      <c r="T451" s="618"/>
      <c r="U451" s="618"/>
      <c r="V451" s="618"/>
      <c r="W451" s="618"/>
      <c r="X451" s="618"/>
      <c r="Y451" s="618"/>
      <c r="Z451" s="618"/>
      <c r="AA451" s="618"/>
      <c r="AB451" s="618"/>
      <c r="AC451" s="618"/>
      <c r="AD451" s="618"/>
      <c r="AE451" s="618"/>
      <c r="AF451" s="618"/>
      <c r="AG451" s="618"/>
      <c r="AH451" s="618"/>
      <c r="AI451" s="618"/>
      <c r="AJ451" s="618"/>
      <c r="AK451" s="618"/>
    </row>
    <row r="452" spans="1:37" ht="14.25" customHeight="1" x14ac:dyDescent="0.45">
      <c r="A452" s="618"/>
      <c r="B452" s="618"/>
      <c r="C452" s="5"/>
      <c r="D452" s="618"/>
      <c r="E452" s="618"/>
      <c r="F452" s="618"/>
      <c r="G452" s="618"/>
      <c r="H452" s="618"/>
      <c r="I452" s="618"/>
      <c r="J452" s="618"/>
      <c r="K452" s="618"/>
      <c r="L452" s="618"/>
      <c r="M452" s="618"/>
      <c r="N452" s="618"/>
      <c r="O452" s="618"/>
      <c r="P452" s="618"/>
      <c r="Q452" s="618"/>
      <c r="R452" s="618"/>
      <c r="S452" s="618"/>
      <c r="T452" s="618"/>
      <c r="U452" s="618"/>
      <c r="V452" s="618"/>
      <c r="W452" s="618"/>
      <c r="X452" s="618"/>
      <c r="Y452" s="618"/>
      <c r="Z452" s="618"/>
      <c r="AA452" s="618"/>
      <c r="AB452" s="618"/>
      <c r="AC452" s="618"/>
      <c r="AD452" s="618"/>
      <c r="AE452" s="618"/>
      <c r="AF452" s="618"/>
      <c r="AG452" s="618"/>
      <c r="AH452" s="618"/>
      <c r="AI452" s="618"/>
      <c r="AJ452" s="618"/>
      <c r="AK452" s="618"/>
    </row>
    <row r="453" spans="1:37" ht="14.25" customHeight="1" x14ac:dyDescent="0.45">
      <c r="A453" s="618"/>
      <c r="B453" s="618"/>
      <c r="C453" s="5"/>
      <c r="D453" s="618"/>
      <c r="E453" s="618"/>
      <c r="F453" s="618"/>
      <c r="G453" s="618"/>
      <c r="H453" s="618"/>
      <c r="I453" s="618"/>
      <c r="J453" s="618"/>
      <c r="K453" s="618"/>
      <c r="L453" s="618"/>
      <c r="M453" s="618"/>
      <c r="N453" s="618"/>
      <c r="O453" s="618"/>
      <c r="P453" s="618"/>
      <c r="Q453" s="618"/>
      <c r="R453" s="618"/>
      <c r="S453" s="618"/>
      <c r="T453" s="618"/>
      <c r="U453" s="618"/>
      <c r="V453" s="618"/>
      <c r="W453" s="618"/>
      <c r="X453" s="618"/>
      <c r="Y453" s="618"/>
      <c r="Z453" s="618"/>
      <c r="AA453" s="618"/>
      <c r="AB453" s="618"/>
      <c r="AC453" s="618"/>
      <c r="AD453" s="618"/>
      <c r="AE453" s="618"/>
      <c r="AF453" s="618"/>
      <c r="AG453" s="618"/>
      <c r="AH453" s="618"/>
      <c r="AI453" s="618"/>
      <c r="AJ453" s="618"/>
      <c r="AK453" s="618"/>
    </row>
    <row r="454" spans="1:37" ht="14.25" customHeight="1" x14ac:dyDescent="0.45">
      <c r="A454" s="618"/>
      <c r="B454" s="618"/>
      <c r="C454" s="5"/>
      <c r="D454" s="618"/>
      <c r="E454" s="618"/>
      <c r="F454" s="618"/>
      <c r="G454" s="618"/>
      <c r="H454" s="618"/>
      <c r="I454" s="618"/>
      <c r="J454" s="618"/>
      <c r="K454" s="618"/>
      <c r="L454" s="618"/>
      <c r="M454" s="618"/>
      <c r="N454" s="618"/>
      <c r="O454" s="618"/>
      <c r="P454" s="618"/>
      <c r="Q454" s="618"/>
      <c r="R454" s="618"/>
      <c r="S454" s="618"/>
      <c r="T454" s="618"/>
      <c r="U454" s="618"/>
      <c r="V454" s="618"/>
      <c r="W454" s="618"/>
      <c r="X454" s="618"/>
      <c r="Y454" s="618"/>
      <c r="Z454" s="618"/>
      <c r="AA454" s="618"/>
      <c r="AB454" s="618"/>
      <c r="AC454" s="618"/>
      <c r="AD454" s="618"/>
      <c r="AE454" s="618"/>
      <c r="AF454" s="618"/>
      <c r="AG454" s="618"/>
      <c r="AH454" s="618"/>
      <c r="AI454" s="618"/>
      <c r="AJ454" s="618"/>
      <c r="AK454" s="618"/>
    </row>
    <row r="455" spans="1:37" ht="14.25" customHeight="1" x14ac:dyDescent="0.45">
      <c r="A455" s="618"/>
      <c r="B455" s="618"/>
      <c r="C455" s="5"/>
      <c r="D455" s="618"/>
      <c r="E455" s="618"/>
      <c r="F455" s="618"/>
      <c r="G455" s="618"/>
      <c r="H455" s="618"/>
      <c r="I455" s="618"/>
      <c r="J455" s="618"/>
      <c r="K455" s="618"/>
      <c r="L455" s="618"/>
      <c r="M455" s="618"/>
      <c r="N455" s="618"/>
      <c r="O455" s="618"/>
      <c r="P455" s="618"/>
      <c r="Q455" s="618"/>
      <c r="R455" s="618"/>
      <c r="S455" s="618"/>
      <c r="T455" s="618"/>
      <c r="U455" s="618"/>
      <c r="V455" s="618"/>
      <c r="W455" s="618"/>
      <c r="X455" s="618"/>
      <c r="Y455" s="618"/>
      <c r="Z455" s="618"/>
      <c r="AA455" s="618"/>
      <c r="AB455" s="618"/>
      <c r="AC455" s="618"/>
      <c r="AD455" s="618"/>
      <c r="AE455" s="618"/>
      <c r="AF455" s="618"/>
      <c r="AG455" s="618"/>
      <c r="AH455" s="618"/>
      <c r="AI455" s="618"/>
      <c r="AJ455" s="618"/>
      <c r="AK455" s="618"/>
    </row>
    <row r="456" spans="1:37" ht="14.25" customHeight="1" x14ac:dyDescent="0.45">
      <c r="A456" s="618"/>
      <c r="B456" s="618"/>
      <c r="C456" s="5"/>
      <c r="D456" s="618"/>
      <c r="E456" s="618"/>
      <c r="F456" s="618"/>
      <c r="G456" s="618"/>
      <c r="H456" s="618"/>
      <c r="I456" s="618"/>
      <c r="J456" s="618"/>
      <c r="K456" s="618"/>
      <c r="L456" s="618"/>
      <c r="M456" s="618"/>
      <c r="N456" s="618"/>
      <c r="O456" s="618"/>
      <c r="P456" s="618"/>
      <c r="Q456" s="618"/>
      <c r="R456" s="618"/>
      <c r="S456" s="618"/>
      <c r="T456" s="618"/>
      <c r="U456" s="618"/>
      <c r="V456" s="618"/>
      <c r="W456" s="618"/>
      <c r="X456" s="618"/>
      <c r="Y456" s="618"/>
      <c r="Z456" s="618"/>
      <c r="AA456" s="618"/>
      <c r="AB456" s="618"/>
      <c r="AC456" s="618"/>
      <c r="AD456" s="618"/>
      <c r="AE456" s="618"/>
      <c r="AF456" s="618"/>
      <c r="AG456" s="618"/>
      <c r="AH456" s="618"/>
      <c r="AI456" s="618"/>
      <c r="AJ456" s="618"/>
      <c r="AK456" s="618"/>
    </row>
    <row r="457" spans="1:37" ht="14.25" customHeight="1" x14ac:dyDescent="0.45">
      <c r="A457" s="618"/>
      <c r="B457" s="618"/>
      <c r="C457" s="5"/>
      <c r="D457" s="618"/>
      <c r="E457" s="618"/>
      <c r="F457" s="618"/>
      <c r="G457" s="618"/>
      <c r="H457" s="618"/>
      <c r="I457" s="618"/>
      <c r="J457" s="618"/>
      <c r="K457" s="618"/>
      <c r="L457" s="618"/>
      <c r="M457" s="618"/>
      <c r="N457" s="618"/>
      <c r="O457" s="618"/>
      <c r="P457" s="618"/>
      <c r="Q457" s="618"/>
      <c r="R457" s="618"/>
      <c r="S457" s="618"/>
      <c r="T457" s="618"/>
      <c r="U457" s="618"/>
      <c r="V457" s="618"/>
      <c r="W457" s="618"/>
      <c r="X457" s="618"/>
      <c r="Y457" s="618"/>
      <c r="Z457" s="618"/>
      <c r="AA457" s="618"/>
      <c r="AB457" s="618"/>
      <c r="AC457" s="618"/>
      <c r="AD457" s="618"/>
      <c r="AE457" s="618"/>
      <c r="AF457" s="618"/>
      <c r="AG457" s="618"/>
      <c r="AH457" s="618"/>
      <c r="AI457" s="618"/>
      <c r="AJ457" s="618"/>
      <c r="AK457" s="618"/>
    </row>
    <row r="458" spans="1:37" ht="14.25" customHeight="1" x14ac:dyDescent="0.45">
      <c r="A458" s="618"/>
      <c r="B458" s="618"/>
      <c r="C458" s="5"/>
      <c r="D458" s="618"/>
      <c r="E458" s="618"/>
      <c r="F458" s="618"/>
      <c r="G458" s="618"/>
      <c r="H458" s="618"/>
      <c r="I458" s="618"/>
      <c r="J458" s="618"/>
      <c r="K458" s="618"/>
      <c r="L458" s="618"/>
      <c r="M458" s="618"/>
      <c r="N458" s="618"/>
      <c r="O458" s="618"/>
      <c r="P458" s="618"/>
      <c r="Q458" s="618"/>
      <c r="R458" s="618"/>
      <c r="S458" s="618"/>
      <c r="T458" s="618"/>
      <c r="U458" s="618"/>
      <c r="V458" s="618"/>
      <c r="W458" s="618"/>
      <c r="X458" s="618"/>
      <c r="Y458" s="618"/>
      <c r="Z458" s="618"/>
      <c r="AA458" s="618"/>
      <c r="AB458" s="618"/>
      <c r="AC458" s="618"/>
      <c r="AD458" s="618"/>
      <c r="AE458" s="618"/>
      <c r="AF458" s="618"/>
      <c r="AG458" s="618"/>
      <c r="AH458" s="618"/>
      <c r="AI458" s="618"/>
      <c r="AJ458" s="618"/>
      <c r="AK458" s="618"/>
    </row>
    <row r="459" spans="1:37" ht="14.25" customHeight="1" x14ac:dyDescent="0.45">
      <c r="A459" s="618"/>
      <c r="B459" s="618"/>
      <c r="C459" s="5"/>
      <c r="D459" s="618"/>
      <c r="E459" s="618"/>
      <c r="F459" s="618"/>
      <c r="G459" s="618"/>
      <c r="H459" s="618"/>
      <c r="I459" s="618"/>
      <c r="J459" s="618"/>
      <c r="K459" s="618"/>
      <c r="L459" s="618"/>
      <c r="M459" s="618"/>
      <c r="N459" s="618"/>
      <c r="O459" s="618"/>
      <c r="P459" s="618"/>
      <c r="Q459" s="618"/>
      <c r="R459" s="618"/>
      <c r="S459" s="618"/>
      <c r="T459" s="618"/>
      <c r="U459" s="618"/>
      <c r="V459" s="618"/>
      <c r="W459" s="618"/>
      <c r="X459" s="618"/>
      <c r="Y459" s="618"/>
      <c r="Z459" s="618"/>
      <c r="AA459" s="618"/>
      <c r="AB459" s="618"/>
      <c r="AC459" s="618"/>
      <c r="AD459" s="618"/>
      <c r="AE459" s="618"/>
      <c r="AF459" s="618"/>
      <c r="AG459" s="618"/>
      <c r="AH459" s="618"/>
      <c r="AI459" s="618"/>
      <c r="AJ459" s="618"/>
      <c r="AK459" s="618"/>
    </row>
    <row r="460" spans="1:37" ht="14.25" customHeight="1" x14ac:dyDescent="0.45">
      <c r="A460" s="618"/>
      <c r="B460" s="618"/>
      <c r="C460" s="5"/>
      <c r="D460" s="618"/>
      <c r="E460" s="618"/>
      <c r="F460" s="618"/>
      <c r="G460" s="618"/>
      <c r="H460" s="618"/>
      <c r="I460" s="618"/>
      <c r="J460" s="618"/>
      <c r="K460" s="618"/>
      <c r="L460" s="618"/>
      <c r="M460" s="618"/>
      <c r="N460" s="618"/>
      <c r="O460" s="618"/>
      <c r="P460" s="618"/>
      <c r="Q460" s="618"/>
      <c r="R460" s="618"/>
      <c r="S460" s="618"/>
      <c r="T460" s="618"/>
      <c r="U460" s="618"/>
      <c r="V460" s="618"/>
      <c r="W460" s="618"/>
      <c r="X460" s="618"/>
      <c r="Y460" s="618"/>
      <c r="Z460" s="618"/>
      <c r="AA460" s="618"/>
      <c r="AB460" s="618"/>
      <c r="AC460" s="618"/>
      <c r="AD460" s="618"/>
      <c r="AE460" s="618"/>
      <c r="AF460" s="618"/>
      <c r="AG460" s="618"/>
      <c r="AH460" s="618"/>
      <c r="AI460" s="618"/>
      <c r="AJ460" s="618"/>
      <c r="AK460" s="618"/>
    </row>
    <row r="461" spans="1:37" ht="14.25" customHeight="1" x14ac:dyDescent="0.45">
      <c r="A461" s="618"/>
      <c r="B461" s="618"/>
      <c r="C461" s="5"/>
      <c r="D461" s="618"/>
      <c r="E461" s="618"/>
      <c r="F461" s="618"/>
      <c r="G461" s="618"/>
      <c r="H461" s="618"/>
      <c r="I461" s="618"/>
      <c r="J461" s="618"/>
      <c r="K461" s="618"/>
      <c r="L461" s="618"/>
      <c r="M461" s="618"/>
      <c r="N461" s="618"/>
      <c r="O461" s="618"/>
      <c r="P461" s="618"/>
      <c r="Q461" s="618"/>
      <c r="R461" s="618"/>
      <c r="S461" s="618"/>
      <c r="T461" s="618"/>
      <c r="U461" s="618"/>
      <c r="V461" s="618"/>
      <c r="W461" s="618"/>
      <c r="X461" s="618"/>
      <c r="Y461" s="618"/>
      <c r="Z461" s="618"/>
      <c r="AA461" s="618"/>
      <c r="AB461" s="618"/>
      <c r="AC461" s="618"/>
      <c r="AD461" s="618"/>
      <c r="AE461" s="618"/>
      <c r="AF461" s="618"/>
      <c r="AG461" s="618"/>
      <c r="AH461" s="618"/>
      <c r="AI461" s="618"/>
      <c r="AJ461" s="618"/>
      <c r="AK461" s="618"/>
    </row>
    <row r="462" spans="1:37" ht="14.25" customHeight="1" x14ac:dyDescent="0.45">
      <c r="A462" s="618"/>
      <c r="B462" s="618"/>
      <c r="C462" s="5"/>
      <c r="D462" s="618"/>
      <c r="E462" s="618"/>
      <c r="F462" s="618"/>
      <c r="G462" s="618"/>
      <c r="H462" s="618"/>
      <c r="I462" s="618"/>
      <c r="J462" s="618"/>
      <c r="K462" s="618"/>
      <c r="L462" s="618"/>
      <c r="M462" s="618"/>
      <c r="N462" s="618"/>
      <c r="O462" s="618"/>
      <c r="P462" s="618"/>
      <c r="Q462" s="618"/>
      <c r="R462" s="618"/>
      <c r="S462" s="618"/>
      <c r="T462" s="618"/>
      <c r="U462" s="618"/>
      <c r="V462" s="618"/>
      <c r="W462" s="618"/>
      <c r="X462" s="618"/>
      <c r="Y462" s="618"/>
      <c r="Z462" s="618"/>
      <c r="AA462" s="618"/>
      <c r="AB462" s="618"/>
      <c r="AC462" s="618"/>
      <c r="AD462" s="618"/>
      <c r="AE462" s="618"/>
      <c r="AF462" s="618"/>
      <c r="AG462" s="618"/>
      <c r="AH462" s="618"/>
      <c r="AI462" s="618"/>
      <c r="AJ462" s="618"/>
      <c r="AK462" s="618"/>
    </row>
    <row r="463" spans="1:37" ht="14.25" customHeight="1" x14ac:dyDescent="0.45">
      <c r="A463" s="618"/>
      <c r="B463" s="618"/>
      <c r="C463" s="5"/>
      <c r="D463" s="618"/>
      <c r="E463" s="618"/>
      <c r="F463" s="618"/>
      <c r="G463" s="618"/>
      <c r="H463" s="618"/>
      <c r="I463" s="618"/>
      <c r="J463" s="618"/>
      <c r="K463" s="618"/>
      <c r="L463" s="618"/>
      <c r="M463" s="618"/>
      <c r="N463" s="618"/>
      <c r="O463" s="618"/>
      <c r="P463" s="618"/>
      <c r="Q463" s="618"/>
      <c r="R463" s="618"/>
      <c r="S463" s="618"/>
      <c r="T463" s="618"/>
      <c r="U463" s="618"/>
      <c r="V463" s="618"/>
      <c r="W463" s="618"/>
      <c r="X463" s="618"/>
      <c r="Y463" s="618"/>
      <c r="Z463" s="618"/>
      <c r="AA463" s="618"/>
      <c r="AB463" s="618"/>
      <c r="AC463" s="618"/>
      <c r="AD463" s="618"/>
      <c r="AE463" s="618"/>
      <c r="AF463" s="618"/>
      <c r="AG463" s="618"/>
      <c r="AH463" s="618"/>
      <c r="AI463" s="618"/>
      <c r="AJ463" s="618"/>
      <c r="AK463" s="618"/>
    </row>
    <row r="464" spans="1:37" ht="14.25" customHeight="1" x14ac:dyDescent="0.45">
      <c r="A464" s="618"/>
      <c r="B464" s="618"/>
      <c r="C464" s="5"/>
      <c r="D464" s="618"/>
      <c r="E464" s="618"/>
      <c r="F464" s="618"/>
      <c r="G464" s="618"/>
      <c r="H464" s="618"/>
      <c r="I464" s="618"/>
      <c r="J464" s="618"/>
      <c r="K464" s="618"/>
      <c r="L464" s="618"/>
      <c r="M464" s="618"/>
      <c r="N464" s="618"/>
      <c r="O464" s="618"/>
      <c r="P464" s="618"/>
      <c r="Q464" s="618"/>
      <c r="R464" s="618"/>
      <c r="S464" s="618"/>
      <c r="T464" s="618"/>
      <c r="U464" s="618"/>
      <c r="V464" s="618"/>
      <c r="W464" s="618"/>
      <c r="X464" s="618"/>
      <c r="Y464" s="618"/>
      <c r="Z464" s="618"/>
      <c r="AA464" s="618"/>
      <c r="AB464" s="618"/>
      <c r="AC464" s="618"/>
      <c r="AD464" s="618"/>
      <c r="AE464" s="618"/>
      <c r="AF464" s="618"/>
      <c r="AG464" s="618"/>
      <c r="AH464" s="618"/>
      <c r="AI464" s="618"/>
      <c r="AJ464" s="618"/>
      <c r="AK464" s="618"/>
    </row>
    <row r="465" spans="1:37" ht="14.25" customHeight="1" x14ac:dyDescent="0.45">
      <c r="A465" s="618"/>
      <c r="B465" s="618"/>
      <c r="C465" s="5"/>
      <c r="D465" s="618"/>
      <c r="E465" s="618"/>
      <c r="F465" s="618"/>
      <c r="G465" s="618"/>
      <c r="H465" s="618"/>
      <c r="I465" s="618"/>
      <c r="J465" s="618"/>
      <c r="K465" s="618"/>
      <c r="L465" s="618"/>
      <c r="M465" s="618"/>
      <c r="N465" s="618"/>
      <c r="O465" s="618"/>
      <c r="P465" s="618"/>
      <c r="Q465" s="618"/>
      <c r="R465" s="618"/>
      <c r="S465" s="618"/>
      <c r="T465" s="618"/>
      <c r="U465" s="618"/>
      <c r="V465" s="618"/>
      <c r="W465" s="618"/>
      <c r="X465" s="618"/>
      <c r="Y465" s="618"/>
      <c r="Z465" s="618"/>
      <c r="AA465" s="618"/>
      <c r="AB465" s="618"/>
      <c r="AC465" s="618"/>
      <c r="AD465" s="618"/>
      <c r="AE465" s="618"/>
      <c r="AF465" s="618"/>
      <c r="AG465" s="618"/>
      <c r="AH465" s="618"/>
      <c r="AI465" s="618"/>
      <c r="AJ465" s="618"/>
      <c r="AK465" s="618"/>
    </row>
    <row r="466" spans="1:37" ht="14.25" customHeight="1" x14ac:dyDescent="0.45">
      <c r="A466" s="618"/>
      <c r="B466" s="618"/>
      <c r="C466" s="5"/>
      <c r="D466" s="618"/>
      <c r="E466" s="618"/>
      <c r="F466" s="618"/>
      <c r="G466" s="618"/>
      <c r="H466" s="618"/>
      <c r="I466" s="618"/>
      <c r="J466" s="618"/>
      <c r="K466" s="618"/>
      <c r="L466" s="618"/>
      <c r="M466" s="618"/>
      <c r="N466" s="618"/>
      <c r="O466" s="618"/>
      <c r="P466" s="618"/>
      <c r="Q466" s="618"/>
      <c r="R466" s="618"/>
      <c r="S466" s="618"/>
      <c r="T466" s="618"/>
      <c r="U466" s="618"/>
      <c r="V466" s="618"/>
      <c r="W466" s="618"/>
      <c r="X466" s="618"/>
      <c r="Y466" s="618"/>
      <c r="Z466" s="618"/>
      <c r="AA466" s="618"/>
      <c r="AB466" s="618"/>
      <c r="AC466" s="618"/>
      <c r="AD466" s="618"/>
      <c r="AE466" s="618"/>
      <c r="AF466" s="618"/>
      <c r="AG466" s="618"/>
      <c r="AH466" s="618"/>
      <c r="AI466" s="618"/>
      <c r="AJ466" s="618"/>
      <c r="AK466" s="618"/>
    </row>
    <row r="467" spans="1:37" ht="14.25" customHeight="1" x14ac:dyDescent="0.45">
      <c r="A467" s="618"/>
      <c r="B467" s="618"/>
      <c r="C467" s="5"/>
      <c r="D467" s="618"/>
      <c r="E467" s="618"/>
      <c r="F467" s="618"/>
      <c r="G467" s="618"/>
      <c r="H467" s="618"/>
      <c r="I467" s="618"/>
      <c r="J467" s="618"/>
      <c r="K467" s="618"/>
      <c r="L467" s="618"/>
      <c r="M467" s="618"/>
      <c r="N467" s="618"/>
      <c r="O467" s="618"/>
      <c r="P467" s="618"/>
      <c r="Q467" s="618"/>
      <c r="R467" s="618"/>
      <c r="S467" s="618"/>
      <c r="T467" s="618"/>
      <c r="U467" s="618"/>
      <c r="V467" s="618"/>
      <c r="W467" s="618"/>
      <c r="X467" s="618"/>
      <c r="Y467" s="618"/>
      <c r="Z467" s="618"/>
      <c r="AA467" s="618"/>
      <c r="AB467" s="618"/>
      <c r="AC467" s="618"/>
      <c r="AD467" s="618"/>
      <c r="AE467" s="618"/>
      <c r="AF467" s="618"/>
      <c r="AG467" s="618"/>
      <c r="AH467" s="618"/>
      <c r="AI467" s="618"/>
      <c r="AJ467" s="618"/>
      <c r="AK467" s="618"/>
    </row>
    <row r="468" spans="1:37" ht="14.25" customHeight="1" x14ac:dyDescent="0.45">
      <c r="A468" s="618"/>
      <c r="B468" s="618"/>
      <c r="C468" s="5"/>
      <c r="D468" s="618"/>
      <c r="E468" s="618"/>
      <c r="F468" s="618"/>
      <c r="G468" s="618"/>
      <c r="H468" s="618"/>
      <c r="I468" s="618"/>
      <c r="J468" s="618"/>
      <c r="K468" s="618"/>
      <c r="L468" s="618"/>
      <c r="M468" s="618"/>
      <c r="N468" s="618"/>
      <c r="O468" s="618"/>
      <c r="P468" s="618"/>
      <c r="Q468" s="618"/>
      <c r="R468" s="618"/>
      <c r="S468" s="618"/>
      <c r="T468" s="618"/>
      <c r="U468" s="618"/>
      <c r="V468" s="618"/>
      <c r="W468" s="618"/>
      <c r="X468" s="618"/>
      <c r="Y468" s="618"/>
      <c r="Z468" s="618"/>
      <c r="AA468" s="618"/>
      <c r="AB468" s="618"/>
      <c r="AC468" s="618"/>
      <c r="AD468" s="618"/>
      <c r="AE468" s="618"/>
      <c r="AF468" s="618"/>
      <c r="AG468" s="618"/>
      <c r="AH468" s="618"/>
      <c r="AI468" s="618"/>
      <c r="AJ468" s="618"/>
      <c r="AK468" s="618"/>
    </row>
    <row r="469" spans="1:37" ht="14.25" customHeight="1" x14ac:dyDescent="0.45">
      <c r="A469" s="618"/>
      <c r="B469" s="618"/>
      <c r="C469" s="5"/>
      <c r="D469" s="618"/>
      <c r="E469" s="618"/>
      <c r="F469" s="618"/>
      <c r="G469" s="618"/>
      <c r="H469" s="618"/>
      <c r="I469" s="618"/>
      <c r="J469" s="618"/>
      <c r="K469" s="618"/>
      <c r="L469" s="618"/>
      <c r="M469" s="618"/>
      <c r="N469" s="618"/>
      <c r="O469" s="618"/>
      <c r="P469" s="618"/>
      <c r="Q469" s="618"/>
      <c r="R469" s="618"/>
      <c r="S469" s="618"/>
      <c r="T469" s="618"/>
      <c r="U469" s="618"/>
      <c r="V469" s="618"/>
      <c r="W469" s="618"/>
      <c r="X469" s="618"/>
      <c r="Y469" s="618"/>
      <c r="Z469" s="618"/>
      <c r="AA469" s="618"/>
      <c r="AB469" s="618"/>
      <c r="AC469" s="618"/>
      <c r="AD469" s="618"/>
      <c r="AE469" s="618"/>
      <c r="AF469" s="618"/>
      <c r="AG469" s="618"/>
      <c r="AH469" s="618"/>
      <c r="AI469" s="618"/>
      <c r="AJ469" s="618"/>
      <c r="AK469" s="618"/>
    </row>
    <row r="470" spans="1:37" ht="14.25" customHeight="1" x14ac:dyDescent="0.45">
      <c r="A470" s="618"/>
      <c r="B470" s="618"/>
      <c r="C470" s="5"/>
      <c r="D470" s="618"/>
      <c r="E470" s="618"/>
      <c r="F470" s="618"/>
      <c r="G470" s="618"/>
      <c r="H470" s="618"/>
      <c r="I470" s="618"/>
      <c r="J470" s="618"/>
      <c r="K470" s="618"/>
      <c r="L470" s="618"/>
      <c r="M470" s="618"/>
      <c r="N470" s="618"/>
      <c r="O470" s="618"/>
      <c r="P470" s="618"/>
      <c r="Q470" s="618"/>
      <c r="R470" s="618"/>
      <c r="S470" s="618"/>
      <c r="T470" s="618"/>
      <c r="U470" s="618"/>
      <c r="V470" s="618"/>
      <c r="W470" s="618"/>
      <c r="X470" s="618"/>
      <c r="Y470" s="618"/>
      <c r="Z470" s="618"/>
      <c r="AA470" s="618"/>
      <c r="AB470" s="618"/>
      <c r="AC470" s="618"/>
      <c r="AD470" s="618"/>
      <c r="AE470" s="618"/>
      <c r="AF470" s="618"/>
      <c r="AG470" s="618"/>
      <c r="AH470" s="618"/>
      <c r="AI470" s="618"/>
      <c r="AJ470" s="618"/>
      <c r="AK470" s="618"/>
    </row>
    <row r="471" spans="1:37" ht="14.25" customHeight="1" x14ac:dyDescent="0.45">
      <c r="A471" s="618"/>
      <c r="B471" s="618"/>
      <c r="C471" s="5"/>
      <c r="D471" s="618"/>
      <c r="E471" s="618"/>
      <c r="F471" s="618"/>
      <c r="G471" s="618"/>
      <c r="H471" s="618"/>
      <c r="I471" s="618"/>
      <c r="J471" s="618"/>
      <c r="K471" s="618"/>
      <c r="L471" s="618"/>
      <c r="M471" s="618"/>
      <c r="N471" s="618"/>
      <c r="O471" s="618"/>
      <c r="P471" s="618"/>
      <c r="Q471" s="618"/>
      <c r="R471" s="618"/>
      <c r="S471" s="618"/>
      <c r="T471" s="618"/>
      <c r="U471" s="618"/>
      <c r="V471" s="618"/>
      <c r="W471" s="618"/>
      <c r="X471" s="618"/>
      <c r="Y471" s="618"/>
      <c r="Z471" s="618"/>
      <c r="AA471" s="618"/>
      <c r="AB471" s="618"/>
      <c r="AC471" s="618"/>
      <c r="AD471" s="618"/>
      <c r="AE471" s="618"/>
      <c r="AF471" s="618"/>
      <c r="AG471" s="618"/>
      <c r="AH471" s="618"/>
      <c r="AI471" s="618"/>
      <c r="AJ471" s="618"/>
      <c r="AK471" s="618"/>
    </row>
    <row r="472" spans="1:37" ht="14.25" customHeight="1" x14ac:dyDescent="0.45">
      <c r="A472" s="618"/>
      <c r="B472" s="618"/>
      <c r="C472" s="5"/>
      <c r="D472" s="618"/>
      <c r="E472" s="618"/>
      <c r="F472" s="618"/>
      <c r="G472" s="618"/>
      <c r="H472" s="618"/>
      <c r="I472" s="618"/>
      <c r="J472" s="618"/>
      <c r="K472" s="618"/>
      <c r="L472" s="618"/>
      <c r="M472" s="618"/>
      <c r="N472" s="618"/>
      <c r="O472" s="618"/>
      <c r="P472" s="618"/>
      <c r="Q472" s="618"/>
      <c r="R472" s="618"/>
      <c r="S472" s="618"/>
      <c r="T472" s="618"/>
      <c r="U472" s="618"/>
      <c r="V472" s="618"/>
      <c r="W472" s="618"/>
      <c r="X472" s="618"/>
      <c r="Y472" s="618"/>
      <c r="Z472" s="618"/>
      <c r="AA472" s="618"/>
      <c r="AB472" s="618"/>
      <c r="AC472" s="618"/>
      <c r="AD472" s="618"/>
      <c r="AE472" s="618"/>
      <c r="AF472" s="618"/>
      <c r="AG472" s="618"/>
      <c r="AH472" s="618"/>
      <c r="AI472" s="618"/>
      <c r="AJ472" s="618"/>
      <c r="AK472" s="618"/>
    </row>
    <row r="473" spans="1:37" ht="14.25" customHeight="1" x14ac:dyDescent="0.45">
      <c r="A473" s="618"/>
      <c r="B473" s="618"/>
      <c r="C473" s="5"/>
      <c r="D473" s="618"/>
      <c r="E473" s="618"/>
      <c r="F473" s="618"/>
      <c r="G473" s="618"/>
      <c r="H473" s="618"/>
      <c r="I473" s="618"/>
      <c r="J473" s="618"/>
      <c r="K473" s="618"/>
      <c r="L473" s="618"/>
      <c r="M473" s="618"/>
      <c r="N473" s="618"/>
      <c r="O473" s="618"/>
      <c r="P473" s="618"/>
      <c r="Q473" s="618"/>
      <c r="R473" s="618"/>
      <c r="S473" s="618"/>
      <c r="T473" s="618"/>
      <c r="U473" s="618"/>
      <c r="V473" s="618"/>
      <c r="W473" s="618"/>
      <c r="X473" s="618"/>
      <c r="Y473" s="618"/>
      <c r="Z473" s="618"/>
      <c r="AA473" s="618"/>
      <c r="AB473" s="618"/>
      <c r="AC473" s="618"/>
      <c r="AD473" s="618"/>
      <c r="AE473" s="618"/>
      <c r="AF473" s="618"/>
      <c r="AG473" s="618"/>
      <c r="AH473" s="618"/>
      <c r="AI473" s="618"/>
      <c r="AJ473" s="618"/>
      <c r="AK473" s="618"/>
    </row>
    <row r="474" spans="1:37" ht="14.25" customHeight="1" x14ac:dyDescent="0.45">
      <c r="A474" s="618"/>
      <c r="B474" s="618"/>
      <c r="C474" s="5"/>
      <c r="D474" s="618"/>
      <c r="E474" s="618"/>
      <c r="F474" s="618"/>
      <c r="G474" s="618"/>
      <c r="H474" s="618"/>
      <c r="I474" s="618"/>
      <c r="J474" s="618"/>
      <c r="K474" s="618"/>
      <c r="L474" s="618"/>
      <c r="M474" s="618"/>
      <c r="N474" s="618"/>
      <c r="O474" s="618"/>
      <c r="P474" s="618"/>
      <c r="Q474" s="618"/>
      <c r="R474" s="618"/>
      <c r="S474" s="618"/>
      <c r="T474" s="618"/>
      <c r="U474" s="618"/>
      <c r="V474" s="618"/>
      <c r="W474" s="618"/>
      <c r="X474" s="618"/>
      <c r="Y474" s="618"/>
      <c r="Z474" s="618"/>
      <c r="AA474" s="618"/>
      <c r="AB474" s="618"/>
      <c r="AC474" s="618"/>
      <c r="AD474" s="618"/>
      <c r="AE474" s="618"/>
      <c r="AF474" s="618"/>
      <c r="AG474" s="618"/>
      <c r="AH474" s="618"/>
      <c r="AI474" s="618"/>
      <c r="AJ474" s="618"/>
      <c r="AK474" s="618"/>
    </row>
    <row r="475" spans="1:37" ht="14.25" customHeight="1" x14ac:dyDescent="0.45">
      <c r="A475" s="618"/>
      <c r="B475" s="618"/>
      <c r="C475" s="5"/>
      <c r="D475" s="618"/>
      <c r="E475" s="618"/>
      <c r="F475" s="618"/>
      <c r="G475" s="618"/>
      <c r="H475" s="618"/>
      <c r="I475" s="618"/>
      <c r="J475" s="618"/>
      <c r="K475" s="618"/>
      <c r="L475" s="618"/>
      <c r="M475" s="618"/>
      <c r="N475" s="618"/>
      <c r="O475" s="618"/>
      <c r="P475" s="618"/>
      <c r="Q475" s="618"/>
      <c r="R475" s="618"/>
      <c r="S475" s="618"/>
      <c r="T475" s="618"/>
      <c r="U475" s="618"/>
      <c r="V475" s="618"/>
      <c r="W475" s="618"/>
      <c r="X475" s="618"/>
      <c r="Y475" s="618"/>
      <c r="Z475" s="618"/>
      <c r="AA475" s="618"/>
      <c r="AB475" s="618"/>
      <c r="AC475" s="618"/>
      <c r="AD475" s="618"/>
      <c r="AE475" s="618"/>
      <c r="AF475" s="618"/>
      <c r="AG475" s="618"/>
      <c r="AH475" s="618"/>
      <c r="AI475" s="618"/>
      <c r="AJ475" s="618"/>
      <c r="AK475" s="618"/>
    </row>
    <row r="476" spans="1:37" ht="14.25" customHeight="1" x14ac:dyDescent="0.45">
      <c r="A476" s="618"/>
      <c r="B476" s="618"/>
      <c r="C476" s="5"/>
      <c r="D476" s="618"/>
      <c r="E476" s="618"/>
      <c r="F476" s="618"/>
      <c r="G476" s="618"/>
      <c r="H476" s="618"/>
      <c r="I476" s="618"/>
      <c r="J476" s="618"/>
      <c r="K476" s="618"/>
      <c r="L476" s="618"/>
      <c r="M476" s="618"/>
      <c r="N476" s="618"/>
      <c r="O476" s="618"/>
      <c r="P476" s="618"/>
      <c r="Q476" s="618"/>
      <c r="R476" s="618"/>
      <c r="S476" s="618"/>
      <c r="T476" s="618"/>
      <c r="U476" s="618"/>
      <c r="V476" s="618"/>
      <c r="W476" s="618"/>
      <c r="X476" s="618"/>
      <c r="Y476" s="618"/>
      <c r="Z476" s="618"/>
      <c r="AA476" s="618"/>
      <c r="AB476" s="618"/>
      <c r="AC476" s="618"/>
      <c r="AD476" s="618"/>
      <c r="AE476" s="618"/>
      <c r="AF476" s="618"/>
      <c r="AG476" s="618"/>
      <c r="AH476" s="618"/>
      <c r="AI476" s="618"/>
      <c r="AJ476" s="618"/>
      <c r="AK476" s="618"/>
    </row>
    <row r="477" spans="1:37" ht="14.25" customHeight="1" x14ac:dyDescent="0.45">
      <c r="A477" s="618"/>
      <c r="B477" s="618"/>
      <c r="C477" s="5"/>
      <c r="D477" s="618"/>
      <c r="E477" s="618"/>
      <c r="F477" s="618"/>
      <c r="G477" s="618"/>
      <c r="H477" s="618"/>
      <c r="I477" s="618"/>
      <c r="J477" s="618"/>
      <c r="K477" s="618"/>
      <c r="L477" s="618"/>
      <c r="M477" s="618"/>
      <c r="N477" s="618"/>
      <c r="O477" s="618"/>
      <c r="P477" s="618"/>
      <c r="Q477" s="618"/>
      <c r="R477" s="618"/>
      <c r="S477" s="618"/>
      <c r="T477" s="618"/>
      <c r="U477" s="618"/>
      <c r="V477" s="618"/>
      <c r="W477" s="618"/>
      <c r="X477" s="618"/>
      <c r="Y477" s="618"/>
      <c r="Z477" s="618"/>
      <c r="AA477" s="618"/>
      <c r="AB477" s="618"/>
      <c r="AC477" s="618"/>
      <c r="AD477" s="618"/>
      <c r="AE477" s="618"/>
      <c r="AF477" s="618"/>
      <c r="AG477" s="618"/>
      <c r="AH477" s="618"/>
      <c r="AI477" s="618"/>
      <c r="AJ477" s="618"/>
      <c r="AK477" s="618"/>
    </row>
    <row r="478" spans="1:37" ht="14.25" customHeight="1" x14ac:dyDescent="0.45">
      <c r="A478" s="618"/>
      <c r="B478" s="618"/>
      <c r="C478" s="5"/>
      <c r="D478" s="618"/>
      <c r="E478" s="618"/>
      <c r="F478" s="618"/>
      <c r="G478" s="618"/>
      <c r="H478" s="618"/>
      <c r="I478" s="618"/>
      <c r="J478" s="618"/>
      <c r="K478" s="618"/>
      <c r="L478" s="618"/>
      <c r="M478" s="618"/>
      <c r="N478" s="618"/>
      <c r="O478" s="618"/>
      <c r="P478" s="618"/>
      <c r="Q478" s="618"/>
      <c r="R478" s="618"/>
      <c r="S478" s="618"/>
      <c r="T478" s="618"/>
      <c r="U478" s="618"/>
      <c r="V478" s="618"/>
      <c r="W478" s="618"/>
      <c r="X478" s="618"/>
      <c r="Y478" s="618"/>
      <c r="Z478" s="618"/>
      <c r="AA478" s="618"/>
      <c r="AB478" s="618"/>
      <c r="AC478" s="618"/>
      <c r="AD478" s="618"/>
      <c r="AE478" s="618"/>
      <c r="AF478" s="618"/>
      <c r="AG478" s="618"/>
      <c r="AH478" s="618"/>
      <c r="AI478" s="618"/>
      <c r="AJ478" s="618"/>
      <c r="AK478" s="618"/>
    </row>
    <row r="479" spans="1:37" ht="14.25" customHeight="1" x14ac:dyDescent="0.45">
      <c r="A479" s="618"/>
      <c r="B479" s="618"/>
      <c r="C479" s="5"/>
      <c r="D479" s="618"/>
      <c r="E479" s="618"/>
      <c r="F479" s="618"/>
      <c r="G479" s="618"/>
      <c r="H479" s="618"/>
      <c r="I479" s="618"/>
      <c r="J479" s="618"/>
      <c r="K479" s="618"/>
      <c r="L479" s="618"/>
      <c r="M479" s="618"/>
      <c r="N479" s="618"/>
      <c r="O479" s="618"/>
      <c r="P479" s="618"/>
      <c r="Q479" s="618"/>
      <c r="R479" s="618"/>
      <c r="S479" s="618"/>
      <c r="T479" s="618"/>
      <c r="U479" s="618"/>
      <c r="V479" s="618"/>
      <c r="W479" s="618"/>
      <c r="X479" s="618"/>
      <c r="Y479" s="618"/>
      <c r="Z479" s="618"/>
      <c r="AA479" s="618"/>
      <c r="AB479" s="618"/>
      <c r="AC479" s="618"/>
      <c r="AD479" s="618"/>
      <c r="AE479" s="618"/>
      <c r="AF479" s="618"/>
      <c r="AG479" s="618"/>
      <c r="AH479" s="618"/>
      <c r="AI479" s="618"/>
      <c r="AJ479" s="618"/>
      <c r="AK479" s="618"/>
    </row>
    <row r="480" spans="1:37" ht="14.25" customHeight="1" x14ac:dyDescent="0.45">
      <c r="A480" s="618"/>
      <c r="B480" s="618"/>
      <c r="C480" s="5"/>
      <c r="D480" s="618"/>
      <c r="E480" s="618"/>
      <c r="F480" s="618"/>
      <c r="G480" s="618"/>
      <c r="H480" s="618"/>
      <c r="I480" s="618"/>
      <c r="J480" s="618"/>
      <c r="K480" s="618"/>
      <c r="L480" s="618"/>
      <c r="M480" s="618"/>
      <c r="N480" s="618"/>
      <c r="O480" s="618"/>
      <c r="P480" s="618"/>
      <c r="Q480" s="618"/>
      <c r="R480" s="618"/>
      <c r="S480" s="618"/>
      <c r="T480" s="618"/>
      <c r="U480" s="618"/>
      <c r="V480" s="618"/>
      <c r="W480" s="618"/>
      <c r="X480" s="618"/>
      <c r="Y480" s="618"/>
      <c r="Z480" s="618"/>
      <c r="AA480" s="618"/>
      <c r="AB480" s="618"/>
      <c r="AC480" s="618"/>
      <c r="AD480" s="618"/>
      <c r="AE480" s="618"/>
      <c r="AF480" s="618"/>
      <c r="AG480" s="618"/>
      <c r="AH480" s="618"/>
      <c r="AI480" s="618"/>
      <c r="AJ480" s="618"/>
      <c r="AK480" s="618"/>
    </row>
    <row r="481" spans="1:37" ht="14.25" customHeight="1" x14ac:dyDescent="0.45">
      <c r="A481" s="618"/>
      <c r="B481" s="618"/>
      <c r="C481" s="5"/>
      <c r="D481" s="618"/>
      <c r="E481" s="618"/>
      <c r="F481" s="618"/>
      <c r="G481" s="618"/>
      <c r="H481" s="618"/>
      <c r="I481" s="618"/>
      <c r="J481" s="618"/>
      <c r="K481" s="618"/>
      <c r="L481" s="618"/>
      <c r="M481" s="618"/>
      <c r="N481" s="618"/>
      <c r="O481" s="618"/>
      <c r="P481" s="618"/>
      <c r="Q481" s="618"/>
      <c r="R481" s="618"/>
      <c r="S481" s="618"/>
      <c r="T481" s="618"/>
      <c r="U481" s="618"/>
      <c r="V481" s="618"/>
      <c r="W481" s="618"/>
      <c r="X481" s="618"/>
      <c r="Y481" s="618"/>
      <c r="Z481" s="618"/>
      <c r="AA481" s="618"/>
      <c r="AB481" s="618"/>
      <c r="AC481" s="618"/>
      <c r="AD481" s="618"/>
      <c r="AE481" s="618"/>
      <c r="AF481" s="618"/>
      <c r="AG481" s="618"/>
      <c r="AH481" s="618"/>
      <c r="AI481" s="618"/>
      <c r="AJ481" s="618"/>
      <c r="AK481" s="618"/>
    </row>
    <row r="482" spans="1:37" ht="14.25" customHeight="1" x14ac:dyDescent="0.45">
      <c r="A482" s="618"/>
      <c r="B482" s="618"/>
      <c r="C482" s="5"/>
      <c r="D482" s="618"/>
      <c r="E482" s="618"/>
      <c r="F482" s="618"/>
      <c r="G482" s="618"/>
      <c r="H482" s="618"/>
      <c r="I482" s="618"/>
      <c r="J482" s="618"/>
      <c r="K482" s="618"/>
      <c r="L482" s="618"/>
      <c r="M482" s="618"/>
      <c r="N482" s="618"/>
      <c r="O482" s="618"/>
      <c r="P482" s="618"/>
      <c r="Q482" s="618"/>
      <c r="R482" s="618"/>
      <c r="S482" s="618"/>
      <c r="T482" s="618"/>
      <c r="U482" s="618"/>
      <c r="V482" s="618"/>
      <c r="W482" s="618"/>
      <c r="X482" s="618"/>
      <c r="Y482" s="618"/>
      <c r="Z482" s="618"/>
      <c r="AA482" s="618"/>
      <c r="AB482" s="618"/>
      <c r="AC482" s="618"/>
      <c r="AD482" s="618"/>
      <c r="AE482" s="618"/>
      <c r="AF482" s="618"/>
      <c r="AG482" s="618"/>
      <c r="AH482" s="618"/>
      <c r="AI482" s="618"/>
      <c r="AJ482" s="618"/>
      <c r="AK482" s="618"/>
    </row>
    <row r="483" spans="1:37" ht="14.25" customHeight="1" x14ac:dyDescent="0.45">
      <c r="A483" s="618"/>
      <c r="B483" s="618"/>
      <c r="C483" s="5"/>
      <c r="D483" s="618"/>
      <c r="E483" s="618"/>
      <c r="F483" s="618"/>
      <c r="G483" s="618"/>
      <c r="H483" s="618"/>
      <c r="I483" s="618"/>
      <c r="J483" s="618"/>
      <c r="K483" s="618"/>
      <c r="L483" s="618"/>
      <c r="M483" s="618"/>
      <c r="N483" s="618"/>
      <c r="O483" s="618"/>
      <c r="P483" s="618"/>
      <c r="Q483" s="618"/>
      <c r="R483" s="618"/>
      <c r="S483" s="618"/>
      <c r="T483" s="618"/>
      <c r="U483" s="618"/>
      <c r="V483" s="618"/>
      <c r="W483" s="618"/>
      <c r="X483" s="618"/>
      <c r="Y483" s="618"/>
      <c r="Z483" s="618"/>
      <c r="AA483" s="618"/>
      <c r="AB483" s="618"/>
      <c r="AC483" s="618"/>
      <c r="AD483" s="618"/>
      <c r="AE483" s="618"/>
      <c r="AF483" s="618"/>
      <c r="AG483" s="618"/>
      <c r="AH483" s="618"/>
      <c r="AI483" s="618"/>
      <c r="AJ483" s="618"/>
      <c r="AK483" s="618"/>
    </row>
    <row r="484" spans="1:37" ht="14.25" customHeight="1" x14ac:dyDescent="0.45">
      <c r="A484" s="618"/>
      <c r="B484" s="618"/>
      <c r="C484" s="5"/>
      <c r="D484" s="618"/>
      <c r="E484" s="618"/>
      <c r="F484" s="618"/>
      <c r="G484" s="618"/>
      <c r="H484" s="618"/>
      <c r="I484" s="618"/>
      <c r="J484" s="618"/>
      <c r="K484" s="618"/>
      <c r="L484" s="618"/>
      <c r="M484" s="618"/>
      <c r="N484" s="618"/>
      <c r="O484" s="618"/>
      <c r="P484" s="618"/>
      <c r="Q484" s="618"/>
      <c r="R484" s="618"/>
      <c r="S484" s="618"/>
      <c r="T484" s="618"/>
      <c r="U484" s="618"/>
      <c r="V484" s="618"/>
      <c r="W484" s="618"/>
      <c r="X484" s="618"/>
      <c r="Y484" s="618"/>
      <c r="Z484" s="618"/>
      <c r="AA484" s="618"/>
      <c r="AB484" s="618"/>
      <c r="AC484" s="618"/>
      <c r="AD484" s="618"/>
      <c r="AE484" s="618"/>
      <c r="AF484" s="618"/>
      <c r="AG484" s="618"/>
      <c r="AH484" s="618"/>
      <c r="AI484" s="618"/>
      <c r="AJ484" s="618"/>
      <c r="AK484" s="618"/>
    </row>
    <row r="485" spans="1:37" ht="14.25" customHeight="1" x14ac:dyDescent="0.45">
      <c r="A485" s="618"/>
      <c r="B485" s="618"/>
      <c r="C485" s="5"/>
      <c r="D485" s="618"/>
      <c r="E485" s="618"/>
      <c r="F485" s="618"/>
      <c r="G485" s="618"/>
      <c r="H485" s="618"/>
      <c r="I485" s="618"/>
      <c r="J485" s="618"/>
      <c r="K485" s="618"/>
      <c r="L485" s="618"/>
      <c r="M485" s="618"/>
      <c r="N485" s="618"/>
      <c r="O485" s="618"/>
      <c r="P485" s="618"/>
      <c r="Q485" s="618"/>
      <c r="R485" s="618"/>
      <c r="S485" s="618"/>
      <c r="T485" s="618"/>
      <c r="U485" s="618"/>
      <c r="V485" s="618"/>
      <c r="W485" s="618"/>
      <c r="X485" s="618"/>
      <c r="Y485" s="618"/>
      <c r="Z485" s="618"/>
      <c r="AA485" s="618"/>
      <c r="AB485" s="618"/>
      <c r="AC485" s="618"/>
      <c r="AD485" s="618"/>
      <c r="AE485" s="618"/>
      <c r="AF485" s="618"/>
      <c r="AG485" s="618"/>
      <c r="AH485" s="618"/>
      <c r="AI485" s="618"/>
      <c r="AJ485" s="618"/>
      <c r="AK485" s="618"/>
    </row>
    <row r="486" spans="1:37" ht="14.25" customHeight="1" x14ac:dyDescent="0.45">
      <c r="A486" s="618"/>
      <c r="B486" s="618"/>
      <c r="C486" s="5"/>
      <c r="D486" s="618"/>
      <c r="E486" s="618"/>
      <c r="F486" s="618"/>
      <c r="G486" s="618"/>
      <c r="H486" s="618"/>
      <c r="I486" s="618"/>
      <c r="J486" s="618"/>
      <c r="K486" s="618"/>
      <c r="L486" s="618"/>
      <c r="M486" s="618"/>
      <c r="N486" s="618"/>
      <c r="O486" s="618"/>
      <c r="P486" s="618"/>
      <c r="Q486" s="618"/>
      <c r="R486" s="618"/>
      <c r="S486" s="618"/>
      <c r="T486" s="618"/>
      <c r="U486" s="618"/>
      <c r="V486" s="618"/>
      <c r="W486" s="618"/>
      <c r="X486" s="618"/>
      <c r="Y486" s="618"/>
      <c r="Z486" s="618"/>
      <c r="AA486" s="618"/>
      <c r="AB486" s="618"/>
      <c r="AC486" s="618"/>
      <c r="AD486" s="618"/>
      <c r="AE486" s="618"/>
      <c r="AF486" s="618"/>
      <c r="AG486" s="618"/>
      <c r="AH486" s="618"/>
      <c r="AI486" s="618"/>
      <c r="AJ486" s="618"/>
      <c r="AK486" s="618"/>
    </row>
    <row r="487" spans="1:37" ht="14.25" customHeight="1" x14ac:dyDescent="0.45">
      <c r="A487" s="618"/>
      <c r="B487" s="618"/>
      <c r="C487" s="5"/>
      <c r="D487" s="618"/>
      <c r="E487" s="618"/>
      <c r="F487" s="618"/>
      <c r="G487" s="618"/>
      <c r="H487" s="618"/>
      <c r="I487" s="618"/>
      <c r="J487" s="618"/>
      <c r="K487" s="618"/>
      <c r="L487" s="618"/>
      <c r="M487" s="618"/>
      <c r="N487" s="618"/>
      <c r="O487" s="618"/>
      <c r="P487" s="618"/>
      <c r="Q487" s="618"/>
      <c r="R487" s="618"/>
      <c r="S487" s="618"/>
      <c r="T487" s="618"/>
      <c r="U487" s="618"/>
      <c r="V487" s="618"/>
      <c r="W487" s="618"/>
      <c r="X487" s="618"/>
      <c r="Y487" s="618"/>
      <c r="Z487" s="618"/>
      <c r="AA487" s="618"/>
      <c r="AB487" s="618"/>
      <c r="AC487" s="618"/>
      <c r="AD487" s="618"/>
      <c r="AE487" s="618"/>
      <c r="AF487" s="618"/>
      <c r="AG487" s="618"/>
      <c r="AH487" s="618"/>
      <c r="AI487" s="618"/>
      <c r="AJ487" s="618"/>
      <c r="AK487" s="618"/>
    </row>
    <row r="488" spans="1:37" ht="14.25" customHeight="1" x14ac:dyDescent="0.45">
      <c r="A488" s="618"/>
      <c r="B488" s="618"/>
      <c r="C488" s="5"/>
      <c r="D488" s="618"/>
      <c r="E488" s="618"/>
      <c r="F488" s="618"/>
      <c r="G488" s="618"/>
      <c r="H488" s="618"/>
      <c r="I488" s="618"/>
      <c r="J488" s="618"/>
      <c r="K488" s="618"/>
      <c r="L488" s="618"/>
      <c r="M488" s="618"/>
      <c r="N488" s="618"/>
      <c r="O488" s="618"/>
      <c r="P488" s="618"/>
      <c r="Q488" s="618"/>
      <c r="R488" s="618"/>
      <c r="S488" s="618"/>
      <c r="T488" s="618"/>
      <c r="U488" s="618"/>
      <c r="V488" s="618"/>
      <c r="W488" s="618"/>
      <c r="X488" s="618"/>
      <c r="Y488" s="618"/>
      <c r="Z488" s="618"/>
      <c r="AA488" s="618"/>
      <c r="AB488" s="618"/>
      <c r="AC488" s="618"/>
      <c r="AD488" s="618"/>
      <c r="AE488" s="618"/>
      <c r="AF488" s="618"/>
      <c r="AG488" s="618"/>
      <c r="AH488" s="618"/>
      <c r="AI488" s="618"/>
      <c r="AJ488" s="618"/>
      <c r="AK488" s="618"/>
    </row>
    <row r="489" spans="1:37" ht="14.25" customHeight="1" x14ac:dyDescent="0.45">
      <c r="A489" s="618"/>
      <c r="B489" s="618"/>
      <c r="C489" s="5"/>
      <c r="D489" s="618"/>
      <c r="E489" s="618"/>
      <c r="F489" s="618"/>
      <c r="G489" s="618"/>
      <c r="H489" s="618"/>
      <c r="I489" s="618"/>
      <c r="J489" s="618"/>
      <c r="K489" s="618"/>
      <c r="L489" s="618"/>
      <c r="M489" s="618"/>
      <c r="N489" s="618"/>
      <c r="O489" s="618"/>
      <c r="P489" s="618"/>
      <c r="Q489" s="618"/>
      <c r="R489" s="618"/>
      <c r="S489" s="618"/>
      <c r="T489" s="618"/>
      <c r="U489" s="618"/>
      <c r="V489" s="618"/>
      <c r="W489" s="618"/>
      <c r="X489" s="618"/>
      <c r="Y489" s="618"/>
      <c r="Z489" s="618"/>
      <c r="AA489" s="618"/>
      <c r="AB489" s="618"/>
      <c r="AC489" s="618"/>
      <c r="AD489" s="618"/>
      <c r="AE489" s="618"/>
      <c r="AF489" s="618"/>
      <c r="AG489" s="618"/>
      <c r="AH489" s="618"/>
      <c r="AI489" s="618"/>
      <c r="AJ489" s="618"/>
      <c r="AK489" s="618"/>
    </row>
    <row r="490" spans="1:37" ht="14.25" customHeight="1" x14ac:dyDescent="0.45">
      <c r="A490" s="618"/>
      <c r="B490" s="618"/>
      <c r="C490" s="5"/>
      <c r="D490" s="618"/>
      <c r="E490" s="618"/>
      <c r="F490" s="618"/>
      <c r="G490" s="618"/>
      <c r="H490" s="618"/>
      <c r="I490" s="618"/>
      <c r="J490" s="618"/>
      <c r="K490" s="618"/>
      <c r="L490" s="618"/>
      <c r="M490" s="618"/>
      <c r="N490" s="618"/>
      <c r="O490" s="618"/>
      <c r="P490" s="618"/>
      <c r="Q490" s="618"/>
      <c r="R490" s="618"/>
      <c r="S490" s="618"/>
      <c r="T490" s="618"/>
      <c r="U490" s="618"/>
      <c r="V490" s="618"/>
      <c r="W490" s="618"/>
      <c r="X490" s="618"/>
      <c r="Y490" s="618"/>
      <c r="Z490" s="618"/>
      <c r="AA490" s="618"/>
      <c r="AB490" s="618"/>
      <c r="AC490" s="618"/>
      <c r="AD490" s="618"/>
      <c r="AE490" s="618"/>
      <c r="AF490" s="618"/>
      <c r="AG490" s="618"/>
      <c r="AH490" s="618"/>
      <c r="AI490" s="618"/>
      <c r="AJ490" s="618"/>
      <c r="AK490" s="618"/>
    </row>
    <row r="491" spans="1:37" ht="14.25" customHeight="1" x14ac:dyDescent="0.45">
      <c r="A491" s="618"/>
      <c r="B491" s="618"/>
      <c r="C491" s="5"/>
      <c r="D491" s="618"/>
      <c r="E491" s="618"/>
      <c r="F491" s="618"/>
      <c r="G491" s="618"/>
      <c r="H491" s="618"/>
      <c r="I491" s="618"/>
      <c r="J491" s="618"/>
      <c r="K491" s="618"/>
      <c r="L491" s="618"/>
      <c r="M491" s="618"/>
      <c r="N491" s="618"/>
      <c r="O491" s="618"/>
      <c r="P491" s="618"/>
      <c r="Q491" s="618"/>
      <c r="R491" s="618"/>
      <c r="S491" s="618"/>
      <c r="T491" s="618"/>
      <c r="U491" s="618"/>
      <c r="V491" s="618"/>
      <c r="W491" s="618"/>
      <c r="X491" s="618"/>
      <c r="Y491" s="618"/>
      <c r="Z491" s="618"/>
      <c r="AA491" s="618"/>
      <c r="AB491" s="618"/>
      <c r="AC491" s="618"/>
      <c r="AD491" s="618"/>
      <c r="AE491" s="618"/>
      <c r="AF491" s="618"/>
      <c r="AG491" s="618"/>
      <c r="AH491" s="618"/>
      <c r="AI491" s="618"/>
      <c r="AJ491" s="618"/>
      <c r="AK491" s="618"/>
    </row>
    <row r="492" spans="1:37" ht="14.25" customHeight="1" x14ac:dyDescent="0.45">
      <c r="A492" s="618"/>
      <c r="B492" s="618"/>
      <c r="C492" s="5"/>
      <c r="D492" s="618"/>
      <c r="E492" s="618"/>
      <c r="F492" s="618"/>
      <c r="G492" s="618"/>
      <c r="H492" s="618"/>
      <c r="I492" s="618"/>
      <c r="J492" s="618"/>
      <c r="K492" s="618"/>
      <c r="L492" s="618"/>
      <c r="M492" s="618"/>
      <c r="N492" s="618"/>
      <c r="O492" s="618"/>
      <c r="P492" s="618"/>
      <c r="Q492" s="618"/>
      <c r="R492" s="618"/>
      <c r="S492" s="618"/>
      <c r="T492" s="618"/>
      <c r="U492" s="618"/>
      <c r="V492" s="618"/>
      <c r="W492" s="618"/>
      <c r="X492" s="618"/>
      <c r="Y492" s="618"/>
      <c r="Z492" s="618"/>
      <c r="AA492" s="618"/>
      <c r="AB492" s="618"/>
      <c r="AC492" s="618"/>
      <c r="AD492" s="618"/>
      <c r="AE492" s="618"/>
      <c r="AF492" s="618"/>
      <c r="AG492" s="618"/>
      <c r="AH492" s="618"/>
      <c r="AI492" s="618"/>
      <c r="AJ492" s="618"/>
      <c r="AK492" s="618"/>
    </row>
    <row r="493" spans="1:37" ht="14.25" customHeight="1" x14ac:dyDescent="0.45">
      <c r="A493" s="618"/>
      <c r="B493" s="618"/>
      <c r="C493" s="5"/>
      <c r="D493" s="618"/>
      <c r="E493" s="618"/>
      <c r="F493" s="618"/>
      <c r="G493" s="618"/>
      <c r="H493" s="618"/>
      <c r="I493" s="618"/>
      <c r="J493" s="618"/>
      <c r="K493" s="618"/>
      <c r="L493" s="618"/>
      <c r="M493" s="618"/>
      <c r="N493" s="618"/>
      <c r="O493" s="618"/>
      <c r="P493" s="618"/>
      <c r="Q493" s="618"/>
      <c r="R493" s="618"/>
      <c r="S493" s="618"/>
      <c r="T493" s="618"/>
      <c r="U493" s="618"/>
      <c r="V493" s="618"/>
      <c r="W493" s="618"/>
      <c r="X493" s="618"/>
      <c r="Y493" s="618"/>
      <c r="Z493" s="618"/>
      <c r="AA493" s="618"/>
      <c r="AB493" s="618"/>
      <c r="AC493" s="618"/>
      <c r="AD493" s="618"/>
      <c r="AE493" s="618"/>
      <c r="AF493" s="618"/>
      <c r="AG493" s="618"/>
      <c r="AH493" s="618"/>
      <c r="AI493" s="618"/>
      <c r="AJ493" s="618"/>
      <c r="AK493" s="618"/>
    </row>
    <row r="494" spans="1:37" ht="14.25" customHeight="1" x14ac:dyDescent="0.45">
      <c r="A494" s="618"/>
      <c r="B494" s="618"/>
      <c r="C494" s="5"/>
      <c r="D494" s="618"/>
      <c r="E494" s="618"/>
      <c r="F494" s="618"/>
      <c r="G494" s="618"/>
      <c r="H494" s="618"/>
      <c r="I494" s="618"/>
      <c r="J494" s="618"/>
      <c r="K494" s="618"/>
      <c r="L494" s="618"/>
      <c r="M494" s="618"/>
      <c r="N494" s="618"/>
      <c r="O494" s="618"/>
      <c r="P494" s="618"/>
      <c r="Q494" s="618"/>
      <c r="R494" s="618"/>
      <c r="S494" s="618"/>
      <c r="T494" s="618"/>
      <c r="U494" s="618"/>
      <c r="V494" s="618"/>
      <c r="W494" s="618"/>
      <c r="X494" s="618"/>
      <c r="Y494" s="618"/>
      <c r="Z494" s="618"/>
      <c r="AA494" s="618"/>
      <c r="AB494" s="618"/>
      <c r="AC494" s="618"/>
      <c r="AD494" s="618"/>
      <c r="AE494" s="618"/>
      <c r="AF494" s="618"/>
      <c r="AG494" s="618"/>
      <c r="AH494" s="618"/>
      <c r="AI494" s="618"/>
      <c r="AJ494" s="618"/>
      <c r="AK494" s="618"/>
    </row>
    <row r="495" spans="1:37" ht="14.25" customHeight="1" x14ac:dyDescent="0.45">
      <c r="A495" s="618"/>
      <c r="B495" s="618"/>
      <c r="C495" s="5"/>
      <c r="D495" s="618"/>
      <c r="E495" s="618"/>
      <c r="F495" s="618"/>
      <c r="G495" s="618"/>
      <c r="H495" s="618"/>
      <c r="I495" s="618"/>
      <c r="J495" s="618"/>
      <c r="K495" s="618"/>
      <c r="L495" s="618"/>
      <c r="M495" s="618"/>
      <c r="N495" s="618"/>
      <c r="O495" s="618"/>
      <c r="P495" s="618"/>
      <c r="Q495" s="618"/>
      <c r="R495" s="618"/>
      <c r="S495" s="618"/>
      <c r="T495" s="618"/>
      <c r="U495" s="618"/>
      <c r="V495" s="618"/>
      <c r="W495" s="618"/>
      <c r="X495" s="618"/>
      <c r="Y495" s="618"/>
      <c r="Z495" s="618"/>
      <c r="AA495" s="618"/>
      <c r="AB495" s="618"/>
      <c r="AC495" s="618"/>
      <c r="AD495" s="618"/>
      <c r="AE495" s="618"/>
      <c r="AF495" s="618"/>
      <c r="AG495" s="618"/>
      <c r="AH495" s="618"/>
      <c r="AI495" s="618"/>
      <c r="AJ495" s="618"/>
      <c r="AK495" s="618"/>
    </row>
    <row r="496" spans="1:37" ht="14.25" customHeight="1" x14ac:dyDescent="0.45">
      <c r="A496" s="618"/>
      <c r="B496" s="618"/>
      <c r="C496" s="5"/>
      <c r="D496" s="618"/>
      <c r="E496" s="618"/>
      <c r="F496" s="618"/>
      <c r="G496" s="618"/>
      <c r="H496" s="618"/>
      <c r="I496" s="618"/>
      <c r="J496" s="618"/>
      <c r="K496" s="618"/>
      <c r="L496" s="618"/>
      <c r="M496" s="618"/>
      <c r="N496" s="618"/>
      <c r="O496" s="618"/>
      <c r="P496" s="618"/>
      <c r="Q496" s="618"/>
      <c r="R496" s="618"/>
      <c r="S496" s="618"/>
      <c r="T496" s="618"/>
      <c r="U496" s="618"/>
      <c r="V496" s="618"/>
      <c r="W496" s="618"/>
      <c r="X496" s="618"/>
      <c r="Y496" s="618"/>
      <c r="Z496" s="618"/>
      <c r="AA496" s="618"/>
      <c r="AB496" s="618"/>
      <c r="AC496" s="618"/>
      <c r="AD496" s="618"/>
      <c r="AE496" s="618"/>
      <c r="AF496" s="618"/>
      <c r="AG496" s="618"/>
      <c r="AH496" s="618"/>
      <c r="AI496" s="618"/>
      <c r="AJ496" s="618"/>
      <c r="AK496" s="618"/>
    </row>
    <row r="497" spans="1:37" ht="14.25" customHeight="1" x14ac:dyDescent="0.45">
      <c r="A497" s="618"/>
      <c r="B497" s="618"/>
      <c r="C497" s="5"/>
      <c r="D497" s="618"/>
      <c r="E497" s="618"/>
      <c r="F497" s="618"/>
      <c r="G497" s="618"/>
      <c r="H497" s="618"/>
      <c r="I497" s="618"/>
      <c r="J497" s="618"/>
      <c r="K497" s="618"/>
      <c r="L497" s="618"/>
      <c r="M497" s="618"/>
      <c r="N497" s="618"/>
      <c r="O497" s="618"/>
      <c r="P497" s="618"/>
      <c r="Q497" s="618"/>
      <c r="R497" s="618"/>
      <c r="S497" s="618"/>
      <c r="T497" s="618"/>
      <c r="U497" s="618"/>
      <c r="V497" s="618"/>
      <c r="W497" s="618"/>
      <c r="X497" s="618"/>
      <c r="Y497" s="618"/>
      <c r="Z497" s="618"/>
      <c r="AA497" s="618"/>
      <c r="AB497" s="618"/>
      <c r="AC497" s="618"/>
      <c r="AD497" s="618"/>
      <c r="AE497" s="618"/>
      <c r="AF497" s="618"/>
      <c r="AG497" s="618"/>
      <c r="AH497" s="618"/>
      <c r="AI497" s="618"/>
      <c r="AJ497" s="618"/>
      <c r="AK497" s="618"/>
    </row>
    <row r="498" spans="1:37" ht="14.25" customHeight="1" x14ac:dyDescent="0.45">
      <c r="A498" s="618"/>
      <c r="B498" s="618"/>
      <c r="C498" s="5"/>
      <c r="D498" s="618"/>
      <c r="E498" s="618"/>
      <c r="F498" s="618"/>
      <c r="G498" s="618"/>
      <c r="H498" s="618"/>
      <c r="I498" s="618"/>
      <c r="J498" s="618"/>
      <c r="K498" s="618"/>
      <c r="L498" s="618"/>
      <c r="M498" s="618"/>
      <c r="N498" s="618"/>
      <c r="O498" s="618"/>
      <c r="P498" s="618"/>
      <c r="Q498" s="618"/>
      <c r="R498" s="618"/>
      <c r="S498" s="618"/>
      <c r="T498" s="618"/>
      <c r="U498" s="618"/>
      <c r="V498" s="618"/>
      <c r="W498" s="618"/>
      <c r="X498" s="618"/>
      <c r="Y498" s="618"/>
      <c r="Z498" s="618"/>
      <c r="AA498" s="618"/>
      <c r="AB498" s="618"/>
      <c r="AC498" s="618"/>
      <c r="AD498" s="618"/>
      <c r="AE498" s="618"/>
      <c r="AF498" s="618"/>
      <c r="AG498" s="618"/>
      <c r="AH498" s="618"/>
      <c r="AI498" s="618"/>
      <c r="AJ498" s="618"/>
      <c r="AK498" s="618"/>
    </row>
    <row r="499" spans="1:37" ht="14.25" customHeight="1" x14ac:dyDescent="0.45">
      <c r="A499" s="618"/>
      <c r="B499" s="618"/>
      <c r="C499" s="5"/>
      <c r="D499" s="618"/>
      <c r="E499" s="618"/>
      <c r="F499" s="618"/>
      <c r="G499" s="618"/>
      <c r="H499" s="618"/>
      <c r="I499" s="618"/>
      <c r="J499" s="618"/>
      <c r="K499" s="618"/>
      <c r="L499" s="618"/>
      <c r="M499" s="618"/>
      <c r="N499" s="618"/>
      <c r="O499" s="618"/>
      <c r="P499" s="618"/>
      <c r="Q499" s="618"/>
      <c r="R499" s="618"/>
      <c r="S499" s="618"/>
      <c r="T499" s="618"/>
      <c r="U499" s="618"/>
      <c r="V499" s="618"/>
      <c r="W499" s="618"/>
      <c r="X499" s="618"/>
      <c r="Y499" s="618"/>
      <c r="Z499" s="618"/>
      <c r="AA499" s="618"/>
      <c r="AB499" s="618"/>
      <c r="AC499" s="618"/>
      <c r="AD499" s="618"/>
      <c r="AE499" s="618"/>
      <c r="AF499" s="618"/>
      <c r="AG499" s="618"/>
      <c r="AH499" s="618"/>
      <c r="AI499" s="618"/>
      <c r="AJ499" s="618"/>
      <c r="AK499" s="618"/>
    </row>
    <row r="500" spans="1:37" ht="14.25" customHeight="1" x14ac:dyDescent="0.45">
      <c r="A500" s="618"/>
      <c r="B500" s="618"/>
      <c r="C500" s="5"/>
      <c r="D500" s="618"/>
      <c r="E500" s="618"/>
      <c r="F500" s="618"/>
      <c r="G500" s="618"/>
      <c r="H500" s="618"/>
      <c r="I500" s="618"/>
      <c r="J500" s="618"/>
      <c r="K500" s="618"/>
      <c r="L500" s="618"/>
      <c r="M500" s="618"/>
      <c r="N500" s="618"/>
      <c r="O500" s="618"/>
      <c r="P500" s="618"/>
      <c r="Q500" s="618"/>
      <c r="R500" s="618"/>
      <c r="S500" s="618"/>
      <c r="T500" s="618"/>
      <c r="U500" s="618"/>
      <c r="V500" s="618"/>
      <c r="W500" s="618"/>
      <c r="X500" s="618"/>
      <c r="Y500" s="618"/>
      <c r="Z500" s="618"/>
      <c r="AA500" s="618"/>
      <c r="AB500" s="618"/>
      <c r="AC500" s="618"/>
      <c r="AD500" s="618"/>
      <c r="AE500" s="618"/>
      <c r="AF500" s="618"/>
      <c r="AG500" s="618"/>
      <c r="AH500" s="618"/>
      <c r="AI500" s="618"/>
      <c r="AJ500" s="618"/>
      <c r="AK500" s="618"/>
    </row>
    <row r="501" spans="1:37" ht="14.25" customHeight="1" x14ac:dyDescent="0.45">
      <c r="A501" s="618"/>
      <c r="B501" s="618"/>
      <c r="C501" s="5"/>
      <c r="D501" s="618"/>
      <c r="E501" s="618"/>
      <c r="F501" s="618"/>
      <c r="G501" s="618"/>
      <c r="H501" s="618"/>
      <c r="I501" s="618"/>
      <c r="J501" s="618"/>
      <c r="K501" s="618"/>
      <c r="L501" s="618"/>
      <c r="M501" s="618"/>
      <c r="N501" s="618"/>
      <c r="O501" s="618"/>
      <c r="P501" s="618"/>
      <c r="Q501" s="618"/>
      <c r="R501" s="618"/>
      <c r="S501" s="618"/>
      <c r="T501" s="618"/>
      <c r="U501" s="618"/>
      <c r="V501" s="618"/>
      <c r="W501" s="618"/>
      <c r="X501" s="618"/>
      <c r="Y501" s="618"/>
      <c r="Z501" s="618"/>
      <c r="AA501" s="618"/>
      <c r="AB501" s="618"/>
      <c r="AC501" s="618"/>
      <c r="AD501" s="618"/>
      <c r="AE501" s="618"/>
      <c r="AF501" s="618"/>
      <c r="AG501" s="618"/>
      <c r="AH501" s="618"/>
      <c r="AI501" s="618"/>
      <c r="AJ501" s="618"/>
      <c r="AK501" s="618"/>
    </row>
    <row r="502" spans="1:37" ht="14.25" customHeight="1" x14ac:dyDescent="0.45">
      <c r="A502" s="618"/>
      <c r="B502" s="618"/>
      <c r="C502" s="5"/>
      <c r="D502" s="618"/>
      <c r="E502" s="618"/>
      <c r="F502" s="618"/>
      <c r="G502" s="618"/>
      <c r="H502" s="618"/>
      <c r="I502" s="618"/>
      <c r="J502" s="618"/>
      <c r="K502" s="618"/>
      <c r="L502" s="618"/>
      <c r="M502" s="618"/>
      <c r="N502" s="618"/>
      <c r="O502" s="618"/>
      <c r="P502" s="618"/>
      <c r="Q502" s="618"/>
      <c r="R502" s="618"/>
      <c r="S502" s="618"/>
      <c r="T502" s="618"/>
      <c r="U502" s="618"/>
      <c r="V502" s="618"/>
      <c r="W502" s="618"/>
      <c r="X502" s="618"/>
      <c r="Y502" s="618"/>
      <c r="Z502" s="618"/>
      <c r="AA502" s="618"/>
      <c r="AB502" s="618"/>
      <c r="AC502" s="618"/>
      <c r="AD502" s="618"/>
      <c r="AE502" s="618"/>
      <c r="AF502" s="618"/>
      <c r="AG502" s="618"/>
      <c r="AH502" s="618"/>
      <c r="AI502" s="618"/>
      <c r="AJ502" s="618"/>
      <c r="AK502" s="618"/>
    </row>
    <row r="503" spans="1:37" ht="14.25" customHeight="1" x14ac:dyDescent="0.45">
      <c r="A503" s="618"/>
      <c r="B503" s="618"/>
      <c r="C503" s="5"/>
      <c r="D503" s="618"/>
      <c r="E503" s="618"/>
      <c r="F503" s="618"/>
      <c r="G503" s="618"/>
      <c r="H503" s="618"/>
      <c r="I503" s="618"/>
      <c r="J503" s="618"/>
      <c r="K503" s="618"/>
      <c r="L503" s="618"/>
      <c r="M503" s="618"/>
      <c r="N503" s="618"/>
      <c r="O503" s="618"/>
      <c r="P503" s="618"/>
      <c r="Q503" s="618"/>
      <c r="R503" s="618"/>
      <c r="S503" s="618"/>
      <c r="T503" s="618"/>
      <c r="U503" s="618"/>
      <c r="V503" s="618"/>
      <c r="W503" s="618"/>
      <c r="X503" s="618"/>
      <c r="Y503" s="618"/>
      <c r="Z503" s="618"/>
      <c r="AA503" s="618"/>
      <c r="AB503" s="618"/>
      <c r="AC503" s="618"/>
      <c r="AD503" s="618"/>
      <c r="AE503" s="618"/>
      <c r="AF503" s="618"/>
      <c r="AG503" s="618"/>
      <c r="AH503" s="618"/>
      <c r="AI503" s="618"/>
      <c r="AJ503" s="618"/>
      <c r="AK503" s="618"/>
    </row>
    <row r="504" spans="1:37" ht="14.25" customHeight="1" x14ac:dyDescent="0.45">
      <c r="A504" s="618"/>
      <c r="B504" s="618"/>
      <c r="C504" s="5"/>
      <c r="D504" s="618"/>
      <c r="E504" s="618"/>
      <c r="F504" s="618"/>
      <c r="G504" s="618"/>
      <c r="H504" s="618"/>
      <c r="I504" s="618"/>
      <c r="J504" s="618"/>
      <c r="K504" s="618"/>
      <c r="L504" s="618"/>
      <c r="M504" s="618"/>
      <c r="N504" s="618"/>
      <c r="O504" s="618"/>
      <c r="P504" s="618"/>
      <c r="Q504" s="618"/>
      <c r="R504" s="618"/>
      <c r="S504" s="618"/>
      <c r="T504" s="618"/>
      <c r="U504" s="618"/>
      <c r="V504" s="618"/>
      <c r="W504" s="618"/>
      <c r="X504" s="618"/>
      <c r="Y504" s="618"/>
      <c r="Z504" s="618"/>
      <c r="AA504" s="618"/>
      <c r="AB504" s="618"/>
      <c r="AC504" s="618"/>
      <c r="AD504" s="618"/>
      <c r="AE504" s="618"/>
      <c r="AF504" s="618"/>
      <c r="AG504" s="618"/>
      <c r="AH504" s="618"/>
      <c r="AI504" s="618"/>
      <c r="AJ504" s="618"/>
      <c r="AK504" s="618"/>
    </row>
    <row r="505" spans="1:37" ht="14.25" customHeight="1" x14ac:dyDescent="0.45">
      <c r="A505" s="618"/>
      <c r="B505" s="618"/>
      <c r="C505" s="5"/>
      <c r="D505" s="618"/>
      <c r="E505" s="618"/>
      <c r="F505" s="618"/>
      <c r="G505" s="618"/>
      <c r="H505" s="618"/>
      <c r="I505" s="618"/>
      <c r="J505" s="618"/>
      <c r="K505" s="618"/>
      <c r="L505" s="618"/>
      <c r="M505" s="618"/>
      <c r="N505" s="618"/>
      <c r="O505" s="618"/>
      <c r="P505" s="618"/>
      <c r="Q505" s="618"/>
      <c r="R505" s="618"/>
      <c r="S505" s="618"/>
      <c r="T505" s="618"/>
      <c r="U505" s="618"/>
      <c r="V505" s="618"/>
      <c r="W505" s="618"/>
      <c r="X505" s="618"/>
      <c r="Y505" s="618"/>
      <c r="Z505" s="618"/>
      <c r="AA505" s="618"/>
      <c r="AB505" s="618"/>
      <c r="AC505" s="618"/>
      <c r="AD505" s="618"/>
      <c r="AE505" s="618"/>
      <c r="AF505" s="618"/>
      <c r="AG505" s="618"/>
      <c r="AH505" s="618"/>
      <c r="AI505" s="618"/>
      <c r="AJ505" s="618"/>
      <c r="AK505" s="618"/>
    </row>
    <row r="506" spans="1:37" ht="14.25" customHeight="1" x14ac:dyDescent="0.45">
      <c r="A506" s="618"/>
      <c r="B506" s="618"/>
      <c r="C506" s="5"/>
      <c r="D506" s="618"/>
      <c r="E506" s="618"/>
      <c r="F506" s="618"/>
      <c r="G506" s="618"/>
      <c r="H506" s="618"/>
      <c r="I506" s="618"/>
      <c r="J506" s="618"/>
      <c r="K506" s="618"/>
      <c r="L506" s="618"/>
      <c r="M506" s="618"/>
      <c r="N506" s="618"/>
      <c r="O506" s="618"/>
      <c r="P506" s="618"/>
      <c r="Q506" s="618"/>
      <c r="R506" s="618"/>
      <c r="S506" s="618"/>
      <c r="T506" s="618"/>
      <c r="U506" s="618"/>
      <c r="V506" s="618"/>
      <c r="W506" s="618"/>
      <c r="X506" s="618"/>
      <c r="Y506" s="618"/>
      <c r="Z506" s="618"/>
      <c r="AA506" s="618"/>
      <c r="AB506" s="618"/>
      <c r="AC506" s="618"/>
      <c r="AD506" s="618"/>
      <c r="AE506" s="618"/>
      <c r="AF506" s="618"/>
      <c r="AG506" s="618"/>
      <c r="AH506" s="618"/>
      <c r="AI506" s="618"/>
      <c r="AJ506" s="618"/>
      <c r="AK506" s="618"/>
    </row>
    <row r="507" spans="1:37" ht="14.25" customHeight="1" x14ac:dyDescent="0.45">
      <c r="A507" s="618"/>
      <c r="B507" s="618"/>
      <c r="C507" s="5"/>
      <c r="D507" s="618"/>
      <c r="E507" s="618"/>
      <c r="F507" s="618"/>
      <c r="G507" s="618"/>
      <c r="H507" s="618"/>
      <c r="I507" s="618"/>
      <c r="J507" s="618"/>
      <c r="K507" s="618"/>
      <c r="L507" s="618"/>
      <c r="M507" s="618"/>
      <c r="N507" s="618"/>
      <c r="O507" s="618"/>
      <c r="P507" s="618"/>
      <c r="Q507" s="618"/>
      <c r="R507" s="618"/>
      <c r="S507" s="618"/>
      <c r="T507" s="618"/>
      <c r="U507" s="618"/>
      <c r="V507" s="618"/>
      <c r="W507" s="618"/>
      <c r="X507" s="618"/>
      <c r="Y507" s="618"/>
      <c r="Z507" s="618"/>
      <c r="AA507" s="618"/>
      <c r="AB507" s="618"/>
      <c r="AC507" s="618"/>
      <c r="AD507" s="618"/>
      <c r="AE507" s="618"/>
      <c r="AF507" s="618"/>
      <c r="AG507" s="618"/>
      <c r="AH507" s="618"/>
      <c r="AI507" s="618"/>
      <c r="AJ507" s="618"/>
      <c r="AK507" s="618"/>
    </row>
    <row r="508" spans="1:37" ht="14.25" customHeight="1" x14ac:dyDescent="0.45">
      <c r="A508" s="618"/>
      <c r="B508" s="618"/>
      <c r="C508" s="5"/>
      <c r="D508" s="618"/>
      <c r="E508" s="618"/>
      <c r="F508" s="618"/>
      <c r="G508" s="618"/>
      <c r="H508" s="618"/>
      <c r="I508" s="618"/>
      <c r="J508" s="618"/>
      <c r="K508" s="618"/>
      <c r="L508" s="618"/>
      <c r="M508" s="618"/>
      <c r="N508" s="618"/>
      <c r="O508" s="618"/>
      <c r="P508" s="618"/>
      <c r="Q508" s="618"/>
      <c r="R508" s="618"/>
      <c r="S508" s="618"/>
      <c r="T508" s="618"/>
      <c r="U508" s="618"/>
      <c r="V508" s="618"/>
      <c r="W508" s="618"/>
      <c r="X508" s="618"/>
      <c r="Y508" s="618"/>
      <c r="Z508" s="618"/>
      <c r="AA508" s="618"/>
      <c r="AB508" s="618"/>
      <c r="AC508" s="618"/>
      <c r="AD508" s="618"/>
      <c r="AE508" s="618"/>
      <c r="AF508" s="618"/>
      <c r="AG508" s="618"/>
      <c r="AH508" s="618"/>
      <c r="AI508" s="618"/>
      <c r="AJ508" s="618"/>
      <c r="AK508" s="618"/>
    </row>
    <row r="509" spans="1:37" ht="14.25" customHeight="1" x14ac:dyDescent="0.45">
      <c r="A509" s="618"/>
      <c r="B509" s="618"/>
      <c r="C509" s="5"/>
      <c r="D509" s="618"/>
      <c r="E509" s="618"/>
      <c r="F509" s="618"/>
      <c r="G509" s="618"/>
      <c r="H509" s="618"/>
      <c r="I509" s="618"/>
      <c r="J509" s="618"/>
      <c r="K509" s="618"/>
      <c r="L509" s="618"/>
      <c r="M509" s="618"/>
      <c r="N509" s="618"/>
      <c r="O509" s="618"/>
      <c r="P509" s="618"/>
      <c r="Q509" s="618"/>
      <c r="R509" s="618"/>
      <c r="S509" s="618"/>
      <c r="T509" s="618"/>
      <c r="U509" s="618"/>
      <c r="V509" s="618"/>
      <c r="W509" s="618"/>
      <c r="X509" s="618"/>
      <c r="Y509" s="618"/>
      <c r="Z509" s="618"/>
      <c r="AA509" s="618"/>
      <c r="AB509" s="618"/>
      <c r="AC509" s="618"/>
      <c r="AD509" s="618"/>
      <c r="AE509" s="618"/>
      <c r="AF509" s="618"/>
      <c r="AG509" s="618"/>
      <c r="AH509" s="618"/>
      <c r="AI509" s="618"/>
      <c r="AJ509" s="618"/>
      <c r="AK509" s="618"/>
    </row>
    <row r="510" spans="1:37" ht="14.25" customHeight="1" x14ac:dyDescent="0.45">
      <c r="A510" s="618"/>
      <c r="B510" s="618"/>
      <c r="C510" s="5"/>
      <c r="D510" s="618"/>
      <c r="E510" s="618"/>
      <c r="F510" s="618"/>
      <c r="G510" s="618"/>
      <c r="H510" s="618"/>
      <c r="I510" s="618"/>
      <c r="J510" s="618"/>
      <c r="K510" s="618"/>
      <c r="L510" s="618"/>
      <c r="M510" s="618"/>
      <c r="N510" s="618"/>
      <c r="O510" s="618"/>
      <c r="P510" s="618"/>
      <c r="Q510" s="618"/>
      <c r="R510" s="618"/>
      <c r="S510" s="618"/>
      <c r="T510" s="618"/>
      <c r="U510" s="618"/>
      <c r="V510" s="618"/>
      <c r="W510" s="618"/>
      <c r="X510" s="618"/>
      <c r="Y510" s="618"/>
      <c r="Z510" s="618"/>
      <c r="AA510" s="618"/>
      <c r="AB510" s="618"/>
      <c r="AC510" s="618"/>
      <c r="AD510" s="618"/>
      <c r="AE510" s="618"/>
      <c r="AF510" s="618"/>
      <c r="AG510" s="618"/>
      <c r="AH510" s="618"/>
      <c r="AI510" s="618"/>
      <c r="AJ510" s="618"/>
      <c r="AK510" s="618"/>
    </row>
    <row r="511" spans="1:37" ht="14.25" customHeight="1" x14ac:dyDescent="0.45">
      <c r="A511" s="618"/>
      <c r="B511" s="618"/>
      <c r="C511" s="5"/>
      <c r="D511" s="618"/>
      <c r="E511" s="618"/>
      <c r="F511" s="618"/>
      <c r="G511" s="618"/>
      <c r="H511" s="618"/>
      <c r="I511" s="618"/>
      <c r="J511" s="618"/>
      <c r="K511" s="618"/>
      <c r="L511" s="618"/>
      <c r="M511" s="618"/>
      <c r="N511" s="618"/>
      <c r="O511" s="618"/>
      <c r="P511" s="618"/>
      <c r="Q511" s="618"/>
      <c r="R511" s="618"/>
      <c r="S511" s="618"/>
      <c r="T511" s="618"/>
      <c r="U511" s="618"/>
      <c r="V511" s="618"/>
      <c r="W511" s="618"/>
      <c r="X511" s="618"/>
      <c r="Y511" s="618"/>
      <c r="Z511" s="618"/>
      <c r="AA511" s="618"/>
      <c r="AB511" s="618"/>
      <c r="AC511" s="618"/>
      <c r="AD511" s="618"/>
      <c r="AE511" s="618"/>
      <c r="AF511" s="618"/>
      <c r="AG511" s="618"/>
      <c r="AH511" s="618"/>
      <c r="AI511" s="618"/>
      <c r="AJ511" s="618"/>
      <c r="AK511" s="618"/>
    </row>
    <row r="512" spans="1:37" ht="14.25" customHeight="1" x14ac:dyDescent="0.45">
      <c r="A512" s="618"/>
      <c r="B512" s="618"/>
      <c r="C512" s="5"/>
      <c r="D512" s="618"/>
      <c r="E512" s="618"/>
      <c r="F512" s="618"/>
      <c r="G512" s="618"/>
      <c r="H512" s="618"/>
      <c r="I512" s="618"/>
      <c r="J512" s="618"/>
      <c r="K512" s="618"/>
      <c r="L512" s="618"/>
      <c r="M512" s="618"/>
      <c r="N512" s="618"/>
      <c r="O512" s="618"/>
      <c r="P512" s="618"/>
      <c r="Q512" s="618"/>
      <c r="R512" s="618"/>
      <c r="S512" s="618"/>
      <c r="T512" s="618"/>
      <c r="U512" s="618"/>
      <c r="V512" s="618"/>
      <c r="W512" s="618"/>
      <c r="X512" s="618"/>
      <c r="Y512" s="618"/>
      <c r="Z512" s="618"/>
      <c r="AA512" s="618"/>
      <c r="AB512" s="618"/>
      <c r="AC512" s="618"/>
      <c r="AD512" s="618"/>
      <c r="AE512" s="618"/>
      <c r="AF512" s="618"/>
      <c r="AG512" s="618"/>
      <c r="AH512" s="618"/>
      <c r="AI512" s="618"/>
      <c r="AJ512" s="618"/>
      <c r="AK512" s="618"/>
    </row>
    <row r="513" spans="1:37" ht="14.25" customHeight="1" x14ac:dyDescent="0.45">
      <c r="A513" s="618"/>
      <c r="B513" s="618"/>
      <c r="C513" s="5"/>
      <c r="D513" s="618"/>
      <c r="E513" s="618"/>
      <c r="F513" s="618"/>
      <c r="G513" s="618"/>
      <c r="H513" s="618"/>
      <c r="I513" s="618"/>
      <c r="J513" s="618"/>
      <c r="K513" s="618"/>
      <c r="L513" s="618"/>
      <c r="M513" s="618"/>
      <c r="N513" s="618"/>
      <c r="O513" s="618"/>
      <c r="P513" s="618"/>
      <c r="Q513" s="618"/>
      <c r="R513" s="618"/>
      <c r="S513" s="618"/>
      <c r="T513" s="618"/>
      <c r="U513" s="618"/>
      <c r="V513" s="618"/>
      <c r="W513" s="618"/>
      <c r="X513" s="618"/>
      <c r="Y513" s="618"/>
      <c r="Z513" s="618"/>
      <c r="AA513" s="618"/>
      <c r="AB513" s="618"/>
      <c r="AC513" s="618"/>
      <c r="AD513" s="618"/>
      <c r="AE513" s="618"/>
      <c r="AF513" s="618"/>
      <c r="AG513" s="618"/>
      <c r="AH513" s="618"/>
      <c r="AI513" s="618"/>
      <c r="AJ513" s="618"/>
      <c r="AK513" s="618"/>
    </row>
    <row r="514" spans="1:37" ht="14.25" customHeight="1" x14ac:dyDescent="0.45">
      <c r="A514" s="618"/>
      <c r="B514" s="618"/>
      <c r="C514" s="5"/>
      <c r="D514" s="618"/>
      <c r="E514" s="618"/>
      <c r="F514" s="618"/>
      <c r="G514" s="618"/>
      <c r="H514" s="618"/>
      <c r="I514" s="618"/>
      <c r="J514" s="618"/>
      <c r="K514" s="618"/>
      <c r="L514" s="618"/>
      <c r="M514" s="618"/>
      <c r="N514" s="618"/>
      <c r="O514" s="618"/>
      <c r="P514" s="618"/>
      <c r="Q514" s="618"/>
      <c r="R514" s="618"/>
      <c r="S514" s="618"/>
      <c r="T514" s="618"/>
      <c r="U514" s="618"/>
      <c r="V514" s="618"/>
      <c r="W514" s="618"/>
      <c r="X514" s="618"/>
      <c r="Y514" s="618"/>
      <c r="Z514" s="618"/>
      <c r="AA514" s="618"/>
      <c r="AB514" s="618"/>
      <c r="AC514" s="618"/>
      <c r="AD514" s="618"/>
      <c r="AE514" s="618"/>
      <c r="AF514" s="618"/>
      <c r="AG514" s="618"/>
      <c r="AH514" s="618"/>
      <c r="AI514" s="618"/>
      <c r="AJ514" s="618"/>
      <c r="AK514" s="618"/>
    </row>
    <row r="515" spans="1:37" ht="14.25" customHeight="1" x14ac:dyDescent="0.45">
      <c r="A515" s="618"/>
      <c r="B515" s="618"/>
      <c r="C515" s="5"/>
      <c r="D515" s="618"/>
      <c r="E515" s="618"/>
      <c r="F515" s="618"/>
      <c r="G515" s="618"/>
      <c r="H515" s="618"/>
      <c r="I515" s="618"/>
      <c r="J515" s="618"/>
      <c r="K515" s="618"/>
      <c r="L515" s="618"/>
      <c r="M515" s="618"/>
      <c r="N515" s="618"/>
      <c r="O515" s="618"/>
      <c r="P515" s="618"/>
      <c r="Q515" s="618"/>
      <c r="R515" s="618"/>
      <c r="S515" s="618"/>
      <c r="T515" s="618"/>
      <c r="U515" s="618"/>
      <c r="V515" s="618"/>
      <c r="W515" s="618"/>
      <c r="X515" s="618"/>
      <c r="Y515" s="618"/>
      <c r="Z515" s="618"/>
      <c r="AA515" s="618"/>
      <c r="AB515" s="618"/>
      <c r="AC515" s="618"/>
      <c r="AD515" s="618"/>
      <c r="AE515" s="618"/>
      <c r="AF515" s="618"/>
      <c r="AG515" s="618"/>
      <c r="AH515" s="618"/>
      <c r="AI515" s="618"/>
      <c r="AJ515" s="618"/>
      <c r="AK515" s="618"/>
    </row>
    <row r="516" spans="1:37" ht="14.25" customHeight="1" x14ac:dyDescent="0.45">
      <c r="A516" s="618"/>
      <c r="B516" s="618"/>
      <c r="C516" s="5"/>
      <c r="D516" s="618"/>
      <c r="E516" s="618"/>
      <c r="F516" s="618"/>
      <c r="G516" s="618"/>
      <c r="H516" s="618"/>
      <c r="I516" s="618"/>
      <c r="J516" s="618"/>
      <c r="K516" s="618"/>
      <c r="L516" s="618"/>
      <c r="M516" s="618"/>
      <c r="N516" s="618"/>
      <c r="O516" s="618"/>
      <c r="P516" s="618"/>
      <c r="Q516" s="618"/>
      <c r="R516" s="618"/>
      <c r="S516" s="618"/>
      <c r="T516" s="618"/>
      <c r="U516" s="618"/>
      <c r="V516" s="618"/>
      <c r="W516" s="618"/>
      <c r="X516" s="618"/>
      <c r="Y516" s="618"/>
      <c r="Z516" s="618"/>
      <c r="AA516" s="618"/>
      <c r="AB516" s="618"/>
      <c r="AC516" s="618"/>
      <c r="AD516" s="618"/>
      <c r="AE516" s="618"/>
      <c r="AF516" s="618"/>
      <c r="AG516" s="618"/>
      <c r="AH516" s="618"/>
      <c r="AI516" s="618"/>
      <c r="AJ516" s="618"/>
      <c r="AK516" s="618"/>
    </row>
    <row r="517" spans="1:37" ht="14.25" customHeight="1" x14ac:dyDescent="0.45">
      <c r="A517" s="618"/>
      <c r="B517" s="618"/>
      <c r="C517" s="5"/>
      <c r="D517" s="618"/>
      <c r="E517" s="618"/>
      <c r="F517" s="618"/>
      <c r="G517" s="618"/>
      <c r="H517" s="618"/>
      <c r="I517" s="618"/>
      <c r="J517" s="618"/>
      <c r="K517" s="618"/>
      <c r="L517" s="618"/>
      <c r="M517" s="618"/>
      <c r="N517" s="618"/>
      <c r="O517" s="618"/>
      <c r="P517" s="618"/>
      <c r="Q517" s="618"/>
      <c r="R517" s="618"/>
      <c r="S517" s="618"/>
      <c r="T517" s="618"/>
      <c r="U517" s="618"/>
      <c r="V517" s="618"/>
      <c r="W517" s="618"/>
      <c r="X517" s="618"/>
      <c r="Y517" s="618"/>
      <c r="Z517" s="618"/>
      <c r="AA517" s="618"/>
      <c r="AB517" s="618"/>
      <c r="AC517" s="618"/>
      <c r="AD517" s="618"/>
      <c r="AE517" s="618"/>
      <c r="AF517" s="618"/>
      <c r="AG517" s="618"/>
      <c r="AH517" s="618"/>
      <c r="AI517" s="618"/>
      <c r="AJ517" s="618"/>
      <c r="AK517" s="618"/>
    </row>
    <row r="518" spans="1:37" ht="14.25" customHeight="1" x14ac:dyDescent="0.45">
      <c r="A518" s="618"/>
      <c r="B518" s="618"/>
      <c r="C518" s="5"/>
      <c r="D518" s="618"/>
      <c r="E518" s="618"/>
      <c r="F518" s="618"/>
      <c r="G518" s="618"/>
      <c r="H518" s="618"/>
      <c r="I518" s="618"/>
      <c r="J518" s="618"/>
      <c r="K518" s="618"/>
      <c r="L518" s="618"/>
      <c r="M518" s="618"/>
      <c r="N518" s="618"/>
      <c r="O518" s="618"/>
      <c r="P518" s="618"/>
      <c r="Q518" s="618"/>
      <c r="R518" s="618"/>
      <c r="S518" s="618"/>
      <c r="T518" s="618"/>
      <c r="U518" s="618"/>
      <c r="V518" s="618"/>
      <c r="W518" s="618"/>
      <c r="X518" s="618"/>
      <c r="Y518" s="618"/>
      <c r="Z518" s="618"/>
      <c r="AA518" s="618"/>
      <c r="AB518" s="618"/>
      <c r="AC518" s="618"/>
      <c r="AD518" s="618"/>
      <c r="AE518" s="618"/>
      <c r="AF518" s="618"/>
      <c r="AG518" s="618"/>
      <c r="AH518" s="618"/>
      <c r="AI518" s="618"/>
      <c r="AJ518" s="618"/>
      <c r="AK518" s="618"/>
    </row>
    <row r="519" spans="1:37" ht="14.25" customHeight="1" x14ac:dyDescent="0.45">
      <c r="A519" s="618"/>
      <c r="B519" s="618"/>
      <c r="C519" s="5"/>
      <c r="D519" s="618"/>
      <c r="E519" s="618"/>
      <c r="F519" s="618"/>
      <c r="G519" s="618"/>
      <c r="H519" s="618"/>
      <c r="I519" s="618"/>
      <c r="J519" s="618"/>
      <c r="K519" s="618"/>
      <c r="L519" s="618"/>
      <c r="M519" s="618"/>
      <c r="N519" s="618"/>
      <c r="O519" s="618"/>
      <c r="P519" s="618"/>
      <c r="Q519" s="618"/>
      <c r="R519" s="618"/>
      <c r="S519" s="618"/>
      <c r="T519" s="618"/>
      <c r="U519" s="618"/>
      <c r="V519" s="618"/>
      <c r="W519" s="618"/>
      <c r="X519" s="618"/>
      <c r="Y519" s="618"/>
      <c r="Z519" s="618"/>
      <c r="AA519" s="618"/>
      <c r="AB519" s="618"/>
      <c r="AC519" s="618"/>
      <c r="AD519" s="618"/>
      <c r="AE519" s="618"/>
      <c r="AF519" s="618"/>
      <c r="AG519" s="618"/>
      <c r="AH519" s="618"/>
      <c r="AI519" s="618"/>
      <c r="AJ519" s="618"/>
      <c r="AK519" s="618"/>
    </row>
    <row r="520" spans="1:37" ht="14.25" customHeight="1" x14ac:dyDescent="0.45">
      <c r="A520" s="618"/>
      <c r="B520" s="618"/>
      <c r="C520" s="5"/>
      <c r="D520" s="618"/>
      <c r="E520" s="618"/>
      <c r="F520" s="618"/>
      <c r="G520" s="618"/>
      <c r="H520" s="618"/>
      <c r="I520" s="618"/>
      <c r="J520" s="618"/>
      <c r="K520" s="618"/>
      <c r="L520" s="618"/>
      <c r="M520" s="618"/>
      <c r="N520" s="618"/>
      <c r="O520" s="618"/>
      <c r="P520" s="618"/>
      <c r="Q520" s="618"/>
      <c r="R520" s="618"/>
      <c r="S520" s="618"/>
      <c r="T520" s="618"/>
      <c r="U520" s="618"/>
      <c r="V520" s="618"/>
      <c r="W520" s="618"/>
      <c r="X520" s="618"/>
      <c r="Y520" s="618"/>
      <c r="Z520" s="618"/>
      <c r="AA520" s="618"/>
      <c r="AB520" s="618"/>
      <c r="AC520" s="618"/>
      <c r="AD520" s="618"/>
      <c r="AE520" s="618"/>
      <c r="AF520" s="618"/>
      <c r="AG520" s="618"/>
      <c r="AH520" s="618"/>
      <c r="AI520" s="618"/>
      <c r="AJ520" s="618"/>
      <c r="AK520" s="618"/>
    </row>
    <row r="521" spans="1:37" ht="14.25" customHeight="1" x14ac:dyDescent="0.45">
      <c r="A521" s="618"/>
      <c r="B521" s="618"/>
      <c r="C521" s="5"/>
      <c r="D521" s="618"/>
      <c r="E521" s="618"/>
      <c r="F521" s="618"/>
      <c r="G521" s="618"/>
      <c r="H521" s="618"/>
      <c r="I521" s="618"/>
      <c r="J521" s="618"/>
      <c r="K521" s="618"/>
      <c r="L521" s="618"/>
      <c r="M521" s="618"/>
      <c r="N521" s="618"/>
      <c r="O521" s="618"/>
      <c r="P521" s="618"/>
      <c r="Q521" s="618"/>
      <c r="R521" s="618"/>
      <c r="S521" s="618"/>
      <c r="T521" s="618"/>
      <c r="U521" s="618"/>
      <c r="V521" s="618"/>
      <c r="W521" s="618"/>
      <c r="X521" s="618"/>
      <c r="Y521" s="618"/>
      <c r="Z521" s="618"/>
      <c r="AA521" s="618"/>
      <c r="AB521" s="618"/>
      <c r="AC521" s="618"/>
      <c r="AD521" s="618"/>
      <c r="AE521" s="618"/>
      <c r="AF521" s="618"/>
      <c r="AG521" s="618"/>
      <c r="AH521" s="618"/>
      <c r="AI521" s="618"/>
      <c r="AJ521" s="618"/>
      <c r="AK521" s="618"/>
    </row>
    <row r="522" spans="1:37" ht="14.25" customHeight="1" x14ac:dyDescent="0.45">
      <c r="A522" s="618"/>
      <c r="B522" s="618"/>
      <c r="C522" s="5"/>
      <c r="D522" s="618"/>
      <c r="E522" s="618"/>
      <c r="F522" s="618"/>
      <c r="G522" s="618"/>
      <c r="H522" s="618"/>
      <c r="I522" s="618"/>
      <c r="J522" s="618"/>
      <c r="K522" s="618"/>
      <c r="L522" s="618"/>
      <c r="M522" s="618"/>
      <c r="N522" s="618"/>
      <c r="O522" s="618"/>
      <c r="P522" s="618"/>
      <c r="Q522" s="618"/>
      <c r="R522" s="618"/>
      <c r="S522" s="618"/>
      <c r="T522" s="618"/>
      <c r="U522" s="618"/>
      <c r="V522" s="618"/>
      <c r="W522" s="618"/>
      <c r="X522" s="618"/>
      <c r="Y522" s="618"/>
      <c r="Z522" s="618"/>
      <c r="AA522" s="618"/>
      <c r="AB522" s="618"/>
      <c r="AC522" s="618"/>
      <c r="AD522" s="618"/>
      <c r="AE522" s="618"/>
      <c r="AF522" s="618"/>
      <c r="AG522" s="618"/>
      <c r="AH522" s="618"/>
      <c r="AI522" s="618"/>
      <c r="AJ522" s="618"/>
      <c r="AK522" s="618"/>
    </row>
    <row r="523" spans="1:37" ht="14.25" customHeight="1" x14ac:dyDescent="0.45">
      <c r="A523" s="618"/>
      <c r="B523" s="618"/>
      <c r="C523" s="5"/>
      <c r="D523" s="618"/>
      <c r="E523" s="618"/>
      <c r="F523" s="618"/>
      <c r="G523" s="618"/>
      <c r="H523" s="618"/>
      <c r="I523" s="618"/>
      <c r="J523" s="618"/>
      <c r="K523" s="618"/>
      <c r="L523" s="618"/>
      <c r="M523" s="618"/>
      <c r="N523" s="618"/>
      <c r="O523" s="618"/>
      <c r="P523" s="618"/>
      <c r="Q523" s="618"/>
      <c r="R523" s="618"/>
      <c r="S523" s="618"/>
      <c r="T523" s="618"/>
      <c r="U523" s="618"/>
      <c r="V523" s="618"/>
      <c r="W523" s="618"/>
      <c r="X523" s="618"/>
      <c r="Y523" s="618"/>
      <c r="Z523" s="618"/>
      <c r="AA523" s="618"/>
      <c r="AB523" s="618"/>
      <c r="AC523" s="618"/>
      <c r="AD523" s="618"/>
      <c r="AE523" s="618"/>
      <c r="AF523" s="618"/>
      <c r="AG523" s="618"/>
      <c r="AH523" s="618"/>
      <c r="AI523" s="618"/>
      <c r="AJ523" s="618"/>
      <c r="AK523" s="618"/>
    </row>
    <row r="524" spans="1:37" ht="14.25" customHeight="1" x14ac:dyDescent="0.45">
      <c r="A524" s="618"/>
      <c r="B524" s="618"/>
      <c r="C524" s="5"/>
      <c r="D524" s="618"/>
      <c r="E524" s="618"/>
      <c r="F524" s="618"/>
      <c r="G524" s="618"/>
      <c r="H524" s="618"/>
      <c r="I524" s="618"/>
      <c r="J524" s="618"/>
      <c r="K524" s="618"/>
      <c r="L524" s="618"/>
      <c r="M524" s="618"/>
      <c r="N524" s="618"/>
      <c r="O524" s="618"/>
      <c r="P524" s="618"/>
      <c r="Q524" s="618"/>
      <c r="R524" s="618"/>
      <c r="S524" s="618"/>
      <c r="T524" s="618"/>
      <c r="U524" s="618"/>
      <c r="V524" s="618"/>
      <c r="W524" s="618"/>
      <c r="X524" s="618"/>
      <c r="Y524" s="618"/>
      <c r="Z524" s="618"/>
      <c r="AA524" s="618"/>
      <c r="AB524" s="618"/>
      <c r="AC524" s="618"/>
      <c r="AD524" s="618"/>
      <c r="AE524" s="618"/>
      <c r="AF524" s="618"/>
      <c r="AG524" s="618"/>
      <c r="AH524" s="618"/>
      <c r="AI524" s="618"/>
      <c r="AJ524" s="618"/>
      <c r="AK524" s="618"/>
    </row>
    <row r="525" spans="1:37" ht="14.25" customHeight="1" x14ac:dyDescent="0.45">
      <c r="A525" s="618"/>
      <c r="B525" s="618"/>
      <c r="C525" s="5"/>
      <c r="D525" s="618"/>
      <c r="E525" s="618"/>
      <c r="F525" s="618"/>
      <c r="G525" s="618"/>
      <c r="H525" s="618"/>
      <c r="I525" s="618"/>
      <c r="J525" s="618"/>
      <c r="K525" s="618"/>
      <c r="L525" s="618"/>
      <c r="M525" s="618"/>
      <c r="N525" s="618"/>
      <c r="O525" s="618"/>
      <c r="P525" s="618"/>
      <c r="Q525" s="618"/>
      <c r="R525" s="618"/>
      <c r="S525" s="618"/>
      <c r="T525" s="618"/>
      <c r="U525" s="618"/>
      <c r="V525" s="618"/>
      <c r="W525" s="618"/>
      <c r="X525" s="618"/>
      <c r="Y525" s="618"/>
      <c r="Z525" s="618"/>
      <c r="AA525" s="618"/>
      <c r="AB525" s="618"/>
      <c r="AC525" s="618"/>
      <c r="AD525" s="618"/>
      <c r="AE525" s="618"/>
      <c r="AF525" s="618"/>
      <c r="AG525" s="618"/>
      <c r="AH525" s="618"/>
      <c r="AI525" s="618"/>
      <c r="AJ525" s="618"/>
      <c r="AK525" s="618"/>
    </row>
    <row r="526" spans="1:37" ht="14.25" customHeight="1" x14ac:dyDescent="0.45">
      <c r="A526" s="618"/>
      <c r="B526" s="618"/>
      <c r="C526" s="5"/>
      <c r="D526" s="618"/>
      <c r="E526" s="618"/>
      <c r="F526" s="618"/>
      <c r="G526" s="618"/>
      <c r="H526" s="618"/>
      <c r="I526" s="618"/>
      <c r="J526" s="618"/>
      <c r="K526" s="618"/>
      <c r="L526" s="618"/>
      <c r="M526" s="618"/>
      <c r="N526" s="618"/>
      <c r="O526" s="618"/>
      <c r="P526" s="618"/>
      <c r="Q526" s="618"/>
      <c r="R526" s="618"/>
      <c r="S526" s="618"/>
      <c r="T526" s="618"/>
      <c r="U526" s="618"/>
      <c r="V526" s="618"/>
      <c r="W526" s="618"/>
      <c r="X526" s="618"/>
      <c r="Y526" s="618"/>
      <c r="Z526" s="618"/>
      <c r="AA526" s="618"/>
      <c r="AB526" s="618"/>
      <c r="AC526" s="618"/>
      <c r="AD526" s="618"/>
      <c r="AE526" s="618"/>
      <c r="AF526" s="618"/>
      <c r="AG526" s="618"/>
      <c r="AH526" s="618"/>
      <c r="AI526" s="618"/>
      <c r="AJ526" s="618"/>
      <c r="AK526" s="618"/>
    </row>
    <row r="527" spans="1:37" ht="14.25" customHeight="1" x14ac:dyDescent="0.45">
      <c r="A527" s="618"/>
      <c r="B527" s="618"/>
      <c r="C527" s="5"/>
      <c r="D527" s="618"/>
      <c r="E527" s="618"/>
      <c r="F527" s="618"/>
      <c r="G527" s="618"/>
      <c r="H527" s="618"/>
      <c r="I527" s="618"/>
      <c r="J527" s="618"/>
      <c r="K527" s="618"/>
      <c r="L527" s="618"/>
      <c r="M527" s="618"/>
      <c r="N527" s="618"/>
      <c r="O527" s="618"/>
      <c r="P527" s="618"/>
      <c r="Q527" s="618"/>
      <c r="R527" s="618"/>
      <c r="S527" s="618"/>
      <c r="T527" s="618"/>
      <c r="U527" s="618"/>
      <c r="V527" s="618"/>
      <c r="W527" s="618"/>
      <c r="X527" s="618"/>
      <c r="Y527" s="618"/>
      <c r="Z527" s="618"/>
      <c r="AA527" s="618"/>
      <c r="AB527" s="618"/>
      <c r="AC527" s="618"/>
      <c r="AD527" s="618"/>
      <c r="AE527" s="618"/>
      <c r="AF527" s="618"/>
      <c r="AG527" s="618"/>
      <c r="AH527" s="618"/>
      <c r="AI527" s="618"/>
      <c r="AJ527" s="618"/>
      <c r="AK527" s="618"/>
    </row>
    <row r="528" spans="1:37" ht="14.25" customHeight="1" x14ac:dyDescent="0.45">
      <c r="A528" s="618"/>
      <c r="B528" s="618"/>
      <c r="C528" s="5"/>
      <c r="D528" s="618"/>
      <c r="E528" s="618"/>
      <c r="F528" s="618"/>
      <c r="G528" s="618"/>
      <c r="H528" s="618"/>
      <c r="I528" s="618"/>
      <c r="J528" s="618"/>
      <c r="K528" s="618"/>
      <c r="L528" s="618"/>
      <c r="M528" s="618"/>
      <c r="N528" s="618"/>
      <c r="O528" s="618"/>
      <c r="P528" s="618"/>
      <c r="Q528" s="618"/>
      <c r="R528" s="618"/>
      <c r="S528" s="618"/>
      <c r="T528" s="618"/>
      <c r="U528" s="618"/>
      <c r="V528" s="618"/>
      <c r="W528" s="618"/>
      <c r="X528" s="618"/>
      <c r="Y528" s="618"/>
      <c r="Z528" s="618"/>
      <c r="AA528" s="618"/>
      <c r="AB528" s="618"/>
      <c r="AC528" s="618"/>
      <c r="AD528" s="618"/>
      <c r="AE528" s="618"/>
      <c r="AF528" s="618"/>
      <c r="AG528" s="618"/>
      <c r="AH528" s="618"/>
      <c r="AI528" s="618"/>
      <c r="AJ528" s="618"/>
      <c r="AK528" s="618"/>
    </row>
    <row r="529" spans="1:37" ht="14.25" customHeight="1" x14ac:dyDescent="0.45">
      <c r="A529" s="618"/>
      <c r="B529" s="618"/>
      <c r="C529" s="5"/>
      <c r="D529" s="618"/>
      <c r="E529" s="618"/>
      <c r="F529" s="618"/>
      <c r="G529" s="618"/>
      <c r="H529" s="618"/>
      <c r="I529" s="618"/>
      <c r="J529" s="618"/>
      <c r="K529" s="618"/>
      <c r="L529" s="618"/>
      <c r="M529" s="618"/>
      <c r="N529" s="618"/>
      <c r="O529" s="618"/>
      <c r="P529" s="618"/>
      <c r="Q529" s="618"/>
      <c r="R529" s="618"/>
      <c r="S529" s="618"/>
      <c r="T529" s="618"/>
      <c r="U529" s="618"/>
      <c r="V529" s="618"/>
      <c r="W529" s="618"/>
      <c r="X529" s="618"/>
      <c r="Y529" s="618"/>
      <c r="Z529" s="618"/>
      <c r="AA529" s="618"/>
      <c r="AB529" s="618"/>
      <c r="AC529" s="618"/>
      <c r="AD529" s="618"/>
      <c r="AE529" s="618"/>
      <c r="AF529" s="618"/>
      <c r="AG529" s="618"/>
      <c r="AH529" s="618"/>
      <c r="AI529" s="618"/>
      <c r="AJ529" s="618"/>
      <c r="AK529" s="618"/>
    </row>
    <row r="530" spans="1:37" ht="14.25" customHeight="1" x14ac:dyDescent="0.45">
      <c r="A530" s="618"/>
      <c r="B530" s="618"/>
      <c r="C530" s="5"/>
      <c r="D530" s="618"/>
      <c r="E530" s="618"/>
      <c r="F530" s="618"/>
      <c r="G530" s="618"/>
      <c r="H530" s="618"/>
      <c r="I530" s="618"/>
      <c r="J530" s="618"/>
      <c r="K530" s="618"/>
      <c r="L530" s="618"/>
      <c r="M530" s="618"/>
      <c r="N530" s="618"/>
      <c r="O530" s="618"/>
      <c r="P530" s="618"/>
      <c r="Q530" s="618"/>
      <c r="R530" s="618"/>
      <c r="S530" s="618"/>
      <c r="T530" s="618"/>
      <c r="U530" s="618"/>
      <c r="V530" s="618"/>
      <c r="W530" s="618"/>
      <c r="X530" s="618"/>
      <c r="Y530" s="618"/>
      <c r="Z530" s="618"/>
      <c r="AA530" s="618"/>
      <c r="AB530" s="618"/>
      <c r="AC530" s="618"/>
      <c r="AD530" s="618"/>
      <c r="AE530" s="618"/>
      <c r="AF530" s="618"/>
      <c r="AG530" s="618"/>
      <c r="AH530" s="618"/>
      <c r="AI530" s="618"/>
      <c r="AJ530" s="618"/>
      <c r="AK530" s="618"/>
    </row>
    <row r="531" spans="1:37" ht="14.25" customHeight="1" x14ac:dyDescent="0.45">
      <c r="A531" s="618"/>
      <c r="B531" s="618"/>
      <c r="C531" s="5"/>
      <c r="D531" s="618"/>
      <c r="E531" s="618"/>
      <c r="F531" s="618"/>
      <c r="G531" s="618"/>
      <c r="H531" s="618"/>
      <c r="I531" s="618"/>
      <c r="J531" s="618"/>
      <c r="K531" s="618"/>
      <c r="L531" s="618"/>
      <c r="M531" s="618"/>
      <c r="N531" s="618"/>
      <c r="O531" s="618"/>
      <c r="P531" s="618"/>
      <c r="Q531" s="618"/>
      <c r="R531" s="618"/>
      <c r="S531" s="618"/>
      <c r="T531" s="618"/>
      <c r="U531" s="618"/>
      <c r="V531" s="618"/>
      <c r="W531" s="618"/>
      <c r="X531" s="618"/>
      <c r="Y531" s="618"/>
      <c r="Z531" s="618"/>
      <c r="AA531" s="618"/>
      <c r="AB531" s="618"/>
      <c r="AC531" s="618"/>
      <c r="AD531" s="618"/>
      <c r="AE531" s="618"/>
      <c r="AF531" s="618"/>
      <c r="AG531" s="618"/>
      <c r="AH531" s="618"/>
      <c r="AI531" s="618"/>
      <c r="AJ531" s="618"/>
      <c r="AK531" s="618"/>
    </row>
    <row r="532" spans="1:37" ht="14.25" customHeight="1" x14ac:dyDescent="0.45">
      <c r="A532" s="618"/>
      <c r="B532" s="618"/>
      <c r="C532" s="5"/>
      <c r="D532" s="618"/>
      <c r="E532" s="618"/>
      <c r="F532" s="618"/>
      <c r="G532" s="618"/>
      <c r="H532" s="618"/>
      <c r="I532" s="618"/>
      <c r="J532" s="618"/>
      <c r="K532" s="618"/>
      <c r="L532" s="618"/>
      <c r="M532" s="618"/>
      <c r="N532" s="618"/>
      <c r="O532" s="618"/>
      <c r="P532" s="618"/>
      <c r="Q532" s="618"/>
      <c r="R532" s="618"/>
      <c r="S532" s="618"/>
      <c r="T532" s="618"/>
      <c r="U532" s="618"/>
      <c r="V532" s="618"/>
      <c r="W532" s="618"/>
      <c r="X532" s="618"/>
      <c r="Y532" s="618"/>
      <c r="Z532" s="618"/>
      <c r="AA532" s="618"/>
      <c r="AB532" s="618"/>
      <c r="AC532" s="618"/>
      <c r="AD532" s="618"/>
      <c r="AE532" s="618"/>
      <c r="AF532" s="618"/>
      <c r="AG532" s="618"/>
      <c r="AH532" s="618"/>
      <c r="AI532" s="618"/>
      <c r="AJ532" s="618"/>
      <c r="AK532" s="618"/>
    </row>
    <row r="533" spans="1:37" ht="14.25" customHeight="1" x14ac:dyDescent="0.45">
      <c r="A533" s="618"/>
      <c r="B533" s="618"/>
      <c r="C533" s="5"/>
      <c r="D533" s="618"/>
      <c r="E533" s="618"/>
      <c r="F533" s="618"/>
      <c r="G533" s="618"/>
      <c r="H533" s="618"/>
      <c r="I533" s="618"/>
      <c r="J533" s="618"/>
      <c r="K533" s="618"/>
      <c r="L533" s="618"/>
      <c r="M533" s="618"/>
      <c r="N533" s="618"/>
      <c r="O533" s="618"/>
      <c r="P533" s="618"/>
      <c r="Q533" s="618"/>
      <c r="R533" s="618"/>
      <c r="S533" s="618"/>
      <c r="T533" s="618"/>
      <c r="U533" s="618"/>
      <c r="V533" s="618"/>
      <c r="W533" s="618"/>
      <c r="X533" s="618"/>
      <c r="Y533" s="618"/>
      <c r="Z533" s="618"/>
      <c r="AA533" s="618"/>
      <c r="AB533" s="618"/>
      <c r="AC533" s="618"/>
      <c r="AD533" s="618"/>
      <c r="AE533" s="618"/>
      <c r="AF533" s="618"/>
      <c r="AG533" s="618"/>
      <c r="AH533" s="618"/>
      <c r="AI533" s="618"/>
      <c r="AJ533" s="618"/>
      <c r="AK533" s="618"/>
    </row>
    <row r="534" spans="1:37" ht="14.25" customHeight="1" x14ac:dyDescent="0.45">
      <c r="A534" s="618"/>
      <c r="B534" s="618"/>
      <c r="C534" s="5"/>
      <c r="D534" s="618"/>
      <c r="E534" s="618"/>
      <c r="F534" s="618"/>
      <c r="G534" s="618"/>
      <c r="H534" s="618"/>
      <c r="I534" s="618"/>
      <c r="J534" s="618"/>
      <c r="K534" s="618"/>
      <c r="L534" s="618"/>
      <c r="M534" s="618"/>
      <c r="N534" s="618"/>
      <c r="O534" s="618"/>
      <c r="P534" s="618"/>
      <c r="Q534" s="618"/>
      <c r="R534" s="618"/>
      <c r="S534" s="618"/>
      <c r="T534" s="618"/>
      <c r="U534" s="618"/>
      <c r="V534" s="618"/>
      <c r="W534" s="618"/>
      <c r="X534" s="618"/>
      <c r="Y534" s="618"/>
      <c r="Z534" s="618"/>
      <c r="AA534" s="618"/>
      <c r="AB534" s="618"/>
      <c r="AC534" s="618"/>
      <c r="AD534" s="618"/>
      <c r="AE534" s="618"/>
      <c r="AF534" s="618"/>
      <c r="AG534" s="618"/>
      <c r="AH534" s="618"/>
      <c r="AI534" s="618"/>
      <c r="AJ534" s="618"/>
      <c r="AK534" s="618"/>
    </row>
    <row r="535" spans="1:37" ht="14.25" customHeight="1" x14ac:dyDescent="0.45">
      <c r="A535" s="618"/>
      <c r="B535" s="618"/>
      <c r="C535" s="5"/>
      <c r="D535" s="618"/>
      <c r="E535" s="618"/>
      <c r="F535" s="618"/>
      <c r="G535" s="618"/>
      <c r="H535" s="618"/>
      <c r="I535" s="618"/>
      <c r="J535" s="618"/>
      <c r="K535" s="618"/>
      <c r="L535" s="618"/>
      <c r="M535" s="618"/>
      <c r="N535" s="618"/>
      <c r="O535" s="618"/>
      <c r="P535" s="618"/>
      <c r="Q535" s="618"/>
      <c r="R535" s="618"/>
      <c r="S535" s="618"/>
      <c r="T535" s="618"/>
      <c r="U535" s="618"/>
      <c r="V535" s="618"/>
      <c r="W535" s="618"/>
      <c r="X535" s="618"/>
      <c r="Y535" s="618"/>
      <c r="Z535" s="618"/>
      <c r="AA535" s="618"/>
      <c r="AB535" s="618"/>
      <c r="AC535" s="618"/>
      <c r="AD535" s="618"/>
      <c r="AE535" s="618"/>
      <c r="AF535" s="618"/>
      <c r="AG535" s="618"/>
      <c r="AH535" s="618"/>
      <c r="AI535" s="618"/>
      <c r="AJ535" s="618"/>
      <c r="AK535" s="618"/>
    </row>
    <row r="536" spans="1:37" ht="14.25" customHeight="1" x14ac:dyDescent="0.45">
      <c r="A536" s="618"/>
      <c r="B536" s="618"/>
      <c r="C536" s="5"/>
      <c r="D536" s="618"/>
      <c r="E536" s="618"/>
      <c r="F536" s="618"/>
      <c r="G536" s="618"/>
      <c r="H536" s="618"/>
      <c r="I536" s="618"/>
      <c r="J536" s="618"/>
      <c r="K536" s="618"/>
      <c r="L536" s="618"/>
      <c r="M536" s="618"/>
      <c r="N536" s="618"/>
      <c r="O536" s="618"/>
      <c r="P536" s="618"/>
      <c r="Q536" s="618"/>
      <c r="R536" s="618"/>
      <c r="S536" s="618"/>
      <c r="T536" s="618"/>
      <c r="U536" s="618"/>
      <c r="V536" s="618"/>
      <c r="W536" s="618"/>
      <c r="X536" s="618"/>
      <c r="Y536" s="618"/>
      <c r="Z536" s="618"/>
      <c r="AA536" s="618"/>
      <c r="AB536" s="618"/>
      <c r="AC536" s="618"/>
      <c r="AD536" s="618"/>
      <c r="AE536" s="618"/>
      <c r="AF536" s="618"/>
      <c r="AG536" s="618"/>
      <c r="AH536" s="618"/>
      <c r="AI536" s="618"/>
      <c r="AJ536" s="618"/>
      <c r="AK536" s="618"/>
    </row>
    <row r="537" spans="1:37" ht="14.25" customHeight="1" x14ac:dyDescent="0.45">
      <c r="A537" s="618"/>
      <c r="B537" s="618"/>
      <c r="C537" s="5"/>
      <c r="D537" s="618"/>
      <c r="E537" s="618"/>
      <c r="F537" s="618"/>
      <c r="G537" s="618"/>
      <c r="H537" s="618"/>
      <c r="I537" s="618"/>
      <c r="J537" s="618"/>
      <c r="K537" s="618"/>
      <c r="L537" s="618"/>
      <c r="M537" s="618"/>
      <c r="N537" s="618"/>
      <c r="O537" s="618"/>
      <c r="P537" s="618"/>
      <c r="Q537" s="618"/>
      <c r="R537" s="618"/>
      <c r="S537" s="618"/>
      <c r="T537" s="618"/>
      <c r="U537" s="618"/>
      <c r="V537" s="618"/>
      <c r="W537" s="618"/>
      <c r="X537" s="618"/>
      <c r="Y537" s="618"/>
      <c r="Z537" s="618"/>
      <c r="AA537" s="618"/>
      <c r="AB537" s="618"/>
      <c r="AC537" s="618"/>
      <c r="AD537" s="618"/>
      <c r="AE537" s="618"/>
      <c r="AF537" s="618"/>
      <c r="AG537" s="618"/>
      <c r="AH537" s="618"/>
      <c r="AI537" s="618"/>
      <c r="AJ537" s="618"/>
      <c r="AK537" s="618"/>
    </row>
    <row r="538" spans="1:37" ht="14.25" customHeight="1" x14ac:dyDescent="0.45">
      <c r="A538" s="618"/>
      <c r="B538" s="618"/>
      <c r="C538" s="5"/>
      <c r="D538" s="618"/>
      <c r="E538" s="618"/>
      <c r="F538" s="618"/>
      <c r="G538" s="618"/>
      <c r="H538" s="618"/>
      <c r="I538" s="618"/>
      <c r="J538" s="618"/>
      <c r="K538" s="618"/>
      <c r="L538" s="618"/>
      <c r="M538" s="618"/>
      <c r="N538" s="618"/>
      <c r="O538" s="618"/>
      <c r="P538" s="618"/>
      <c r="Q538" s="618"/>
      <c r="R538" s="618"/>
      <c r="S538" s="618"/>
      <c r="T538" s="618"/>
      <c r="U538" s="618"/>
      <c r="V538" s="618"/>
      <c r="W538" s="618"/>
      <c r="X538" s="618"/>
      <c r="Y538" s="618"/>
      <c r="Z538" s="618"/>
      <c r="AA538" s="618"/>
      <c r="AB538" s="618"/>
      <c r="AC538" s="618"/>
      <c r="AD538" s="618"/>
      <c r="AE538" s="618"/>
      <c r="AF538" s="618"/>
      <c r="AG538" s="618"/>
      <c r="AH538" s="618"/>
      <c r="AI538" s="618"/>
      <c r="AJ538" s="618"/>
      <c r="AK538" s="618"/>
    </row>
    <row r="539" spans="1:37" ht="14.25" customHeight="1" x14ac:dyDescent="0.45">
      <c r="A539" s="618"/>
      <c r="B539" s="618"/>
      <c r="C539" s="5"/>
      <c r="D539" s="618"/>
      <c r="E539" s="618"/>
      <c r="F539" s="618"/>
      <c r="G539" s="618"/>
      <c r="H539" s="618"/>
      <c r="I539" s="618"/>
      <c r="J539" s="618"/>
      <c r="K539" s="618"/>
      <c r="L539" s="618"/>
      <c r="M539" s="618"/>
      <c r="N539" s="618"/>
      <c r="O539" s="618"/>
      <c r="P539" s="618"/>
      <c r="Q539" s="618"/>
      <c r="R539" s="618"/>
      <c r="S539" s="618"/>
      <c r="T539" s="618"/>
      <c r="U539" s="618"/>
      <c r="V539" s="618"/>
      <c r="W539" s="618"/>
      <c r="X539" s="618"/>
      <c r="Y539" s="618"/>
      <c r="Z539" s="618"/>
      <c r="AA539" s="618"/>
      <c r="AB539" s="618"/>
      <c r="AC539" s="618"/>
      <c r="AD539" s="618"/>
      <c r="AE539" s="618"/>
      <c r="AF539" s="618"/>
      <c r="AG539" s="618"/>
      <c r="AH539" s="618"/>
      <c r="AI539" s="618"/>
      <c r="AJ539" s="618"/>
      <c r="AK539" s="618"/>
    </row>
    <row r="540" spans="1:37" ht="14.25" customHeight="1" x14ac:dyDescent="0.45">
      <c r="A540" s="618"/>
      <c r="B540" s="618"/>
      <c r="C540" s="5"/>
      <c r="D540" s="618"/>
      <c r="E540" s="618"/>
      <c r="F540" s="618"/>
      <c r="G540" s="618"/>
      <c r="H540" s="618"/>
      <c r="I540" s="618"/>
      <c r="J540" s="618"/>
      <c r="K540" s="618"/>
      <c r="L540" s="618"/>
      <c r="M540" s="618"/>
      <c r="N540" s="618"/>
      <c r="O540" s="618"/>
      <c r="P540" s="618"/>
      <c r="Q540" s="618"/>
      <c r="R540" s="618"/>
      <c r="S540" s="618"/>
      <c r="T540" s="618"/>
      <c r="U540" s="618"/>
      <c r="V540" s="618"/>
      <c r="W540" s="618"/>
      <c r="X540" s="618"/>
      <c r="Y540" s="618"/>
      <c r="Z540" s="618"/>
      <c r="AA540" s="618"/>
      <c r="AB540" s="618"/>
      <c r="AC540" s="618"/>
      <c r="AD540" s="618"/>
      <c r="AE540" s="618"/>
      <c r="AF540" s="618"/>
      <c r="AG540" s="618"/>
      <c r="AH540" s="618"/>
      <c r="AI540" s="618"/>
      <c r="AJ540" s="618"/>
      <c r="AK540" s="618"/>
    </row>
    <row r="541" spans="1:37" ht="14.25" customHeight="1" x14ac:dyDescent="0.45">
      <c r="A541" s="618"/>
      <c r="B541" s="618"/>
      <c r="C541" s="5"/>
      <c r="D541" s="618"/>
      <c r="E541" s="618"/>
      <c r="F541" s="618"/>
      <c r="G541" s="618"/>
      <c r="H541" s="618"/>
      <c r="I541" s="618"/>
      <c r="J541" s="618"/>
      <c r="K541" s="618"/>
      <c r="L541" s="618"/>
      <c r="M541" s="618"/>
      <c r="N541" s="618"/>
      <c r="O541" s="618"/>
      <c r="P541" s="618"/>
      <c r="Q541" s="618"/>
      <c r="R541" s="618"/>
      <c r="S541" s="618"/>
      <c r="T541" s="618"/>
      <c r="U541" s="618"/>
      <c r="V541" s="618"/>
      <c r="W541" s="618"/>
      <c r="X541" s="618"/>
      <c r="Y541" s="618"/>
      <c r="Z541" s="618"/>
      <c r="AA541" s="618"/>
      <c r="AB541" s="618"/>
      <c r="AC541" s="618"/>
      <c r="AD541" s="618"/>
      <c r="AE541" s="618"/>
      <c r="AF541" s="618"/>
      <c r="AG541" s="618"/>
      <c r="AH541" s="618"/>
      <c r="AI541" s="618"/>
      <c r="AJ541" s="618"/>
      <c r="AK541" s="618"/>
    </row>
    <row r="542" spans="1:37" ht="14.25" customHeight="1" x14ac:dyDescent="0.45">
      <c r="A542" s="618"/>
      <c r="B542" s="618"/>
      <c r="C542" s="5"/>
      <c r="D542" s="618"/>
      <c r="E542" s="618"/>
      <c r="F542" s="618"/>
      <c r="G542" s="618"/>
      <c r="H542" s="618"/>
      <c r="I542" s="618"/>
      <c r="J542" s="618"/>
      <c r="K542" s="618"/>
      <c r="L542" s="618"/>
      <c r="M542" s="618"/>
      <c r="N542" s="618"/>
      <c r="O542" s="618"/>
      <c r="P542" s="618"/>
      <c r="Q542" s="618"/>
      <c r="R542" s="618"/>
      <c r="S542" s="618"/>
      <c r="T542" s="618"/>
      <c r="U542" s="618"/>
      <c r="V542" s="618"/>
      <c r="W542" s="618"/>
      <c r="X542" s="618"/>
      <c r="Y542" s="618"/>
      <c r="Z542" s="618"/>
      <c r="AA542" s="618"/>
      <c r="AB542" s="618"/>
      <c r="AC542" s="618"/>
      <c r="AD542" s="618"/>
      <c r="AE542" s="618"/>
      <c r="AF542" s="618"/>
      <c r="AG542" s="618"/>
      <c r="AH542" s="618"/>
      <c r="AI542" s="618"/>
      <c r="AJ542" s="618"/>
      <c r="AK542" s="618"/>
    </row>
    <row r="543" spans="1:37" ht="14.25" customHeight="1" x14ac:dyDescent="0.45">
      <c r="A543" s="618"/>
      <c r="B543" s="618"/>
      <c r="C543" s="5"/>
      <c r="D543" s="618"/>
      <c r="E543" s="618"/>
      <c r="F543" s="618"/>
      <c r="G543" s="618"/>
      <c r="H543" s="618"/>
      <c r="I543" s="618"/>
      <c r="J543" s="618"/>
      <c r="K543" s="618"/>
      <c r="L543" s="618"/>
      <c r="M543" s="618"/>
      <c r="N543" s="618"/>
      <c r="O543" s="618"/>
      <c r="P543" s="618"/>
      <c r="Q543" s="618"/>
      <c r="R543" s="618"/>
      <c r="S543" s="618"/>
      <c r="T543" s="618"/>
      <c r="U543" s="618"/>
      <c r="V543" s="618"/>
      <c r="W543" s="618"/>
      <c r="X543" s="618"/>
      <c r="Y543" s="618"/>
      <c r="Z543" s="618"/>
      <c r="AA543" s="618"/>
      <c r="AB543" s="618"/>
      <c r="AC543" s="618"/>
      <c r="AD543" s="618"/>
      <c r="AE543" s="618"/>
      <c r="AF543" s="618"/>
      <c r="AG543" s="618"/>
      <c r="AH543" s="618"/>
      <c r="AI543" s="618"/>
      <c r="AJ543" s="618"/>
      <c r="AK543" s="618"/>
    </row>
    <row r="544" spans="1:37" ht="14.25" customHeight="1" x14ac:dyDescent="0.45">
      <c r="A544" s="618"/>
      <c r="B544" s="618"/>
      <c r="C544" s="5"/>
      <c r="D544" s="618"/>
      <c r="E544" s="618"/>
      <c r="F544" s="618"/>
      <c r="G544" s="618"/>
      <c r="H544" s="618"/>
      <c r="I544" s="618"/>
      <c r="J544" s="618"/>
      <c r="K544" s="618"/>
      <c r="L544" s="618"/>
      <c r="M544" s="618"/>
      <c r="N544" s="618"/>
      <c r="O544" s="618"/>
      <c r="P544" s="618"/>
      <c r="Q544" s="618"/>
      <c r="R544" s="618"/>
      <c r="S544" s="618"/>
      <c r="T544" s="618"/>
      <c r="U544" s="618"/>
      <c r="V544" s="618"/>
      <c r="W544" s="618"/>
      <c r="X544" s="618"/>
      <c r="Y544" s="618"/>
      <c r="Z544" s="618"/>
      <c r="AA544" s="618"/>
      <c r="AB544" s="618"/>
      <c r="AC544" s="618"/>
      <c r="AD544" s="618"/>
      <c r="AE544" s="618"/>
      <c r="AF544" s="618"/>
      <c r="AG544" s="618"/>
      <c r="AH544" s="618"/>
      <c r="AI544" s="618"/>
      <c r="AJ544" s="618"/>
      <c r="AK544" s="618"/>
    </row>
    <row r="545" spans="1:37" ht="14.25" customHeight="1" x14ac:dyDescent="0.45">
      <c r="A545" s="618"/>
      <c r="B545" s="618"/>
      <c r="C545" s="5"/>
      <c r="D545" s="618"/>
      <c r="E545" s="618"/>
      <c r="F545" s="618"/>
      <c r="G545" s="618"/>
      <c r="H545" s="618"/>
      <c r="I545" s="618"/>
      <c r="J545" s="618"/>
      <c r="K545" s="618"/>
      <c r="L545" s="618"/>
      <c r="M545" s="618"/>
      <c r="N545" s="618"/>
      <c r="O545" s="618"/>
      <c r="P545" s="618"/>
      <c r="Q545" s="618"/>
      <c r="R545" s="618"/>
      <c r="S545" s="618"/>
      <c r="T545" s="618"/>
      <c r="U545" s="618"/>
      <c r="V545" s="618"/>
      <c r="W545" s="618"/>
      <c r="X545" s="618"/>
      <c r="Y545" s="618"/>
      <c r="Z545" s="618"/>
      <c r="AA545" s="618"/>
      <c r="AB545" s="618"/>
      <c r="AC545" s="618"/>
      <c r="AD545" s="618"/>
      <c r="AE545" s="618"/>
      <c r="AF545" s="618"/>
      <c r="AG545" s="618"/>
      <c r="AH545" s="618"/>
      <c r="AI545" s="618"/>
      <c r="AJ545" s="618"/>
      <c r="AK545" s="618"/>
    </row>
    <row r="546" spans="1:37" ht="14.25" customHeight="1" x14ac:dyDescent="0.45">
      <c r="A546" s="618"/>
      <c r="B546" s="618"/>
      <c r="C546" s="5"/>
      <c r="D546" s="618"/>
      <c r="E546" s="618"/>
      <c r="F546" s="618"/>
      <c r="G546" s="618"/>
      <c r="H546" s="618"/>
      <c r="I546" s="618"/>
      <c r="J546" s="618"/>
      <c r="K546" s="618"/>
      <c r="L546" s="618"/>
      <c r="M546" s="618"/>
      <c r="N546" s="618"/>
      <c r="O546" s="618"/>
      <c r="P546" s="618"/>
      <c r="Q546" s="618"/>
      <c r="R546" s="618"/>
      <c r="S546" s="618"/>
      <c r="T546" s="618"/>
      <c r="U546" s="618"/>
      <c r="V546" s="618"/>
      <c r="W546" s="618"/>
      <c r="X546" s="618"/>
      <c r="Y546" s="618"/>
      <c r="Z546" s="618"/>
      <c r="AA546" s="618"/>
      <c r="AB546" s="618"/>
      <c r="AC546" s="618"/>
      <c r="AD546" s="618"/>
      <c r="AE546" s="618"/>
      <c r="AF546" s="618"/>
      <c r="AG546" s="618"/>
      <c r="AH546" s="618"/>
      <c r="AI546" s="618"/>
      <c r="AJ546" s="618"/>
      <c r="AK546" s="618"/>
    </row>
    <row r="547" spans="1:37" ht="14.25" customHeight="1" x14ac:dyDescent="0.45">
      <c r="A547" s="618"/>
      <c r="B547" s="618"/>
      <c r="C547" s="5"/>
      <c r="D547" s="618"/>
      <c r="E547" s="618"/>
      <c r="F547" s="618"/>
      <c r="G547" s="618"/>
      <c r="H547" s="618"/>
      <c r="I547" s="618"/>
      <c r="J547" s="618"/>
      <c r="K547" s="618"/>
      <c r="L547" s="618"/>
      <c r="M547" s="618"/>
      <c r="N547" s="618"/>
      <c r="O547" s="618"/>
      <c r="P547" s="618"/>
      <c r="Q547" s="618"/>
      <c r="R547" s="618"/>
      <c r="S547" s="618"/>
      <c r="T547" s="618"/>
      <c r="U547" s="618"/>
      <c r="V547" s="618"/>
      <c r="W547" s="618"/>
      <c r="X547" s="618"/>
      <c r="Y547" s="618"/>
      <c r="Z547" s="618"/>
      <c r="AA547" s="618"/>
      <c r="AB547" s="618"/>
      <c r="AC547" s="618"/>
      <c r="AD547" s="618"/>
      <c r="AE547" s="618"/>
      <c r="AF547" s="618"/>
      <c r="AG547" s="618"/>
      <c r="AH547" s="618"/>
      <c r="AI547" s="618"/>
      <c r="AJ547" s="618"/>
      <c r="AK547" s="618"/>
    </row>
    <row r="548" spans="1:37" ht="14.25" customHeight="1" x14ac:dyDescent="0.45">
      <c r="A548" s="618"/>
      <c r="B548" s="618"/>
      <c r="C548" s="5"/>
      <c r="D548" s="618"/>
      <c r="E548" s="618"/>
      <c r="F548" s="618"/>
      <c r="G548" s="618"/>
      <c r="H548" s="618"/>
      <c r="I548" s="618"/>
      <c r="J548" s="618"/>
      <c r="K548" s="618"/>
      <c r="L548" s="618"/>
      <c r="M548" s="618"/>
      <c r="N548" s="618"/>
      <c r="O548" s="618"/>
      <c r="P548" s="618"/>
      <c r="Q548" s="618"/>
      <c r="R548" s="618"/>
      <c r="S548" s="618"/>
      <c r="T548" s="618"/>
      <c r="U548" s="618"/>
      <c r="V548" s="618"/>
      <c r="W548" s="618"/>
      <c r="X548" s="618"/>
      <c r="Y548" s="618"/>
      <c r="Z548" s="618"/>
      <c r="AA548" s="618"/>
      <c r="AB548" s="618"/>
      <c r="AC548" s="618"/>
      <c r="AD548" s="618"/>
      <c r="AE548" s="618"/>
      <c r="AF548" s="618"/>
      <c r="AG548" s="618"/>
      <c r="AH548" s="618"/>
      <c r="AI548" s="618"/>
      <c r="AJ548" s="618"/>
      <c r="AK548" s="618"/>
    </row>
    <row r="549" spans="1:37" ht="14.25" customHeight="1" x14ac:dyDescent="0.45">
      <c r="A549" s="618"/>
      <c r="B549" s="618"/>
      <c r="C549" s="5"/>
      <c r="D549" s="618"/>
      <c r="E549" s="618"/>
      <c r="F549" s="618"/>
      <c r="G549" s="618"/>
      <c r="H549" s="618"/>
      <c r="I549" s="618"/>
      <c r="J549" s="618"/>
      <c r="K549" s="618"/>
      <c r="L549" s="618"/>
      <c r="M549" s="618"/>
      <c r="N549" s="618"/>
      <c r="O549" s="618"/>
      <c r="P549" s="618"/>
      <c r="Q549" s="618"/>
      <c r="R549" s="618"/>
      <c r="S549" s="618"/>
      <c r="T549" s="618"/>
      <c r="U549" s="618"/>
      <c r="V549" s="618"/>
      <c r="W549" s="618"/>
      <c r="X549" s="618"/>
      <c r="Y549" s="618"/>
      <c r="Z549" s="618"/>
      <c r="AA549" s="618"/>
      <c r="AB549" s="618"/>
      <c r="AC549" s="618"/>
      <c r="AD549" s="618"/>
      <c r="AE549" s="618"/>
      <c r="AF549" s="618"/>
      <c r="AG549" s="618"/>
      <c r="AH549" s="618"/>
      <c r="AI549" s="618"/>
      <c r="AJ549" s="618"/>
      <c r="AK549" s="618"/>
    </row>
    <row r="550" spans="1:37" ht="14.25" customHeight="1" x14ac:dyDescent="0.45">
      <c r="A550" s="618"/>
      <c r="B550" s="618"/>
      <c r="C550" s="5"/>
      <c r="D550" s="618"/>
      <c r="E550" s="618"/>
      <c r="F550" s="618"/>
      <c r="G550" s="618"/>
      <c r="H550" s="618"/>
      <c r="I550" s="618"/>
      <c r="J550" s="618"/>
      <c r="K550" s="618"/>
      <c r="L550" s="618"/>
      <c r="M550" s="618"/>
      <c r="N550" s="618"/>
      <c r="O550" s="618"/>
      <c r="P550" s="618"/>
      <c r="Q550" s="618"/>
      <c r="R550" s="618"/>
      <c r="S550" s="618"/>
      <c r="T550" s="618"/>
      <c r="U550" s="618"/>
      <c r="V550" s="618"/>
      <c r="W550" s="618"/>
      <c r="X550" s="618"/>
      <c r="Y550" s="618"/>
      <c r="Z550" s="618"/>
      <c r="AA550" s="618"/>
      <c r="AB550" s="618"/>
      <c r="AC550" s="618"/>
      <c r="AD550" s="618"/>
      <c r="AE550" s="618"/>
      <c r="AF550" s="618"/>
      <c r="AG550" s="618"/>
      <c r="AH550" s="618"/>
      <c r="AI550" s="618"/>
      <c r="AJ550" s="618"/>
      <c r="AK550" s="618"/>
    </row>
    <row r="551" spans="1:37" ht="14.25" customHeight="1" x14ac:dyDescent="0.45">
      <c r="A551" s="618"/>
      <c r="B551" s="618"/>
      <c r="C551" s="5"/>
      <c r="D551" s="618"/>
      <c r="E551" s="618"/>
      <c r="F551" s="618"/>
      <c r="G551" s="618"/>
      <c r="H551" s="618"/>
      <c r="I551" s="618"/>
      <c r="J551" s="618"/>
      <c r="K551" s="618"/>
      <c r="L551" s="618"/>
      <c r="M551" s="618"/>
      <c r="N551" s="618"/>
      <c r="O551" s="618"/>
      <c r="P551" s="618"/>
      <c r="Q551" s="618"/>
      <c r="R551" s="618"/>
      <c r="S551" s="618"/>
      <c r="T551" s="618"/>
      <c r="U551" s="618"/>
      <c r="V551" s="618"/>
      <c r="W551" s="618"/>
      <c r="X551" s="618"/>
      <c r="Y551" s="618"/>
      <c r="Z551" s="618"/>
      <c r="AA551" s="618"/>
      <c r="AB551" s="618"/>
      <c r="AC551" s="618"/>
      <c r="AD551" s="618"/>
      <c r="AE551" s="618"/>
      <c r="AF551" s="618"/>
      <c r="AG551" s="618"/>
      <c r="AH551" s="618"/>
      <c r="AI551" s="618"/>
      <c r="AJ551" s="618"/>
      <c r="AK551" s="618"/>
    </row>
    <row r="552" spans="1:37" ht="14.25" customHeight="1" x14ac:dyDescent="0.45">
      <c r="A552" s="618"/>
      <c r="B552" s="618"/>
      <c r="C552" s="5"/>
      <c r="D552" s="618"/>
      <c r="E552" s="618"/>
      <c r="F552" s="618"/>
      <c r="G552" s="618"/>
      <c r="H552" s="618"/>
      <c r="I552" s="618"/>
      <c r="J552" s="618"/>
      <c r="K552" s="618"/>
      <c r="L552" s="618"/>
      <c r="M552" s="618"/>
      <c r="N552" s="618"/>
      <c r="O552" s="618"/>
      <c r="P552" s="618"/>
      <c r="Q552" s="618"/>
      <c r="R552" s="618"/>
      <c r="S552" s="618"/>
      <c r="T552" s="618"/>
      <c r="U552" s="618"/>
      <c r="V552" s="618"/>
      <c r="W552" s="618"/>
      <c r="X552" s="618"/>
      <c r="Y552" s="618"/>
      <c r="Z552" s="618"/>
      <c r="AA552" s="618"/>
      <c r="AB552" s="618"/>
      <c r="AC552" s="618"/>
      <c r="AD552" s="618"/>
      <c r="AE552" s="618"/>
      <c r="AF552" s="618"/>
      <c r="AG552" s="618"/>
      <c r="AH552" s="618"/>
      <c r="AI552" s="618"/>
      <c r="AJ552" s="618"/>
      <c r="AK552" s="618"/>
    </row>
    <row r="553" spans="1:37" ht="14.25" customHeight="1" x14ac:dyDescent="0.45">
      <c r="A553" s="618"/>
      <c r="B553" s="618"/>
      <c r="C553" s="5"/>
      <c r="D553" s="618"/>
      <c r="E553" s="618"/>
      <c r="F553" s="618"/>
      <c r="G553" s="618"/>
      <c r="H553" s="618"/>
      <c r="I553" s="618"/>
      <c r="J553" s="618"/>
      <c r="K553" s="618"/>
      <c r="L553" s="618"/>
      <c r="M553" s="618"/>
      <c r="N553" s="618"/>
      <c r="O553" s="618"/>
      <c r="P553" s="618"/>
      <c r="Q553" s="618"/>
      <c r="R553" s="618"/>
      <c r="S553" s="618"/>
      <c r="T553" s="618"/>
      <c r="U553" s="618"/>
      <c r="V553" s="618"/>
      <c r="W553" s="618"/>
      <c r="X553" s="618"/>
      <c r="Y553" s="618"/>
      <c r="Z553" s="618"/>
      <c r="AA553" s="618"/>
      <c r="AB553" s="618"/>
      <c r="AC553" s="618"/>
      <c r="AD553" s="618"/>
      <c r="AE553" s="618"/>
      <c r="AF553" s="618"/>
      <c r="AG553" s="618"/>
      <c r="AH553" s="618"/>
      <c r="AI553" s="618"/>
      <c r="AJ553" s="618"/>
      <c r="AK553" s="618"/>
    </row>
    <row r="554" spans="1:37" ht="14.25" customHeight="1" x14ac:dyDescent="0.45">
      <c r="A554" s="618"/>
      <c r="B554" s="618"/>
      <c r="C554" s="5"/>
      <c r="D554" s="618"/>
      <c r="E554" s="618"/>
      <c r="F554" s="618"/>
      <c r="G554" s="618"/>
      <c r="H554" s="618"/>
      <c r="I554" s="618"/>
      <c r="J554" s="618"/>
      <c r="K554" s="618"/>
      <c r="L554" s="618"/>
      <c r="M554" s="618"/>
      <c r="N554" s="618"/>
      <c r="O554" s="618"/>
      <c r="P554" s="618"/>
      <c r="Q554" s="618"/>
      <c r="R554" s="618"/>
      <c r="S554" s="618"/>
      <c r="T554" s="618"/>
      <c r="U554" s="618"/>
      <c r="V554" s="618"/>
      <c r="W554" s="618"/>
      <c r="X554" s="618"/>
      <c r="Y554" s="618"/>
      <c r="Z554" s="618"/>
      <c r="AA554" s="618"/>
      <c r="AB554" s="618"/>
      <c r="AC554" s="618"/>
      <c r="AD554" s="618"/>
      <c r="AE554" s="618"/>
      <c r="AF554" s="618"/>
      <c r="AG554" s="618"/>
      <c r="AH554" s="618"/>
      <c r="AI554" s="618"/>
      <c r="AJ554" s="618"/>
      <c r="AK554" s="618"/>
    </row>
    <row r="555" spans="1:37" ht="14.25" customHeight="1" x14ac:dyDescent="0.45">
      <c r="A555" s="618"/>
      <c r="B555" s="618"/>
      <c r="C555" s="5"/>
      <c r="D555" s="618"/>
      <c r="E555" s="618"/>
      <c r="F555" s="618"/>
      <c r="G555" s="618"/>
      <c r="H555" s="618"/>
      <c r="I555" s="618"/>
      <c r="J555" s="618"/>
      <c r="K555" s="618"/>
      <c r="L555" s="618"/>
      <c r="M555" s="618"/>
      <c r="N555" s="618"/>
      <c r="O555" s="618"/>
      <c r="P555" s="618"/>
      <c r="Q555" s="618"/>
      <c r="R555" s="618"/>
      <c r="S555" s="618"/>
      <c r="T555" s="618"/>
      <c r="U555" s="618"/>
      <c r="V555" s="618"/>
      <c r="W555" s="618"/>
      <c r="X555" s="618"/>
      <c r="Y555" s="618"/>
      <c r="Z555" s="618"/>
      <c r="AA555" s="618"/>
      <c r="AB555" s="618"/>
      <c r="AC555" s="618"/>
      <c r="AD555" s="618"/>
      <c r="AE555" s="618"/>
      <c r="AF555" s="618"/>
      <c r="AG555" s="618"/>
      <c r="AH555" s="618"/>
      <c r="AI555" s="618"/>
      <c r="AJ555" s="618"/>
      <c r="AK555" s="618"/>
    </row>
    <row r="556" spans="1:37" ht="14.25" customHeight="1" x14ac:dyDescent="0.45">
      <c r="A556" s="618"/>
      <c r="B556" s="618"/>
      <c r="C556" s="5"/>
      <c r="D556" s="618"/>
      <c r="E556" s="618"/>
      <c r="F556" s="618"/>
      <c r="G556" s="618"/>
      <c r="H556" s="618"/>
      <c r="I556" s="618"/>
      <c r="J556" s="618"/>
      <c r="K556" s="618"/>
      <c r="L556" s="618"/>
      <c r="M556" s="618"/>
      <c r="N556" s="618"/>
      <c r="O556" s="618"/>
      <c r="P556" s="618"/>
      <c r="Q556" s="618"/>
      <c r="R556" s="618"/>
      <c r="S556" s="618"/>
      <c r="T556" s="618"/>
      <c r="U556" s="618"/>
      <c r="V556" s="618"/>
      <c r="W556" s="618"/>
      <c r="X556" s="618"/>
      <c r="Y556" s="618"/>
      <c r="Z556" s="618"/>
      <c r="AA556" s="618"/>
      <c r="AB556" s="618"/>
      <c r="AC556" s="618"/>
      <c r="AD556" s="618"/>
      <c r="AE556" s="618"/>
      <c r="AF556" s="618"/>
      <c r="AG556" s="618"/>
      <c r="AH556" s="618"/>
      <c r="AI556" s="618"/>
      <c r="AJ556" s="618"/>
      <c r="AK556" s="618"/>
    </row>
    <row r="557" spans="1:37" ht="14.25" customHeight="1" x14ac:dyDescent="0.45">
      <c r="A557" s="618"/>
      <c r="B557" s="618"/>
      <c r="C557" s="5"/>
      <c r="D557" s="618"/>
      <c r="E557" s="618"/>
      <c r="F557" s="618"/>
      <c r="G557" s="618"/>
      <c r="H557" s="618"/>
      <c r="I557" s="618"/>
      <c r="J557" s="618"/>
      <c r="K557" s="618"/>
      <c r="L557" s="618"/>
      <c r="M557" s="618"/>
      <c r="N557" s="618"/>
      <c r="O557" s="618"/>
      <c r="P557" s="618"/>
      <c r="Q557" s="618"/>
      <c r="R557" s="618"/>
      <c r="S557" s="618"/>
      <c r="T557" s="618"/>
      <c r="U557" s="618"/>
      <c r="V557" s="618"/>
      <c r="W557" s="618"/>
      <c r="X557" s="618"/>
      <c r="Y557" s="618"/>
      <c r="Z557" s="618"/>
      <c r="AA557" s="618"/>
      <c r="AB557" s="618"/>
      <c r="AC557" s="618"/>
      <c r="AD557" s="618"/>
      <c r="AE557" s="618"/>
      <c r="AF557" s="618"/>
      <c r="AG557" s="618"/>
      <c r="AH557" s="618"/>
      <c r="AI557" s="618"/>
      <c r="AJ557" s="618"/>
      <c r="AK557" s="618"/>
    </row>
    <row r="558" spans="1:37" ht="14.25" customHeight="1" x14ac:dyDescent="0.45">
      <c r="A558" s="618"/>
      <c r="B558" s="618"/>
      <c r="C558" s="5"/>
      <c r="D558" s="618"/>
      <c r="E558" s="618"/>
      <c r="F558" s="618"/>
      <c r="G558" s="618"/>
      <c r="H558" s="618"/>
      <c r="I558" s="618"/>
      <c r="J558" s="618"/>
      <c r="K558" s="618"/>
      <c r="L558" s="618"/>
      <c r="M558" s="618"/>
      <c r="N558" s="618"/>
      <c r="O558" s="618"/>
      <c r="P558" s="618"/>
      <c r="Q558" s="618"/>
      <c r="R558" s="618"/>
      <c r="S558" s="618"/>
      <c r="T558" s="618"/>
      <c r="U558" s="618"/>
      <c r="V558" s="618"/>
      <c r="W558" s="618"/>
      <c r="X558" s="618"/>
      <c r="Y558" s="618"/>
      <c r="Z558" s="618"/>
      <c r="AA558" s="618"/>
      <c r="AB558" s="618"/>
      <c r="AC558" s="618"/>
      <c r="AD558" s="618"/>
      <c r="AE558" s="618"/>
      <c r="AF558" s="618"/>
      <c r="AG558" s="618"/>
      <c r="AH558" s="618"/>
      <c r="AI558" s="618"/>
      <c r="AJ558" s="618"/>
      <c r="AK558" s="618"/>
    </row>
    <row r="559" spans="1:37" ht="14.25" customHeight="1" x14ac:dyDescent="0.45">
      <c r="A559" s="618"/>
      <c r="B559" s="618"/>
      <c r="C559" s="5"/>
      <c r="D559" s="618"/>
      <c r="E559" s="618"/>
      <c r="F559" s="618"/>
      <c r="G559" s="618"/>
      <c r="H559" s="618"/>
      <c r="I559" s="618"/>
      <c r="J559" s="618"/>
      <c r="K559" s="618"/>
      <c r="L559" s="618"/>
      <c r="M559" s="618"/>
      <c r="N559" s="618"/>
      <c r="O559" s="618"/>
      <c r="P559" s="618"/>
      <c r="Q559" s="618"/>
      <c r="R559" s="618"/>
      <c r="S559" s="618"/>
      <c r="T559" s="618"/>
      <c r="U559" s="618"/>
      <c r="V559" s="618"/>
      <c r="W559" s="618"/>
      <c r="X559" s="618"/>
      <c r="Y559" s="618"/>
      <c r="Z559" s="618"/>
      <c r="AA559" s="618"/>
      <c r="AB559" s="618"/>
      <c r="AC559" s="618"/>
      <c r="AD559" s="618"/>
      <c r="AE559" s="618"/>
      <c r="AF559" s="618"/>
      <c r="AG559" s="618"/>
      <c r="AH559" s="618"/>
      <c r="AI559" s="618"/>
      <c r="AJ559" s="618"/>
      <c r="AK559" s="618"/>
    </row>
    <row r="560" spans="1:37" ht="14.25" customHeight="1" x14ac:dyDescent="0.45">
      <c r="A560" s="618"/>
      <c r="B560" s="618"/>
      <c r="C560" s="5"/>
      <c r="D560" s="618"/>
      <c r="E560" s="618"/>
      <c r="F560" s="618"/>
      <c r="G560" s="618"/>
      <c r="H560" s="618"/>
      <c r="I560" s="618"/>
      <c r="J560" s="618"/>
      <c r="K560" s="618"/>
      <c r="L560" s="618"/>
      <c r="M560" s="618"/>
      <c r="N560" s="618"/>
      <c r="O560" s="618"/>
      <c r="P560" s="618"/>
      <c r="Q560" s="618"/>
      <c r="R560" s="618"/>
      <c r="S560" s="618"/>
      <c r="T560" s="618"/>
      <c r="U560" s="618"/>
      <c r="V560" s="618"/>
      <c r="W560" s="618"/>
      <c r="X560" s="618"/>
      <c r="Y560" s="618"/>
      <c r="Z560" s="618"/>
      <c r="AA560" s="618"/>
      <c r="AB560" s="618"/>
      <c r="AC560" s="618"/>
      <c r="AD560" s="618"/>
      <c r="AE560" s="618"/>
      <c r="AF560" s="618"/>
      <c r="AG560" s="618"/>
      <c r="AH560" s="618"/>
      <c r="AI560" s="618"/>
      <c r="AJ560" s="618"/>
      <c r="AK560" s="618"/>
    </row>
    <row r="561" spans="1:37" ht="14.25" customHeight="1" x14ac:dyDescent="0.45">
      <c r="A561" s="618"/>
      <c r="B561" s="618"/>
      <c r="C561" s="5"/>
      <c r="D561" s="618"/>
      <c r="E561" s="618"/>
      <c r="F561" s="618"/>
      <c r="G561" s="618"/>
      <c r="H561" s="618"/>
      <c r="I561" s="618"/>
      <c r="J561" s="618"/>
      <c r="K561" s="618"/>
      <c r="L561" s="618"/>
      <c r="M561" s="618"/>
      <c r="N561" s="618"/>
      <c r="O561" s="618"/>
      <c r="P561" s="618"/>
      <c r="Q561" s="618"/>
      <c r="R561" s="618"/>
      <c r="S561" s="618"/>
      <c r="T561" s="618"/>
      <c r="U561" s="618"/>
      <c r="V561" s="618"/>
      <c r="W561" s="618"/>
      <c r="X561" s="618"/>
      <c r="Y561" s="618"/>
      <c r="Z561" s="618"/>
      <c r="AA561" s="618"/>
      <c r="AB561" s="618"/>
      <c r="AC561" s="618"/>
      <c r="AD561" s="618"/>
      <c r="AE561" s="618"/>
      <c r="AF561" s="618"/>
      <c r="AG561" s="618"/>
      <c r="AH561" s="618"/>
      <c r="AI561" s="618"/>
      <c r="AJ561" s="618"/>
      <c r="AK561" s="618"/>
    </row>
    <row r="562" spans="1:37" ht="14.25" customHeight="1" x14ac:dyDescent="0.45">
      <c r="A562" s="618"/>
      <c r="B562" s="618"/>
      <c r="C562" s="5"/>
      <c r="D562" s="618"/>
      <c r="E562" s="618"/>
      <c r="F562" s="618"/>
      <c r="G562" s="618"/>
      <c r="H562" s="618"/>
      <c r="I562" s="618"/>
      <c r="J562" s="618"/>
      <c r="K562" s="618"/>
      <c r="L562" s="618"/>
      <c r="M562" s="618"/>
      <c r="N562" s="618"/>
      <c r="O562" s="618"/>
      <c r="P562" s="618"/>
      <c r="Q562" s="618"/>
      <c r="R562" s="618"/>
      <c r="S562" s="618"/>
      <c r="T562" s="618"/>
      <c r="U562" s="618"/>
      <c r="V562" s="618"/>
      <c r="W562" s="618"/>
      <c r="X562" s="618"/>
      <c r="Y562" s="618"/>
      <c r="Z562" s="618"/>
      <c r="AA562" s="618"/>
      <c r="AB562" s="618"/>
      <c r="AC562" s="618"/>
      <c r="AD562" s="618"/>
      <c r="AE562" s="618"/>
      <c r="AF562" s="618"/>
      <c r="AG562" s="618"/>
      <c r="AH562" s="618"/>
      <c r="AI562" s="618"/>
      <c r="AJ562" s="618"/>
      <c r="AK562" s="618"/>
    </row>
    <row r="563" spans="1:37" ht="14.25" customHeight="1" x14ac:dyDescent="0.45">
      <c r="A563" s="618"/>
      <c r="B563" s="618"/>
      <c r="C563" s="5"/>
      <c r="D563" s="618"/>
      <c r="E563" s="618"/>
      <c r="F563" s="618"/>
      <c r="G563" s="618"/>
      <c r="H563" s="618"/>
      <c r="I563" s="618"/>
      <c r="J563" s="618"/>
      <c r="K563" s="618"/>
      <c r="L563" s="618"/>
      <c r="M563" s="618"/>
      <c r="N563" s="618"/>
      <c r="O563" s="618"/>
      <c r="P563" s="618"/>
      <c r="Q563" s="618"/>
      <c r="R563" s="618"/>
      <c r="S563" s="618"/>
      <c r="T563" s="618"/>
      <c r="U563" s="618"/>
      <c r="V563" s="618"/>
      <c r="W563" s="618"/>
      <c r="X563" s="618"/>
      <c r="Y563" s="618"/>
      <c r="Z563" s="618"/>
      <c r="AA563" s="618"/>
      <c r="AB563" s="618"/>
      <c r="AC563" s="618"/>
      <c r="AD563" s="618"/>
      <c r="AE563" s="618"/>
      <c r="AF563" s="618"/>
      <c r="AG563" s="618"/>
      <c r="AH563" s="618"/>
      <c r="AI563" s="618"/>
      <c r="AJ563" s="618"/>
      <c r="AK563" s="618"/>
    </row>
    <row r="564" spans="1:37" ht="14.25" customHeight="1" x14ac:dyDescent="0.45">
      <c r="A564" s="618"/>
      <c r="B564" s="618"/>
      <c r="C564" s="5"/>
      <c r="D564" s="618"/>
      <c r="E564" s="618"/>
      <c r="F564" s="618"/>
      <c r="G564" s="618"/>
      <c r="H564" s="618"/>
      <c r="I564" s="618"/>
      <c r="J564" s="618"/>
      <c r="K564" s="618"/>
      <c r="L564" s="618"/>
      <c r="M564" s="618"/>
      <c r="N564" s="618"/>
      <c r="O564" s="618"/>
      <c r="P564" s="618"/>
      <c r="Q564" s="618"/>
      <c r="R564" s="618"/>
      <c r="S564" s="618"/>
      <c r="T564" s="618"/>
      <c r="U564" s="618"/>
      <c r="V564" s="618"/>
      <c r="W564" s="618"/>
      <c r="X564" s="618"/>
      <c r="Y564" s="618"/>
      <c r="Z564" s="618"/>
      <c r="AA564" s="618"/>
      <c r="AB564" s="618"/>
      <c r="AC564" s="618"/>
      <c r="AD564" s="618"/>
      <c r="AE564" s="618"/>
      <c r="AF564" s="618"/>
      <c r="AG564" s="618"/>
      <c r="AH564" s="618"/>
      <c r="AI564" s="618"/>
      <c r="AJ564" s="618"/>
      <c r="AK564" s="618"/>
    </row>
    <row r="565" spans="1:37" ht="14.25" customHeight="1" x14ac:dyDescent="0.45">
      <c r="A565" s="618"/>
      <c r="B565" s="618"/>
      <c r="C565" s="5"/>
      <c r="D565" s="618"/>
      <c r="E565" s="618"/>
      <c r="F565" s="618"/>
      <c r="G565" s="618"/>
      <c r="H565" s="618"/>
      <c r="I565" s="618"/>
      <c r="J565" s="618"/>
      <c r="K565" s="618"/>
      <c r="L565" s="618"/>
      <c r="M565" s="618"/>
      <c r="N565" s="618"/>
      <c r="O565" s="618"/>
      <c r="P565" s="618"/>
      <c r="Q565" s="618"/>
      <c r="R565" s="618"/>
      <c r="S565" s="618"/>
      <c r="T565" s="618"/>
      <c r="U565" s="618"/>
      <c r="V565" s="618"/>
      <c r="W565" s="618"/>
      <c r="X565" s="618"/>
      <c r="Y565" s="618"/>
      <c r="Z565" s="618"/>
      <c r="AA565" s="618"/>
      <c r="AB565" s="618"/>
      <c r="AC565" s="618"/>
      <c r="AD565" s="618"/>
      <c r="AE565" s="618"/>
      <c r="AF565" s="618"/>
      <c r="AG565" s="618"/>
      <c r="AH565" s="618"/>
      <c r="AI565" s="618"/>
      <c r="AJ565" s="618"/>
      <c r="AK565" s="618"/>
    </row>
    <row r="566" spans="1:37" ht="14.25" customHeight="1" x14ac:dyDescent="0.45">
      <c r="A566" s="618"/>
      <c r="B566" s="618"/>
      <c r="C566" s="5"/>
      <c r="D566" s="618"/>
      <c r="E566" s="618"/>
      <c r="F566" s="618"/>
      <c r="G566" s="618"/>
      <c r="H566" s="618"/>
      <c r="I566" s="618"/>
      <c r="J566" s="618"/>
      <c r="K566" s="618"/>
      <c r="L566" s="618"/>
      <c r="M566" s="618"/>
      <c r="N566" s="618"/>
      <c r="O566" s="618"/>
      <c r="P566" s="618"/>
      <c r="Q566" s="618"/>
      <c r="R566" s="618"/>
      <c r="S566" s="618"/>
      <c r="T566" s="618"/>
      <c r="U566" s="618"/>
      <c r="V566" s="618"/>
      <c r="W566" s="618"/>
      <c r="X566" s="618"/>
      <c r="Y566" s="618"/>
      <c r="Z566" s="618"/>
      <c r="AA566" s="618"/>
      <c r="AB566" s="618"/>
      <c r="AC566" s="618"/>
      <c r="AD566" s="618"/>
      <c r="AE566" s="618"/>
      <c r="AF566" s="618"/>
      <c r="AG566" s="618"/>
      <c r="AH566" s="618"/>
      <c r="AI566" s="618"/>
      <c r="AJ566" s="618"/>
      <c r="AK566" s="618"/>
    </row>
    <row r="567" spans="1:37" ht="14.25" customHeight="1" x14ac:dyDescent="0.45">
      <c r="A567" s="618"/>
      <c r="B567" s="618"/>
      <c r="C567" s="5"/>
      <c r="D567" s="618"/>
      <c r="E567" s="618"/>
      <c r="F567" s="618"/>
      <c r="G567" s="618"/>
      <c r="H567" s="618"/>
      <c r="I567" s="618"/>
      <c r="J567" s="618"/>
      <c r="K567" s="618"/>
      <c r="L567" s="618"/>
      <c r="M567" s="618"/>
      <c r="N567" s="618"/>
      <c r="O567" s="618"/>
      <c r="P567" s="618"/>
      <c r="Q567" s="618"/>
      <c r="R567" s="618"/>
      <c r="S567" s="618"/>
      <c r="T567" s="618"/>
      <c r="U567" s="618"/>
      <c r="V567" s="618"/>
      <c r="W567" s="618"/>
      <c r="X567" s="618"/>
      <c r="Y567" s="618"/>
      <c r="Z567" s="618"/>
      <c r="AA567" s="618"/>
      <c r="AB567" s="618"/>
      <c r="AC567" s="618"/>
      <c r="AD567" s="618"/>
      <c r="AE567" s="618"/>
      <c r="AF567" s="618"/>
      <c r="AG567" s="618"/>
      <c r="AH567" s="618"/>
      <c r="AI567" s="618"/>
      <c r="AJ567" s="618"/>
      <c r="AK567" s="618"/>
    </row>
    <row r="568" spans="1:37" ht="14.25" customHeight="1" x14ac:dyDescent="0.45">
      <c r="A568" s="618"/>
      <c r="B568" s="618"/>
      <c r="C568" s="5"/>
      <c r="D568" s="618"/>
      <c r="E568" s="618"/>
      <c r="F568" s="618"/>
      <c r="G568" s="618"/>
      <c r="H568" s="618"/>
      <c r="I568" s="618"/>
      <c r="J568" s="618"/>
      <c r="K568" s="618"/>
      <c r="L568" s="618"/>
      <c r="M568" s="618"/>
      <c r="N568" s="618"/>
      <c r="O568" s="618"/>
      <c r="P568" s="618"/>
      <c r="Q568" s="618"/>
      <c r="R568" s="618"/>
      <c r="S568" s="618"/>
      <c r="T568" s="618"/>
      <c r="U568" s="618"/>
      <c r="V568" s="618"/>
      <c r="W568" s="618"/>
      <c r="X568" s="618"/>
      <c r="Y568" s="618"/>
      <c r="Z568" s="618"/>
      <c r="AA568" s="618"/>
      <c r="AB568" s="618"/>
      <c r="AC568" s="618"/>
      <c r="AD568" s="618"/>
      <c r="AE568" s="618"/>
      <c r="AF568" s="618"/>
      <c r="AG568" s="618"/>
      <c r="AH568" s="618"/>
      <c r="AI568" s="618"/>
      <c r="AJ568" s="618"/>
      <c r="AK568" s="618"/>
    </row>
    <row r="569" spans="1:37" ht="14.25" customHeight="1" x14ac:dyDescent="0.45">
      <c r="A569" s="618"/>
      <c r="B569" s="618"/>
      <c r="C569" s="5"/>
      <c r="D569" s="618"/>
      <c r="E569" s="618"/>
      <c r="F569" s="618"/>
      <c r="G569" s="618"/>
      <c r="H569" s="618"/>
      <c r="I569" s="618"/>
      <c r="J569" s="618"/>
      <c r="K569" s="618"/>
      <c r="L569" s="618"/>
      <c r="M569" s="618"/>
      <c r="N569" s="618"/>
      <c r="O569" s="618"/>
      <c r="P569" s="618"/>
      <c r="Q569" s="618"/>
      <c r="R569" s="618"/>
      <c r="S569" s="618"/>
      <c r="T569" s="618"/>
      <c r="U569" s="618"/>
      <c r="V569" s="618"/>
      <c r="W569" s="618"/>
      <c r="X569" s="618"/>
      <c r="Y569" s="618"/>
      <c r="Z569" s="618"/>
      <c r="AA569" s="618"/>
      <c r="AB569" s="618"/>
      <c r="AC569" s="618"/>
      <c r="AD569" s="618"/>
      <c r="AE569" s="618"/>
      <c r="AF569" s="618"/>
      <c r="AG569" s="618"/>
      <c r="AH569" s="618"/>
      <c r="AI569" s="618"/>
      <c r="AJ569" s="618"/>
      <c r="AK569" s="618"/>
    </row>
    <row r="570" spans="1:37" ht="14.25" customHeight="1" x14ac:dyDescent="0.45">
      <c r="A570" s="618"/>
      <c r="B570" s="618"/>
      <c r="C570" s="5"/>
      <c r="D570" s="618"/>
      <c r="E570" s="618"/>
      <c r="F570" s="618"/>
      <c r="G570" s="618"/>
      <c r="H570" s="618"/>
      <c r="I570" s="618"/>
      <c r="J570" s="618"/>
      <c r="K570" s="618"/>
      <c r="L570" s="618"/>
      <c r="M570" s="618"/>
      <c r="N570" s="618"/>
      <c r="O570" s="618"/>
      <c r="P570" s="618"/>
      <c r="Q570" s="618"/>
      <c r="R570" s="618"/>
      <c r="S570" s="618"/>
      <c r="T570" s="618"/>
      <c r="U570" s="618"/>
      <c r="V570" s="618"/>
      <c r="W570" s="618"/>
      <c r="X570" s="618"/>
      <c r="Y570" s="618"/>
      <c r="Z570" s="618"/>
      <c r="AA570" s="618"/>
      <c r="AB570" s="618"/>
      <c r="AC570" s="618"/>
      <c r="AD570" s="618"/>
      <c r="AE570" s="618"/>
      <c r="AF570" s="618"/>
      <c r="AG570" s="618"/>
      <c r="AH570" s="618"/>
      <c r="AI570" s="618"/>
      <c r="AJ570" s="618"/>
      <c r="AK570" s="618"/>
    </row>
    <row r="571" spans="1:37" ht="14.25" customHeight="1" x14ac:dyDescent="0.45">
      <c r="A571" s="618"/>
      <c r="B571" s="618"/>
      <c r="C571" s="5"/>
      <c r="D571" s="618"/>
      <c r="E571" s="618"/>
      <c r="F571" s="618"/>
      <c r="G571" s="618"/>
      <c r="H571" s="618"/>
      <c r="I571" s="618"/>
      <c r="J571" s="618"/>
      <c r="K571" s="618"/>
      <c r="L571" s="618"/>
      <c r="M571" s="618"/>
      <c r="N571" s="618"/>
      <c r="O571" s="618"/>
      <c r="P571" s="618"/>
      <c r="Q571" s="618"/>
      <c r="R571" s="618"/>
      <c r="S571" s="618"/>
      <c r="T571" s="618"/>
      <c r="U571" s="618"/>
      <c r="V571" s="618"/>
      <c r="W571" s="618"/>
      <c r="X571" s="618"/>
      <c r="Y571" s="618"/>
      <c r="Z571" s="618"/>
      <c r="AA571" s="618"/>
      <c r="AB571" s="618"/>
      <c r="AC571" s="618"/>
      <c r="AD571" s="618"/>
      <c r="AE571" s="618"/>
      <c r="AF571" s="618"/>
      <c r="AG571" s="618"/>
      <c r="AH571" s="618"/>
      <c r="AI571" s="618"/>
      <c r="AJ571" s="618"/>
      <c r="AK571" s="618"/>
    </row>
    <row r="572" spans="1:37" ht="14.25" customHeight="1" x14ac:dyDescent="0.45">
      <c r="A572" s="618"/>
      <c r="B572" s="618"/>
      <c r="C572" s="5"/>
      <c r="D572" s="618"/>
      <c r="E572" s="618"/>
      <c r="F572" s="618"/>
      <c r="G572" s="618"/>
      <c r="H572" s="618"/>
      <c r="I572" s="618"/>
      <c r="J572" s="618"/>
      <c r="K572" s="618"/>
      <c r="L572" s="618"/>
      <c r="M572" s="618"/>
      <c r="N572" s="618"/>
      <c r="O572" s="618"/>
      <c r="P572" s="618"/>
      <c r="Q572" s="618"/>
      <c r="R572" s="618"/>
      <c r="S572" s="618"/>
      <c r="T572" s="618"/>
      <c r="U572" s="618"/>
      <c r="V572" s="618"/>
      <c r="W572" s="618"/>
      <c r="X572" s="618"/>
      <c r="Y572" s="618"/>
      <c r="Z572" s="618"/>
      <c r="AA572" s="618"/>
      <c r="AB572" s="618"/>
      <c r="AC572" s="618"/>
      <c r="AD572" s="618"/>
      <c r="AE572" s="618"/>
      <c r="AF572" s="618"/>
      <c r="AG572" s="618"/>
      <c r="AH572" s="618"/>
      <c r="AI572" s="618"/>
      <c r="AJ572" s="618"/>
      <c r="AK572" s="618"/>
    </row>
    <row r="573" spans="1:37" ht="14.25" customHeight="1" x14ac:dyDescent="0.45">
      <c r="A573" s="618"/>
      <c r="B573" s="618"/>
      <c r="C573" s="5"/>
      <c r="D573" s="618"/>
      <c r="E573" s="618"/>
      <c r="F573" s="618"/>
      <c r="G573" s="618"/>
      <c r="H573" s="618"/>
      <c r="I573" s="618"/>
      <c r="J573" s="618"/>
      <c r="K573" s="618"/>
      <c r="L573" s="618"/>
      <c r="M573" s="618"/>
      <c r="N573" s="618"/>
      <c r="O573" s="618"/>
      <c r="P573" s="618"/>
      <c r="Q573" s="618"/>
      <c r="R573" s="618"/>
      <c r="S573" s="618"/>
      <c r="T573" s="618"/>
      <c r="U573" s="618"/>
      <c r="V573" s="618"/>
      <c r="W573" s="618"/>
      <c r="X573" s="618"/>
      <c r="Y573" s="618"/>
      <c r="Z573" s="618"/>
      <c r="AA573" s="618"/>
      <c r="AB573" s="618"/>
      <c r="AC573" s="618"/>
      <c r="AD573" s="618"/>
      <c r="AE573" s="618"/>
      <c r="AF573" s="618"/>
      <c r="AG573" s="618"/>
      <c r="AH573" s="618"/>
      <c r="AI573" s="618"/>
      <c r="AJ573" s="618"/>
      <c r="AK573" s="618"/>
    </row>
    <row r="574" spans="1:37" ht="14.25" customHeight="1" x14ac:dyDescent="0.45">
      <c r="A574" s="618"/>
      <c r="B574" s="618"/>
      <c r="C574" s="5"/>
      <c r="D574" s="618"/>
      <c r="E574" s="618"/>
      <c r="F574" s="618"/>
      <c r="G574" s="618"/>
      <c r="H574" s="618"/>
      <c r="I574" s="618"/>
      <c r="J574" s="618"/>
      <c r="K574" s="618"/>
      <c r="L574" s="618"/>
      <c r="M574" s="618"/>
      <c r="N574" s="618"/>
      <c r="O574" s="618"/>
      <c r="P574" s="618"/>
      <c r="Q574" s="618"/>
      <c r="R574" s="618"/>
      <c r="S574" s="618"/>
      <c r="T574" s="618"/>
      <c r="U574" s="618"/>
      <c r="V574" s="618"/>
      <c r="W574" s="618"/>
      <c r="X574" s="618"/>
      <c r="Y574" s="618"/>
      <c r="Z574" s="618"/>
      <c r="AA574" s="618"/>
      <c r="AB574" s="618"/>
      <c r="AC574" s="618"/>
      <c r="AD574" s="618"/>
      <c r="AE574" s="618"/>
      <c r="AF574" s="618"/>
      <c r="AG574" s="618"/>
      <c r="AH574" s="618"/>
      <c r="AI574" s="618"/>
      <c r="AJ574" s="618"/>
      <c r="AK574" s="618"/>
    </row>
    <row r="575" spans="1:37" ht="14.25" customHeight="1" x14ac:dyDescent="0.45">
      <c r="A575" s="618"/>
      <c r="B575" s="618"/>
      <c r="C575" s="5"/>
      <c r="D575" s="618"/>
      <c r="E575" s="618"/>
      <c r="F575" s="618"/>
      <c r="G575" s="618"/>
      <c r="H575" s="618"/>
      <c r="I575" s="618"/>
      <c r="J575" s="618"/>
      <c r="K575" s="618"/>
      <c r="L575" s="618"/>
      <c r="M575" s="618"/>
      <c r="N575" s="618"/>
      <c r="O575" s="618"/>
      <c r="P575" s="618"/>
      <c r="Q575" s="618"/>
      <c r="R575" s="618"/>
      <c r="S575" s="618"/>
      <c r="T575" s="618"/>
      <c r="U575" s="618"/>
      <c r="V575" s="618"/>
      <c r="W575" s="618"/>
      <c r="X575" s="618"/>
      <c r="Y575" s="618"/>
      <c r="Z575" s="618"/>
      <c r="AA575" s="618"/>
      <c r="AB575" s="618"/>
      <c r="AC575" s="618"/>
      <c r="AD575" s="618"/>
      <c r="AE575" s="618"/>
      <c r="AF575" s="618"/>
      <c r="AG575" s="618"/>
      <c r="AH575" s="618"/>
      <c r="AI575" s="618"/>
      <c r="AJ575" s="618"/>
      <c r="AK575" s="618"/>
    </row>
    <row r="576" spans="1:37" ht="14.25" customHeight="1" x14ac:dyDescent="0.45">
      <c r="A576" s="618"/>
      <c r="B576" s="618"/>
      <c r="C576" s="5"/>
      <c r="D576" s="618"/>
      <c r="E576" s="618"/>
      <c r="F576" s="618"/>
      <c r="G576" s="618"/>
      <c r="H576" s="618"/>
      <c r="I576" s="618"/>
      <c r="J576" s="618"/>
      <c r="K576" s="618"/>
      <c r="L576" s="618"/>
      <c r="M576" s="618"/>
      <c r="N576" s="618"/>
      <c r="O576" s="618"/>
      <c r="P576" s="618"/>
      <c r="Q576" s="618"/>
      <c r="R576" s="618"/>
      <c r="S576" s="618"/>
      <c r="T576" s="618"/>
      <c r="U576" s="618"/>
      <c r="V576" s="618"/>
      <c r="W576" s="618"/>
      <c r="X576" s="618"/>
      <c r="Y576" s="618"/>
      <c r="Z576" s="618"/>
      <c r="AA576" s="618"/>
      <c r="AB576" s="618"/>
      <c r="AC576" s="618"/>
      <c r="AD576" s="618"/>
      <c r="AE576" s="618"/>
      <c r="AF576" s="618"/>
      <c r="AG576" s="618"/>
      <c r="AH576" s="618"/>
      <c r="AI576" s="618"/>
      <c r="AJ576" s="618"/>
      <c r="AK576" s="618"/>
    </row>
    <row r="577" spans="1:37" ht="14.25" customHeight="1" x14ac:dyDescent="0.45">
      <c r="A577" s="618"/>
      <c r="B577" s="618"/>
      <c r="C577" s="5"/>
      <c r="D577" s="618"/>
      <c r="E577" s="618"/>
      <c r="F577" s="618"/>
      <c r="G577" s="618"/>
      <c r="H577" s="618"/>
      <c r="I577" s="618"/>
      <c r="J577" s="618"/>
      <c r="K577" s="618"/>
      <c r="L577" s="618"/>
      <c r="M577" s="618"/>
      <c r="N577" s="618"/>
      <c r="O577" s="618"/>
      <c r="P577" s="618"/>
      <c r="Q577" s="618"/>
      <c r="R577" s="618"/>
      <c r="S577" s="618"/>
      <c r="T577" s="618"/>
      <c r="U577" s="618"/>
      <c r="V577" s="618"/>
      <c r="W577" s="618"/>
      <c r="X577" s="618"/>
      <c r="Y577" s="618"/>
      <c r="Z577" s="618"/>
      <c r="AA577" s="618"/>
      <c r="AB577" s="618"/>
      <c r="AC577" s="618"/>
      <c r="AD577" s="618"/>
      <c r="AE577" s="618"/>
      <c r="AF577" s="618"/>
      <c r="AG577" s="618"/>
      <c r="AH577" s="618"/>
      <c r="AI577" s="618"/>
      <c r="AJ577" s="618"/>
      <c r="AK577" s="618"/>
    </row>
    <row r="578" spans="1:37" ht="14.25" customHeight="1" x14ac:dyDescent="0.45">
      <c r="A578" s="618"/>
      <c r="B578" s="618"/>
      <c r="C578" s="5"/>
      <c r="D578" s="618"/>
      <c r="E578" s="618"/>
      <c r="F578" s="618"/>
      <c r="G578" s="618"/>
      <c r="H578" s="618"/>
      <c r="I578" s="618"/>
      <c r="J578" s="618"/>
      <c r="K578" s="618"/>
      <c r="L578" s="618"/>
      <c r="M578" s="618"/>
      <c r="N578" s="618"/>
      <c r="O578" s="618"/>
      <c r="P578" s="618"/>
      <c r="Q578" s="618"/>
      <c r="R578" s="618"/>
      <c r="S578" s="618"/>
      <c r="T578" s="618"/>
      <c r="U578" s="618"/>
      <c r="V578" s="618"/>
      <c r="W578" s="618"/>
      <c r="X578" s="618"/>
      <c r="Y578" s="618"/>
      <c r="Z578" s="618"/>
      <c r="AA578" s="618"/>
      <c r="AB578" s="618"/>
      <c r="AC578" s="618"/>
      <c r="AD578" s="618"/>
      <c r="AE578" s="618"/>
      <c r="AF578" s="618"/>
      <c r="AG578" s="618"/>
      <c r="AH578" s="618"/>
      <c r="AI578" s="618"/>
      <c r="AJ578" s="618"/>
      <c r="AK578" s="618"/>
    </row>
    <row r="579" spans="1:37" ht="14.25" customHeight="1" x14ac:dyDescent="0.45">
      <c r="A579" s="618"/>
      <c r="B579" s="618"/>
      <c r="C579" s="5"/>
      <c r="D579" s="618"/>
      <c r="E579" s="618"/>
      <c r="F579" s="618"/>
      <c r="G579" s="618"/>
      <c r="H579" s="618"/>
      <c r="I579" s="618"/>
      <c r="J579" s="618"/>
      <c r="K579" s="618"/>
      <c r="L579" s="618"/>
      <c r="M579" s="618"/>
      <c r="N579" s="618"/>
      <c r="O579" s="618"/>
      <c r="P579" s="618"/>
      <c r="Q579" s="618"/>
      <c r="R579" s="618"/>
      <c r="S579" s="618"/>
      <c r="T579" s="618"/>
      <c r="U579" s="618"/>
      <c r="V579" s="618"/>
      <c r="W579" s="618"/>
      <c r="X579" s="618"/>
      <c r="Y579" s="618"/>
      <c r="Z579" s="618"/>
      <c r="AA579" s="618"/>
      <c r="AB579" s="618"/>
      <c r="AC579" s="618"/>
      <c r="AD579" s="618"/>
      <c r="AE579" s="618"/>
      <c r="AF579" s="618"/>
      <c r="AG579" s="618"/>
      <c r="AH579" s="618"/>
      <c r="AI579" s="618"/>
      <c r="AJ579" s="618"/>
      <c r="AK579" s="618"/>
    </row>
    <row r="580" spans="1:37" ht="14.25" customHeight="1" x14ac:dyDescent="0.45">
      <c r="A580" s="618"/>
      <c r="B580" s="618"/>
      <c r="C580" s="5"/>
      <c r="D580" s="618"/>
      <c r="E580" s="618"/>
      <c r="F580" s="618"/>
      <c r="G580" s="618"/>
      <c r="H580" s="618"/>
      <c r="I580" s="618"/>
      <c r="J580" s="618"/>
      <c r="K580" s="618"/>
      <c r="L580" s="618"/>
      <c r="M580" s="618"/>
      <c r="N580" s="618"/>
      <c r="O580" s="618"/>
      <c r="P580" s="618"/>
      <c r="Q580" s="618"/>
      <c r="R580" s="618"/>
      <c r="S580" s="618"/>
      <c r="T580" s="618"/>
      <c r="U580" s="618"/>
      <c r="V580" s="618"/>
      <c r="W580" s="618"/>
      <c r="X580" s="618"/>
      <c r="Y580" s="618"/>
      <c r="Z580" s="618"/>
      <c r="AA580" s="618"/>
      <c r="AB580" s="618"/>
      <c r="AC580" s="618"/>
      <c r="AD580" s="618"/>
      <c r="AE580" s="618"/>
      <c r="AF580" s="618"/>
      <c r="AG580" s="618"/>
      <c r="AH580" s="618"/>
      <c r="AI580" s="618"/>
      <c r="AJ580" s="618"/>
      <c r="AK580" s="618"/>
    </row>
    <row r="581" spans="1:37" ht="14.25" customHeight="1" x14ac:dyDescent="0.45">
      <c r="A581" s="618"/>
      <c r="B581" s="618"/>
      <c r="C581" s="5"/>
      <c r="D581" s="618"/>
      <c r="E581" s="618"/>
      <c r="F581" s="618"/>
      <c r="G581" s="618"/>
      <c r="H581" s="618"/>
      <c r="I581" s="618"/>
      <c r="J581" s="618"/>
      <c r="K581" s="618"/>
      <c r="L581" s="618"/>
      <c r="M581" s="618"/>
      <c r="N581" s="618"/>
      <c r="O581" s="618"/>
      <c r="P581" s="618"/>
      <c r="Q581" s="618"/>
      <c r="R581" s="618"/>
      <c r="S581" s="618"/>
      <c r="T581" s="618"/>
      <c r="U581" s="618"/>
      <c r="V581" s="618"/>
      <c r="W581" s="618"/>
      <c r="X581" s="618"/>
      <c r="Y581" s="618"/>
      <c r="Z581" s="618"/>
      <c r="AA581" s="618"/>
      <c r="AB581" s="618"/>
      <c r="AC581" s="618"/>
      <c r="AD581" s="618"/>
      <c r="AE581" s="618"/>
      <c r="AF581" s="618"/>
      <c r="AG581" s="618"/>
      <c r="AH581" s="618"/>
      <c r="AI581" s="618"/>
      <c r="AJ581" s="618"/>
      <c r="AK581" s="618"/>
    </row>
    <row r="582" spans="1:37" ht="14.25" customHeight="1" x14ac:dyDescent="0.45">
      <c r="A582" s="618"/>
      <c r="B582" s="618"/>
      <c r="C582" s="5"/>
      <c r="D582" s="618"/>
      <c r="E582" s="618"/>
      <c r="F582" s="618"/>
      <c r="G582" s="618"/>
      <c r="H582" s="618"/>
      <c r="I582" s="618"/>
      <c r="J582" s="618"/>
      <c r="K582" s="618"/>
      <c r="L582" s="618"/>
      <c r="M582" s="618"/>
      <c r="N582" s="618"/>
      <c r="O582" s="618"/>
      <c r="P582" s="618"/>
      <c r="Q582" s="618"/>
      <c r="R582" s="618"/>
      <c r="S582" s="618"/>
      <c r="T582" s="618"/>
      <c r="U582" s="618"/>
      <c r="V582" s="618"/>
      <c r="W582" s="618"/>
      <c r="X582" s="618"/>
      <c r="Y582" s="618"/>
      <c r="Z582" s="618"/>
      <c r="AA582" s="618"/>
      <c r="AB582" s="618"/>
      <c r="AC582" s="618"/>
      <c r="AD582" s="618"/>
      <c r="AE582" s="618"/>
      <c r="AF582" s="618"/>
      <c r="AG582" s="618"/>
      <c r="AH582" s="618"/>
      <c r="AI582" s="618"/>
      <c r="AJ582" s="618"/>
      <c r="AK582" s="618"/>
    </row>
    <row r="583" spans="1:37" ht="14.25" customHeight="1" x14ac:dyDescent="0.45">
      <c r="A583" s="618"/>
      <c r="B583" s="618"/>
      <c r="C583" s="5"/>
      <c r="D583" s="618"/>
      <c r="E583" s="618"/>
      <c r="F583" s="618"/>
      <c r="G583" s="618"/>
      <c r="H583" s="618"/>
      <c r="I583" s="618"/>
      <c r="J583" s="618"/>
      <c r="K583" s="618"/>
      <c r="L583" s="618"/>
      <c r="M583" s="618"/>
      <c r="N583" s="618"/>
      <c r="O583" s="618"/>
      <c r="P583" s="618"/>
      <c r="Q583" s="618"/>
      <c r="R583" s="618"/>
      <c r="S583" s="618"/>
      <c r="T583" s="618"/>
      <c r="U583" s="618"/>
      <c r="V583" s="618"/>
      <c r="W583" s="618"/>
      <c r="X583" s="618"/>
      <c r="Y583" s="618"/>
      <c r="Z583" s="618"/>
      <c r="AA583" s="618"/>
      <c r="AB583" s="618"/>
      <c r="AC583" s="618"/>
      <c r="AD583" s="618"/>
      <c r="AE583" s="618"/>
      <c r="AF583" s="618"/>
      <c r="AG583" s="618"/>
      <c r="AH583" s="618"/>
      <c r="AI583" s="618"/>
      <c r="AJ583" s="618"/>
      <c r="AK583" s="618"/>
    </row>
    <row r="584" spans="1:37" ht="14.25" customHeight="1" x14ac:dyDescent="0.45">
      <c r="A584" s="618"/>
      <c r="B584" s="618"/>
      <c r="C584" s="5"/>
      <c r="D584" s="618"/>
      <c r="E584" s="618"/>
      <c r="F584" s="618"/>
      <c r="G584" s="618"/>
      <c r="H584" s="618"/>
      <c r="I584" s="618"/>
      <c r="J584" s="618"/>
      <c r="K584" s="618"/>
      <c r="L584" s="618"/>
      <c r="M584" s="618"/>
      <c r="N584" s="618"/>
      <c r="O584" s="618"/>
      <c r="P584" s="618"/>
      <c r="Q584" s="618"/>
      <c r="R584" s="618"/>
      <c r="S584" s="618"/>
      <c r="T584" s="618"/>
      <c r="U584" s="618"/>
      <c r="V584" s="618"/>
      <c r="W584" s="618"/>
      <c r="X584" s="618"/>
      <c r="Y584" s="618"/>
      <c r="Z584" s="618"/>
      <c r="AA584" s="618"/>
      <c r="AB584" s="618"/>
      <c r="AC584" s="618"/>
      <c r="AD584" s="618"/>
      <c r="AE584" s="618"/>
      <c r="AF584" s="618"/>
      <c r="AG584" s="618"/>
      <c r="AH584" s="618"/>
      <c r="AI584" s="618"/>
      <c r="AJ584" s="618"/>
      <c r="AK584" s="618"/>
    </row>
    <row r="585" spans="1:37" ht="14.25" customHeight="1" x14ac:dyDescent="0.45">
      <c r="A585" s="618"/>
      <c r="B585" s="618"/>
      <c r="C585" s="5"/>
      <c r="D585" s="618"/>
      <c r="E585" s="618"/>
      <c r="F585" s="618"/>
      <c r="G585" s="618"/>
      <c r="H585" s="618"/>
      <c r="I585" s="618"/>
      <c r="J585" s="618"/>
      <c r="K585" s="618"/>
      <c r="L585" s="618"/>
      <c r="M585" s="618"/>
      <c r="N585" s="618"/>
      <c r="O585" s="618"/>
      <c r="P585" s="618"/>
      <c r="Q585" s="618"/>
      <c r="R585" s="618"/>
      <c r="S585" s="618"/>
      <c r="T585" s="618"/>
      <c r="U585" s="618"/>
      <c r="V585" s="618"/>
      <c r="W585" s="618"/>
      <c r="X585" s="618"/>
      <c r="Y585" s="618"/>
      <c r="Z585" s="618"/>
      <c r="AA585" s="618"/>
      <c r="AB585" s="618"/>
      <c r="AC585" s="618"/>
      <c r="AD585" s="618"/>
      <c r="AE585" s="618"/>
      <c r="AF585" s="618"/>
      <c r="AG585" s="618"/>
      <c r="AH585" s="618"/>
      <c r="AI585" s="618"/>
      <c r="AJ585" s="618"/>
      <c r="AK585" s="618"/>
    </row>
    <row r="586" spans="1:37" ht="14.25" customHeight="1" x14ac:dyDescent="0.45">
      <c r="A586" s="618"/>
      <c r="B586" s="618"/>
      <c r="C586" s="5"/>
      <c r="D586" s="618"/>
      <c r="E586" s="618"/>
      <c r="F586" s="618"/>
      <c r="G586" s="618"/>
      <c r="H586" s="618"/>
      <c r="I586" s="618"/>
      <c r="J586" s="618"/>
      <c r="K586" s="618"/>
      <c r="L586" s="618"/>
      <c r="M586" s="618"/>
      <c r="N586" s="618"/>
      <c r="O586" s="618"/>
      <c r="P586" s="618"/>
      <c r="Q586" s="618"/>
      <c r="R586" s="618"/>
      <c r="S586" s="618"/>
      <c r="T586" s="618"/>
      <c r="U586" s="618"/>
      <c r="V586" s="618"/>
      <c r="W586" s="618"/>
      <c r="X586" s="618"/>
      <c r="Y586" s="618"/>
      <c r="Z586" s="618"/>
      <c r="AA586" s="618"/>
      <c r="AB586" s="618"/>
      <c r="AC586" s="618"/>
      <c r="AD586" s="618"/>
      <c r="AE586" s="618"/>
      <c r="AF586" s="618"/>
      <c r="AG586" s="618"/>
      <c r="AH586" s="618"/>
      <c r="AI586" s="618"/>
      <c r="AJ586" s="618"/>
      <c r="AK586" s="618"/>
    </row>
    <row r="587" spans="1:37" ht="14.25" customHeight="1" x14ac:dyDescent="0.45">
      <c r="A587" s="618"/>
      <c r="B587" s="618"/>
      <c r="C587" s="5"/>
      <c r="D587" s="618"/>
      <c r="E587" s="618"/>
      <c r="F587" s="618"/>
      <c r="G587" s="618"/>
      <c r="H587" s="618"/>
      <c r="I587" s="618"/>
      <c r="J587" s="618"/>
      <c r="K587" s="618"/>
      <c r="L587" s="618"/>
      <c r="M587" s="618"/>
      <c r="N587" s="618"/>
      <c r="O587" s="618"/>
      <c r="P587" s="618"/>
      <c r="Q587" s="618"/>
      <c r="R587" s="618"/>
      <c r="S587" s="618"/>
      <c r="T587" s="618"/>
      <c r="U587" s="618"/>
      <c r="V587" s="618"/>
      <c r="W587" s="618"/>
      <c r="X587" s="618"/>
      <c r="Y587" s="618"/>
      <c r="Z587" s="618"/>
      <c r="AA587" s="618"/>
      <c r="AB587" s="618"/>
      <c r="AC587" s="618"/>
      <c r="AD587" s="618"/>
      <c r="AE587" s="618"/>
      <c r="AF587" s="618"/>
      <c r="AG587" s="618"/>
      <c r="AH587" s="618"/>
      <c r="AI587" s="618"/>
      <c r="AJ587" s="618"/>
      <c r="AK587" s="618"/>
    </row>
    <row r="588" spans="1:37" ht="14.25" customHeight="1" x14ac:dyDescent="0.45">
      <c r="A588" s="618"/>
      <c r="B588" s="618"/>
      <c r="C588" s="5"/>
      <c r="D588" s="618"/>
      <c r="E588" s="618"/>
      <c r="F588" s="618"/>
      <c r="G588" s="618"/>
      <c r="H588" s="618"/>
      <c r="I588" s="618"/>
      <c r="J588" s="618"/>
      <c r="K588" s="618"/>
      <c r="L588" s="618"/>
      <c r="M588" s="618"/>
      <c r="N588" s="618"/>
      <c r="O588" s="618"/>
      <c r="P588" s="618"/>
      <c r="Q588" s="618"/>
      <c r="R588" s="618"/>
      <c r="S588" s="618"/>
      <c r="T588" s="618"/>
      <c r="U588" s="618"/>
      <c r="V588" s="618"/>
      <c r="W588" s="618"/>
      <c r="X588" s="618"/>
      <c r="Y588" s="618"/>
      <c r="Z588" s="618"/>
      <c r="AA588" s="618"/>
      <c r="AB588" s="618"/>
      <c r="AC588" s="618"/>
      <c r="AD588" s="618"/>
      <c r="AE588" s="618"/>
      <c r="AF588" s="618"/>
      <c r="AG588" s="618"/>
      <c r="AH588" s="618"/>
      <c r="AI588" s="618"/>
      <c r="AJ588" s="618"/>
      <c r="AK588" s="618"/>
    </row>
    <row r="589" spans="1:37" ht="14.25" customHeight="1" x14ac:dyDescent="0.45">
      <c r="A589" s="618"/>
      <c r="B589" s="618"/>
      <c r="C589" s="5"/>
      <c r="D589" s="618"/>
      <c r="E589" s="618"/>
      <c r="F589" s="618"/>
      <c r="G589" s="618"/>
      <c r="H589" s="618"/>
      <c r="I589" s="618"/>
      <c r="J589" s="618"/>
      <c r="K589" s="618"/>
      <c r="L589" s="618"/>
      <c r="M589" s="618"/>
      <c r="N589" s="618"/>
      <c r="O589" s="618"/>
      <c r="P589" s="618"/>
      <c r="Q589" s="618"/>
      <c r="R589" s="618"/>
      <c r="S589" s="618"/>
      <c r="T589" s="618"/>
      <c r="U589" s="618"/>
      <c r="V589" s="618"/>
      <c r="W589" s="618"/>
      <c r="X589" s="618"/>
      <c r="Y589" s="618"/>
      <c r="Z589" s="618"/>
      <c r="AA589" s="618"/>
      <c r="AB589" s="618"/>
      <c r="AC589" s="618"/>
      <c r="AD589" s="618"/>
      <c r="AE589" s="618"/>
      <c r="AF589" s="618"/>
      <c r="AG589" s="618"/>
      <c r="AH589" s="618"/>
      <c r="AI589" s="618"/>
      <c r="AJ589" s="618"/>
      <c r="AK589" s="618"/>
    </row>
    <row r="590" spans="1:37" ht="14.25" customHeight="1" x14ac:dyDescent="0.45">
      <c r="A590" s="618"/>
      <c r="B590" s="618"/>
      <c r="C590" s="5"/>
      <c r="D590" s="618"/>
      <c r="E590" s="618"/>
      <c r="F590" s="618"/>
      <c r="G590" s="618"/>
      <c r="H590" s="618"/>
      <c r="I590" s="618"/>
      <c r="J590" s="618"/>
      <c r="K590" s="618"/>
      <c r="L590" s="618"/>
      <c r="M590" s="618"/>
      <c r="N590" s="618"/>
      <c r="O590" s="618"/>
      <c r="P590" s="618"/>
      <c r="Q590" s="618"/>
      <c r="R590" s="618"/>
      <c r="S590" s="618"/>
      <c r="T590" s="618"/>
      <c r="U590" s="618"/>
      <c r="V590" s="618"/>
      <c r="W590" s="618"/>
      <c r="X590" s="618"/>
      <c r="Y590" s="618"/>
      <c r="Z590" s="618"/>
      <c r="AA590" s="618"/>
      <c r="AB590" s="618"/>
      <c r="AC590" s="618"/>
      <c r="AD590" s="618"/>
      <c r="AE590" s="618"/>
      <c r="AF590" s="618"/>
      <c r="AG590" s="618"/>
      <c r="AH590" s="618"/>
      <c r="AI590" s="618"/>
      <c r="AJ590" s="618"/>
      <c r="AK590" s="618"/>
    </row>
    <row r="591" spans="1:37" ht="14.25" customHeight="1" x14ac:dyDescent="0.45">
      <c r="A591" s="618"/>
      <c r="B591" s="618"/>
      <c r="C591" s="5"/>
      <c r="D591" s="618"/>
      <c r="E591" s="618"/>
      <c r="F591" s="618"/>
      <c r="G591" s="618"/>
      <c r="H591" s="618"/>
      <c r="I591" s="618"/>
      <c r="J591" s="618"/>
      <c r="K591" s="618"/>
      <c r="L591" s="618"/>
      <c r="M591" s="618"/>
      <c r="N591" s="618"/>
      <c r="O591" s="618"/>
      <c r="P591" s="618"/>
      <c r="Q591" s="618"/>
      <c r="R591" s="618"/>
      <c r="S591" s="618"/>
      <c r="T591" s="618"/>
      <c r="U591" s="618"/>
      <c r="V591" s="618"/>
      <c r="W591" s="618"/>
      <c r="X591" s="618"/>
      <c r="Y591" s="618"/>
      <c r="Z591" s="618"/>
      <c r="AA591" s="618"/>
      <c r="AB591" s="618"/>
      <c r="AC591" s="618"/>
      <c r="AD591" s="618"/>
      <c r="AE591" s="618"/>
      <c r="AF591" s="618"/>
      <c r="AG591" s="618"/>
      <c r="AH591" s="618"/>
      <c r="AI591" s="618"/>
      <c r="AJ591" s="618"/>
      <c r="AK591" s="618"/>
    </row>
    <row r="592" spans="1:37" ht="14.25" customHeight="1" x14ac:dyDescent="0.45">
      <c r="A592" s="618"/>
      <c r="B592" s="618"/>
      <c r="C592" s="5"/>
      <c r="D592" s="618"/>
      <c r="E592" s="618"/>
      <c r="F592" s="618"/>
      <c r="G592" s="618"/>
      <c r="H592" s="618"/>
      <c r="I592" s="618"/>
      <c r="J592" s="618"/>
      <c r="K592" s="618"/>
      <c r="L592" s="618"/>
      <c r="M592" s="618"/>
      <c r="N592" s="618"/>
      <c r="O592" s="618"/>
      <c r="P592" s="618"/>
      <c r="Q592" s="618"/>
      <c r="R592" s="618"/>
      <c r="S592" s="618"/>
      <c r="T592" s="618"/>
      <c r="U592" s="618"/>
      <c r="V592" s="618"/>
      <c r="W592" s="618"/>
      <c r="X592" s="618"/>
      <c r="Y592" s="618"/>
      <c r="Z592" s="618"/>
      <c r="AA592" s="618"/>
      <c r="AB592" s="618"/>
      <c r="AC592" s="618"/>
      <c r="AD592" s="618"/>
      <c r="AE592" s="618"/>
      <c r="AF592" s="618"/>
      <c r="AG592" s="618"/>
      <c r="AH592" s="618"/>
      <c r="AI592" s="618"/>
      <c r="AJ592" s="618"/>
      <c r="AK592" s="618"/>
    </row>
    <row r="593" spans="1:37" ht="14.25" customHeight="1" x14ac:dyDescent="0.45">
      <c r="A593" s="618"/>
      <c r="B593" s="618"/>
      <c r="C593" s="5"/>
      <c r="D593" s="618"/>
      <c r="E593" s="618"/>
      <c r="F593" s="618"/>
      <c r="G593" s="618"/>
      <c r="H593" s="618"/>
      <c r="I593" s="618"/>
      <c r="J593" s="618"/>
      <c r="K593" s="618"/>
      <c r="L593" s="618"/>
      <c r="M593" s="618"/>
      <c r="N593" s="618"/>
      <c r="O593" s="618"/>
      <c r="P593" s="618"/>
      <c r="Q593" s="618"/>
      <c r="R593" s="618"/>
      <c r="S593" s="618"/>
      <c r="T593" s="618"/>
      <c r="U593" s="618"/>
      <c r="V593" s="618"/>
      <c r="W593" s="618"/>
      <c r="X593" s="618"/>
      <c r="Y593" s="618"/>
      <c r="Z593" s="618"/>
      <c r="AA593" s="618"/>
      <c r="AB593" s="618"/>
      <c r="AC593" s="618"/>
      <c r="AD593" s="618"/>
      <c r="AE593" s="618"/>
      <c r="AF593" s="618"/>
      <c r="AG593" s="618"/>
      <c r="AH593" s="618"/>
      <c r="AI593" s="618"/>
      <c r="AJ593" s="618"/>
      <c r="AK593" s="618"/>
    </row>
    <row r="594" spans="1:37" ht="14.25" customHeight="1" x14ac:dyDescent="0.45">
      <c r="A594" s="618"/>
      <c r="B594" s="618"/>
      <c r="C594" s="5"/>
      <c r="D594" s="618"/>
      <c r="E594" s="618"/>
      <c r="F594" s="618"/>
      <c r="G594" s="618"/>
      <c r="H594" s="618"/>
      <c r="I594" s="618"/>
      <c r="J594" s="618"/>
      <c r="K594" s="618"/>
      <c r="L594" s="618"/>
      <c r="M594" s="618"/>
      <c r="N594" s="618"/>
      <c r="O594" s="618"/>
      <c r="P594" s="618"/>
      <c r="Q594" s="618"/>
      <c r="R594" s="618"/>
      <c r="S594" s="618"/>
      <c r="T594" s="618"/>
      <c r="U594" s="618"/>
      <c r="V594" s="618"/>
      <c r="W594" s="618"/>
      <c r="X594" s="618"/>
      <c r="Y594" s="618"/>
      <c r="Z594" s="618"/>
      <c r="AA594" s="618"/>
      <c r="AB594" s="618"/>
      <c r="AC594" s="618"/>
      <c r="AD594" s="618"/>
      <c r="AE594" s="618"/>
      <c r="AF594" s="618"/>
      <c r="AG594" s="618"/>
      <c r="AH594" s="618"/>
      <c r="AI594" s="618"/>
      <c r="AJ594" s="618"/>
      <c r="AK594" s="618"/>
    </row>
    <row r="595" spans="1:37" ht="14.25" customHeight="1" x14ac:dyDescent="0.45">
      <c r="A595" s="618"/>
      <c r="B595" s="618"/>
      <c r="C595" s="5"/>
      <c r="D595" s="618"/>
      <c r="E595" s="618"/>
      <c r="F595" s="618"/>
      <c r="G595" s="618"/>
      <c r="H595" s="618"/>
      <c r="I595" s="618"/>
      <c r="J595" s="618"/>
      <c r="K595" s="618"/>
      <c r="L595" s="618"/>
      <c r="M595" s="618"/>
      <c r="N595" s="618"/>
      <c r="O595" s="618"/>
      <c r="P595" s="618"/>
      <c r="Q595" s="618"/>
      <c r="R595" s="618"/>
      <c r="S595" s="618"/>
      <c r="T595" s="618"/>
      <c r="U595" s="618"/>
      <c r="V595" s="618"/>
      <c r="W595" s="618"/>
      <c r="X595" s="618"/>
      <c r="Y595" s="618"/>
      <c r="Z595" s="618"/>
      <c r="AA595" s="618"/>
      <c r="AB595" s="618"/>
      <c r="AC595" s="618"/>
      <c r="AD595" s="618"/>
      <c r="AE595" s="618"/>
      <c r="AF595" s="618"/>
      <c r="AG595" s="618"/>
      <c r="AH595" s="618"/>
      <c r="AI595" s="618"/>
      <c r="AJ595" s="618"/>
      <c r="AK595" s="618"/>
    </row>
    <row r="596" spans="1:37" ht="14.25" customHeight="1" x14ac:dyDescent="0.45">
      <c r="A596" s="618"/>
      <c r="B596" s="618"/>
      <c r="C596" s="5"/>
      <c r="D596" s="618"/>
      <c r="E596" s="618"/>
      <c r="F596" s="618"/>
      <c r="G596" s="618"/>
      <c r="H596" s="618"/>
      <c r="I596" s="618"/>
      <c r="J596" s="618"/>
      <c r="K596" s="618"/>
      <c r="L596" s="618"/>
      <c r="M596" s="618"/>
      <c r="N596" s="618"/>
      <c r="O596" s="618"/>
      <c r="P596" s="618"/>
      <c r="Q596" s="618"/>
      <c r="R596" s="618"/>
      <c r="S596" s="618"/>
      <c r="T596" s="618"/>
      <c r="U596" s="618"/>
      <c r="V596" s="618"/>
      <c r="W596" s="618"/>
      <c r="X596" s="618"/>
      <c r="Y596" s="618"/>
      <c r="Z596" s="618"/>
      <c r="AA596" s="618"/>
      <c r="AB596" s="618"/>
      <c r="AC596" s="618"/>
      <c r="AD596" s="618"/>
      <c r="AE596" s="618"/>
      <c r="AF596" s="618"/>
      <c r="AG596" s="618"/>
      <c r="AH596" s="618"/>
      <c r="AI596" s="618"/>
      <c r="AJ596" s="618"/>
      <c r="AK596" s="618"/>
    </row>
    <row r="597" spans="1:37" ht="14.25" customHeight="1" x14ac:dyDescent="0.45">
      <c r="A597" s="618"/>
      <c r="B597" s="618"/>
      <c r="C597" s="5"/>
      <c r="D597" s="618"/>
      <c r="E597" s="618"/>
      <c r="F597" s="618"/>
      <c r="G597" s="618"/>
      <c r="H597" s="618"/>
      <c r="I597" s="618"/>
      <c r="J597" s="618"/>
      <c r="K597" s="618"/>
      <c r="L597" s="618"/>
      <c r="M597" s="618"/>
      <c r="N597" s="618"/>
      <c r="O597" s="618"/>
      <c r="P597" s="618"/>
      <c r="Q597" s="618"/>
      <c r="R597" s="618"/>
      <c r="S597" s="618"/>
      <c r="T597" s="618"/>
      <c r="U597" s="618"/>
      <c r="V597" s="618"/>
      <c r="W597" s="618"/>
      <c r="X597" s="618"/>
      <c r="Y597" s="618"/>
      <c r="Z597" s="618"/>
      <c r="AA597" s="618"/>
      <c r="AB597" s="618"/>
      <c r="AC597" s="618"/>
      <c r="AD597" s="618"/>
      <c r="AE597" s="618"/>
      <c r="AF597" s="618"/>
      <c r="AG597" s="618"/>
      <c r="AH597" s="618"/>
      <c r="AI597" s="618"/>
      <c r="AJ597" s="618"/>
      <c r="AK597" s="618"/>
    </row>
    <row r="598" spans="1:37" ht="14.25" customHeight="1" x14ac:dyDescent="0.45">
      <c r="A598" s="618"/>
      <c r="B598" s="618"/>
      <c r="C598" s="5"/>
      <c r="D598" s="618"/>
      <c r="E598" s="618"/>
      <c r="F598" s="618"/>
      <c r="G598" s="618"/>
      <c r="H598" s="618"/>
      <c r="I598" s="618"/>
      <c r="J598" s="618"/>
      <c r="K598" s="618"/>
      <c r="L598" s="618"/>
      <c r="M598" s="618"/>
      <c r="N598" s="618"/>
      <c r="O598" s="618"/>
      <c r="P598" s="618"/>
      <c r="Q598" s="618"/>
      <c r="R598" s="618"/>
      <c r="S598" s="618"/>
      <c r="T598" s="618"/>
      <c r="U598" s="618"/>
      <c r="V598" s="618"/>
      <c r="W598" s="618"/>
      <c r="X598" s="618"/>
      <c r="Y598" s="618"/>
      <c r="Z598" s="618"/>
      <c r="AA598" s="618"/>
      <c r="AB598" s="618"/>
      <c r="AC598" s="618"/>
      <c r="AD598" s="618"/>
      <c r="AE598" s="618"/>
      <c r="AF598" s="618"/>
      <c r="AG598" s="618"/>
      <c r="AH598" s="618"/>
      <c r="AI598" s="618"/>
      <c r="AJ598" s="618"/>
      <c r="AK598" s="618"/>
    </row>
    <row r="599" spans="1:37" ht="14.25" customHeight="1" x14ac:dyDescent="0.45">
      <c r="A599" s="618"/>
      <c r="B599" s="618"/>
      <c r="C599" s="5"/>
      <c r="D599" s="618"/>
      <c r="E599" s="618"/>
      <c r="F599" s="618"/>
      <c r="G599" s="618"/>
      <c r="H599" s="618"/>
      <c r="I599" s="618"/>
      <c r="J599" s="618"/>
      <c r="K599" s="618"/>
      <c r="L599" s="618"/>
      <c r="M599" s="618"/>
      <c r="N599" s="618"/>
      <c r="O599" s="618"/>
      <c r="P599" s="618"/>
      <c r="Q599" s="618"/>
      <c r="R599" s="618"/>
      <c r="S599" s="618"/>
      <c r="T599" s="618"/>
      <c r="U599" s="618"/>
      <c r="V599" s="618"/>
      <c r="W599" s="618"/>
      <c r="X599" s="618"/>
      <c r="Y599" s="618"/>
      <c r="Z599" s="618"/>
      <c r="AA599" s="618"/>
      <c r="AB599" s="618"/>
      <c r="AC599" s="618"/>
      <c r="AD599" s="618"/>
      <c r="AE599" s="618"/>
      <c r="AF599" s="618"/>
      <c r="AG599" s="618"/>
      <c r="AH599" s="618"/>
      <c r="AI599" s="618"/>
      <c r="AJ599" s="618"/>
      <c r="AK599" s="618"/>
    </row>
    <row r="600" spans="1:37" ht="14.25" customHeight="1" x14ac:dyDescent="0.45">
      <c r="A600" s="618"/>
      <c r="B600" s="618"/>
      <c r="C600" s="5"/>
      <c r="D600" s="618"/>
      <c r="E600" s="618"/>
      <c r="F600" s="618"/>
      <c r="G600" s="618"/>
      <c r="H600" s="618"/>
      <c r="I600" s="618"/>
      <c r="J600" s="618"/>
      <c r="K600" s="618"/>
      <c r="L600" s="618"/>
      <c r="M600" s="618"/>
      <c r="N600" s="618"/>
      <c r="O600" s="618"/>
      <c r="P600" s="618"/>
      <c r="Q600" s="618"/>
      <c r="R600" s="618"/>
      <c r="S600" s="618"/>
      <c r="T600" s="618"/>
      <c r="U600" s="618"/>
      <c r="V600" s="618"/>
      <c r="W600" s="618"/>
      <c r="X600" s="618"/>
      <c r="Y600" s="618"/>
      <c r="Z600" s="618"/>
      <c r="AA600" s="618"/>
      <c r="AB600" s="618"/>
      <c r="AC600" s="618"/>
      <c r="AD600" s="618"/>
      <c r="AE600" s="618"/>
      <c r="AF600" s="618"/>
      <c r="AG600" s="618"/>
      <c r="AH600" s="618"/>
      <c r="AI600" s="618"/>
      <c r="AJ600" s="618"/>
      <c r="AK600" s="618"/>
    </row>
    <row r="601" spans="1:37" ht="14.25" customHeight="1" x14ac:dyDescent="0.45">
      <c r="A601" s="618"/>
      <c r="B601" s="618"/>
      <c r="C601" s="5"/>
      <c r="D601" s="618"/>
      <c r="E601" s="618"/>
      <c r="F601" s="618"/>
      <c r="G601" s="618"/>
      <c r="H601" s="618"/>
      <c r="I601" s="618"/>
      <c r="J601" s="618"/>
      <c r="K601" s="618"/>
      <c r="L601" s="618"/>
      <c r="M601" s="618"/>
      <c r="N601" s="618"/>
      <c r="O601" s="618"/>
      <c r="P601" s="618"/>
      <c r="Q601" s="618"/>
      <c r="R601" s="618"/>
      <c r="S601" s="618"/>
      <c r="T601" s="618"/>
      <c r="U601" s="618"/>
      <c r="V601" s="618"/>
      <c r="W601" s="618"/>
      <c r="X601" s="618"/>
      <c r="Y601" s="618"/>
      <c r="Z601" s="618"/>
      <c r="AA601" s="618"/>
      <c r="AB601" s="618"/>
      <c r="AC601" s="618"/>
      <c r="AD601" s="618"/>
      <c r="AE601" s="618"/>
      <c r="AF601" s="618"/>
      <c r="AG601" s="618"/>
      <c r="AH601" s="618"/>
      <c r="AI601" s="618"/>
      <c r="AJ601" s="618"/>
      <c r="AK601" s="618"/>
    </row>
    <row r="602" spans="1:37" ht="14.25" customHeight="1" x14ac:dyDescent="0.45">
      <c r="A602" s="618"/>
      <c r="B602" s="618"/>
      <c r="C602" s="5"/>
      <c r="D602" s="618"/>
      <c r="E602" s="618"/>
      <c r="F602" s="618"/>
      <c r="G602" s="618"/>
      <c r="H602" s="618"/>
      <c r="I602" s="618"/>
      <c r="J602" s="618"/>
      <c r="K602" s="618"/>
      <c r="L602" s="618"/>
      <c r="M602" s="618"/>
      <c r="N602" s="618"/>
      <c r="O602" s="618"/>
      <c r="P602" s="618"/>
      <c r="Q602" s="618"/>
      <c r="R602" s="618"/>
      <c r="S602" s="618"/>
      <c r="T602" s="618"/>
      <c r="U602" s="618"/>
      <c r="V602" s="618"/>
      <c r="W602" s="618"/>
      <c r="X602" s="618"/>
      <c r="Y602" s="618"/>
      <c r="Z602" s="618"/>
      <c r="AA602" s="618"/>
      <c r="AB602" s="618"/>
      <c r="AC602" s="618"/>
      <c r="AD602" s="618"/>
      <c r="AE602" s="618"/>
      <c r="AF602" s="618"/>
      <c r="AG602" s="618"/>
      <c r="AH602" s="618"/>
      <c r="AI602" s="618"/>
      <c r="AJ602" s="618"/>
      <c r="AK602" s="618"/>
    </row>
    <row r="603" spans="1:37" ht="14.25" customHeight="1" x14ac:dyDescent="0.45">
      <c r="A603" s="618"/>
      <c r="B603" s="618"/>
      <c r="C603" s="5"/>
      <c r="D603" s="618"/>
      <c r="E603" s="618"/>
      <c r="F603" s="618"/>
      <c r="G603" s="618"/>
      <c r="H603" s="618"/>
      <c r="I603" s="618"/>
      <c r="J603" s="618"/>
      <c r="K603" s="618"/>
      <c r="L603" s="618"/>
      <c r="M603" s="618"/>
      <c r="N603" s="618"/>
      <c r="O603" s="618"/>
      <c r="P603" s="618"/>
      <c r="Q603" s="618"/>
      <c r="R603" s="618"/>
      <c r="S603" s="618"/>
      <c r="T603" s="618"/>
      <c r="U603" s="618"/>
      <c r="V603" s="618"/>
      <c r="W603" s="618"/>
      <c r="X603" s="618"/>
      <c r="Y603" s="618"/>
      <c r="Z603" s="618"/>
      <c r="AA603" s="618"/>
      <c r="AB603" s="618"/>
      <c r="AC603" s="618"/>
      <c r="AD603" s="618"/>
      <c r="AE603" s="618"/>
      <c r="AF603" s="618"/>
      <c r="AG603" s="618"/>
      <c r="AH603" s="618"/>
      <c r="AI603" s="618"/>
      <c r="AJ603" s="618"/>
      <c r="AK603" s="618"/>
    </row>
    <row r="604" spans="1:37" ht="14.25" customHeight="1" x14ac:dyDescent="0.45">
      <c r="A604" s="618"/>
      <c r="B604" s="618"/>
      <c r="C604" s="5"/>
      <c r="D604" s="618"/>
      <c r="E604" s="618"/>
      <c r="F604" s="618"/>
      <c r="G604" s="618"/>
      <c r="H604" s="618"/>
      <c r="I604" s="618"/>
      <c r="J604" s="618"/>
      <c r="K604" s="618"/>
      <c r="L604" s="618"/>
      <c r="M604" s="618"/>
      <c r="N604" s="618"/>
      <c r="O604" s="618"/>
      <c r="P604" s="618"/>
      <c r="Q604" s="618"/>
      <c r="R604" s="618"/>
      <c r="S604" s="618"/>
      <c r="T604" s="618"/>
      <c r="U604" s="618"/>
      <c r="V604" s="618"/>
      <c r="W604" s="618"/>
      <c r="X604" s="618"/>
      <c r="Y604" s="618"/>
      <c r="Z604" s="618"/>
      <c r="AA604" s="618"/>
      <c r="AB604" s="618"/>
      <c r="AC604" s="618"/>
      <c r="AD604" s="618"/>
      <c r="AE604" s="618"/>
      <c r="AF604" s="618"/>
      <c r="AG604" s="618"/>
      <c r="AH604" s="618"/>
      <c r="AI604" s="618"/>
      <c r="AJ604" s="618"/>
      <c r="AK604" s="618"/>
    </row>
    <row r="605" spans="1:37" ht="14.25" customHeight="1" x14ac:dyDescent="0.45">
      <c r="A605" s="618"/>
      <c r="B605" s="618"/>
      <c r="C605" s="5"/>
      <c r="D605" s="618"/>
      <c r="E605" s="618"/>
      <c r="F605" s="618"/>
      <c r="G605" s="618"/>
      <c r="H605" s="618"/>
      <c r="I605" s="618"/>
      <c r="J605" s="618"/>
      <c r="K605" s="618"/>
      <c r="L605" s="618"/>
      <c r="M605" s="618"/>
      <c r="N605" s="618"/>
      <c r="O605" s="618"/>
      <c r="P605" s="618"/>
      <c r="Q605" s="618"/>
      <c r="R605" s="618"/>
      <c r="S605" s="618"/>
      <c r="T605" s="618"/>
      <c r="U605" s="618"/>
      <c r="V605" s="618"/>
      <c r="W605" s="618"/>
      <c r="X605" s="618"/>
      <c r="Y605" s="618"/>
      <c r="Z605" s="618"/>
      <c r="AA605" s="618"/>
      <c r="AB605" s="618"/>
      <c r="AC605" s="618"/>
      <c r="AD605" s="618"/>
      <c r="AE605" s="618"/>
      <c r="AF605" s="618"/>
      <c r="AG605" s="618"/>
      <c r="AH605" s="618"/>
      <c r="AI605" s="618"/>
      <c r="AJ605" s="618"/>
      <c r="AK605" s="618"/>
    </row>
    <row r="606" spans="1:37" ht="14.25" customHeight="1" x14ac:dyDescent="0.45">
      <c r="A606" s="618"/>
      <c r="B606" s="618"/>
      <c r="C606" s="5"/>
      <c r="D606" s="618"/>
      <c r="E606" s="618"/>
      <c r="F606" s="618"/>
      <c r="G606" s="618"/>
      <c r="H606" s="618"/>
      <c r="I606" s="618"/>
      <c r="J606" s="618"/>
      <c r="K606" s="618"/>
      <c r="L606" s="618"/>
      <c r="M606" s="618"/>
      <c r="N606" s="618"/>
      <c r="O606" s="618"/>
      <c r="P606" s="618"/>
      <c r="Q606" s="618"/>
      <c r="R606" s="618"/>
      <c r="S606" s="618"/>
      <c r="T606" s="618"/>
      <c r="U606" s="618"/>
      <c r="V606" s="618"/>
      <c r="W606" s="618"/>
      <c r="X606" s="618"/>
      <c r="Y606" s="618"/>
      <c r="Z606" s="618"/>
      <c r="AA606" s="618"/>
      <c r="AB606" s="618"/>
      <c r="AC606" s="618"/>
      <c r="AD606" s="618"/>
      <c r="AE606" s="618"/>
      <c r="AF606" s="618"/>
      <c r="AG606" s="618"/>
      <c r="AH606" s="618"/>
      <c r="AI606" s="618"/>
      <c r="AJ606" s="618"/>
      <c r="AK606" s="618"/>
    </row>
    <row r="607" spans="1:37" ht="14.25" customHeight="1" x14ac:dyDescent="0.45">
      <c r="A607" s="618"/>
      <c r="B607" s="618"/>
      <c r="C607" s="5"/>
      <c r="D607" s="618"/>
      <c r="E607" s="618"/>
      <c r="F607" s="618"/>
      <c r="G607" s="618"/>
      <c r="H607" s="618"/>
      <c r="I607" s="618"/>
      <c r="J607" s="618"/>
      <c r="K607" s="618"/>
      <c r="L607" s="618"/>
      <c r="M607" s="618"/>
      <c r="N607" s="618"/>
      <c r="O607" s="618"/>
      <c r="P607" s="618"/>
      <c r="Q607" s="618"/>
      <c r="R607" s="618"/>
      <c r="S607" s="618"/>
      <c r="T607" s="618"/>
      <c r="U607" s="618"/>
      <c r="V607" s="618"/>
      <c r="W607" s="618"/>
      <c r="X607" s="618"/>
      <c r="Y607" s="618"/>
      <c r="Z607" s="618"/>
      <c r="AA607" s="618"/>
      <c r="AB607" s="618"/>
      <c r="AC607" s="618"/>
      <c r="AD607" s="618"/>
      <c r="AE607" s="618"/>
      <c r="AF607" s="618"/>
      <c r="AG607" s="618"/>
      <c r="AH607" s="618"/>
      <c r="AI607" s="618"/>
      <c r="AJ607" s="618"/>
      <c r="AK607" s="618"/>
    </row>
    <row r="608" spans="1:37" ht="14.25" customHeight="1" x14ac:dyDescent="0.45">
      <c r="A608" s="618"/>
      <c r="B608" s="618"/>
      <c r="C608" s="5"/>
      <c r="D608" s="618"/>
      <c r="E608" s="618"/>
      <c r="F608" s="618"/>
      <c r="G608" s="618"/>
      <c r="H608" s="618"/>
      <c r="I608" s="618"/>
      <c r="J608" s="618"/>
      <c r="K608" s="618"/>
      <c r="L608" s="618"/>
      <c r="M608" s="618"/>
      <c r="N608" s="618"/>
      <c r="O608" s="618"/>
      <c r="P608" s="618"/>
      <c r="Q608" s="618"/>
      <c r="R608" s="618"/>
      <c r="S608" s="618"/>
      <c r="T608" s="618"/>
      <c r="U608" s="618"/>
      <c r="V608" s="618"/>
      <c r="W608" s="618"/>
      <c r="X608" s="618"/>
      <c r="Y608" s="618"/>
      <c r="Z608" s="618"/>
      <c r="AA608" s="618"/>
      <c r="AB608" s="618"/>
      <c r="AC608" s="618"/>
      <c r="AD608" s="618"/>
      <c r="AE608" s="618"/>
      <c r="AF608" s="618"/>
      <c r="AG608" s="618"/>
      <c r="AH608" s="618"/>
      <c r="AI608" s="618"/>
      <c r="AJ608" s="618"/>
      <c r="AK608" s="618"/>
    </row>
    <row r="609" spans="1:37" ht="14.25" customHeight="1" x14ac:dyDescent="0.45">
      <c r="A609" s="618"/>
      <c r="B609" s="618"/>
      <c r="C609" s="5"/>
      <c r="D609" s="618"/>
      <c r="E609" s="618"/>
      <c r="F609" s="618"/>
      <c r="G609" s="618"/>
      <c r="H609" s="618"/>
      <c r="I609" s="618"/>
      <c r="J609" s="618"/>
      <c r="K609" s="618"/>
      <c r="L609" s="618"/>
      <c r="M609" s="618"/>
      <c r="N609" s="618"/>
      <c r="O609" s="618"/>
      <c r="P609" s="618"/>
      <c r="Q609" s="618"/>
      <c r="R609" s="618"/>
      <c r="S609" s="618"/>
      <c r="T609" s="618"/>
      <c r="U609" s="618"/>
      <c r="V609" s="618"/>
      <c r="W609" s="618"/>
      <c r="X609" s="618"/>
      <c r="Y609" s="618"/>
      <c r="Z609" s="618"/>
      <c r="AA609" s="618"/>
      <c r="AB609" s="618"/>
      <c r="AC609" s="618"/>
      <c r="AD609" s="618"/>
      <c r="AE609" s="618"/>
      <c r="AF609" s="618"/>
      <c r="AG609" s="618"/>
      <c r="AH609" s="618"/>
      <c r="AI609" s="618"/>
      <c r="AJ609" s="618"/>
      <c r="AK609" s="618"/>
    </row>
    <row r="610" spans="1:37" ht="14.25" customHeight="1" x14ac:dyDescent="0.45">
      <c r="A610" s="618"/>
      <c r="B610" s="618"/>
      <c r="C610" s="5"/>
      <c r="D610" s="618"/>
      <c r="E610" s="618"/>
      <c r="F610" s="618"/>
      <c r="G610" s="618"/>
      <c r="H610" s="618"/>
      <c r="I610" s="618"/>
      <c r="J610" s="618"/>
      <c r="K610" s="618"/>
      <c r="L610" s="618"/>
      <c r="M610" s="618"/>
      <c r="N610" s="618"/>
      <c r="O610" s="618"/>
      <c r="P610" s="618"/>
      <c r="Q610" s="618"/>
      <c r="R610" s="618"/>
      <c r="S610" s="618"/>
      <c r="T610" s="618"/>
      <c r="U610" s="618"/>
      <c r="V610" s="618"/>
      <c r="W610" s="618"/>
      <c r="X610" s="618"/>
      <c r="Y610" s="618"/>
      <c r="Z610" s="618"/>
      <c r="AA610" s="618"/>
      <c r="AB610" s="618"/>
      <c r="AC610" s="618"/>
      <c r="AD610" s="618"/>
      <c r="AE610" s="618"/>
      <c r="AF610" s="618"/>
      <c r="AG610" s="618"/>
      <c r="AH610" s="618"/>
      <c r="AI610" s="618"/>
      <c r="AJ610" s="618"/>
      <c r="AK610" s="618"/>
    </row>
    <row r="611" spans="1:37" ht="14.25" customHeight="1" x14ac:dyDescent="0.45">
      <c r="A611" s="618"/>
      <c r="B611" s="618"/>
      <c r="C611" s="5"/>
      <c r="D611" s="618"/>
      <c r="E611" s="618"/>
      <c r="F611" s="618"/>
      <c r="G611" s="618"/>
      <c r="H611" s="618"/>
      <c r="I611" s="618"/>
      <c r="J611" s="618"/>
      <c r="K611" s="618"/>
      <c r="L611" s="618"/>
      <c r="M611" s="618"/>
      <c r="N611" s="618"/>
      <c r="O611" s="618"/>
      <c r="P611" s="618"/>
      <c r="Q611" s="618"/>
      <c r="R611" s="618"/>
      <c r="S611" s="618"/>
      <c r="T611" s="618"/>
      <c r="U611" s="618"/>
      <c r="V611" s="618"/>
      <c r="W611" s="618"/>
      <c r="X611" s="618"/>
      <c r="Y611" s="618"/>
      <c r="Z611" s="618"/>
      <c r="AA611" s="618"/>
      <c r="AB611" s="618"/>
      <c r="AC611" s="618"/>
      <c r="AD611" s="618"/>
      <c r="AE611" s="618"/>
      <c r="AF611" s="618"/>
      <c r="AG611" s="618"/>
      <c r="AH611" s="618"/>
      <c r="AI611" s="618"/>
      <c r="AJ611" s="618"/>
      <c r="AK611" s="618"/>
    </row>
    <row r="612" spans="1:37" ht="14.25" customHeight="1" x14ac:dyDescent="0.45">
      <c r="A612" s="618"/>
      <c r="B612" s="618"/>
      <c r="C612" s="5"/>
      <c r="D612" s="618"/>
      <c r="E612" s="618"/>
      <c r="F612" s="618"/>
      <c r="G612" s="618"/>
      <c r="H612" s="618"/>
      <c r="I612" s="618"/>
      <c r="J612" s="618"/>
      <c r="K612" s="618"/>
      <c r="L612" s="618"/>
      <c r="M612" s="618"/>
      <c r="N612" s="618"/>
      <c r="O612" s="618"/>
      <c r="P612" s="618"/>
      <c r="Q612" s="618"/>
      <c r="R612" s="618"/>
      <c r="S612" s="618"/>
      <c r="T612" s="618"/>
      <c r="U612" s="618"/>
      <c r="V612" s="618"/>
      <c r="W612" s="618"/>
      <c r="X612" s="618"/>
      <c r="Y612" s="618"/>
      <c r="Z612" s="618"/>
      <c r="AA612" s="618"/>
      <c r="AB612" s="618"/>
      <c r="AC612" s="618"/>
      <c r="AD612" s="618"/>
      <c r="AE612" s="618"/>
      <c r="AF612" s="618"/>
      <c r="AG612" s="618"/>
      <c r="AH612" s="618"/>
      <c r="AI612" s="618"/>
      <c r="AJ612" s="618"/>
      <c r="AK612" s="618"/>
    </row>
    <row r="613" spans="1:37" ht="14.25" customHeight="1" x14ac:dyDescent="0.45">
      <c r="A613" s="618"/>
      <c r="B613" s="618"/>
      <c r="C613" s="5"/>
      <c r="D613" s="618"/>
      <c r="E613" s="618"/>
      <c r="F613" s="618"/>
      <c r="G613" s="618"/>
      <c r="H613" s="618"/>
      <c r="I613" s="618"/>
      <c r="J613" s="618"/>
      <c r="K613" s="618"/>
      <c r="L613" s="618"/>
      <c r="M613" s="618"/>
      <c r="N613" s="618"/>
      <c r="O613" s="618"/>
      <c r="P613" s="618"/>
      <c r="Q613" s="618"/>
      <c r="R613" s="618"/>
      <c r="S613" s="618"/>
      <c r="T613" s="618"/>
      <c r="U613" s="618"/>
      <c r="V613" s="618"/>
      <c r="W613" s="618"/>
      <c r="X613" s="618"/>
      <c r="Y613" s="618"/>
      <c r="Z613" s="618"/>
      <c r="AA613" s="618"/>
      <c r="AB613" s="618"/>
      <c r="AC613" s="618"/>
      <c r="AD613" s="618"/>
      <c r="AE613" s="618"/>
      <c r="AF613" s="618"/>
      <c r="AG613" s="618"/>
      <c r="AH613" s="618"/>
      <c r="AI613" s="618"/>
      <c r="AJ613" s="618"/>
      <c r="AK613" s="618"/>
    </row>
    <row r="614" spans="1:37" ht="14.25" customHeight="1" x14ac:dyDescent="0.45">
      <c r="A614" s="618"/>
      <c r="B614" s="618"/>
      <c r="C614" s="5"/>
      <c r="D614" s="618"/>
      <c r="E614" s="618"/>
      <c r="F614" s="618"/>
      <c r="G614" s="618"/>
      <c r="H614" s="618"/>
      <c r="I614" s="618"/>
      <c r="J614" s="618"/>
      <c r="K614" s="618"/>
      <c r="L614" s="618"/>
      <c r="M614" s="618"/>
      <c r="N614" s="618"/>
      <c r="O614" s="618"/>
      <c r="P614" s="618"/>
      <c r="Q614" s="618"/>
      <c r="R614" s="618"/>
      <c r="S614" s="618"/>
      <c r="T614" s="618"/>
      <c r="U614" s="618"/>
      <c r="V614" s="618"/>
      <c r="W614" s="618"/>
      <c r="X614" s="618"/>
      <c r="Y614" s="618"/>
      <c r="Z614" s="618"/>
      <c r="AA614" s="618"/>
      <c r="AB614" s="618"/>
      <c r="AC614" s="618"/>
      <c r="AD614" s="618"/>
      <c r="AE614" s="618"/>
      <c r="AF614" s="618"/>
      <c r="AG614" s="618"/>
      <c r="AH614" s="618"/>
      <c r="AI614" s="618"/>
      <c r="AJ614" s="618"/>
      <c r="AK614" s="618"/>
    </row>
    <row r="615" spans="1:37" ht="14.25" customHeight="1" x14ac:dyDescent="0.45">
      <c r="A615" s="618"/>
      <c r="B615" s="618"/>
      <c r="C615" s="5"/>
      <c r="D615" s="618"/>
      <c r="E615" s="618"/>
      <c r="F615" s="618"/>
      <c r="G615" s="618"/>
      <c r="H615" s="618"/>
      <c r="I615" s="618"/>
      <c r="J615" s="618"/>
      <c r="K615" s="618"/>
      <c r="L615" s="618"/>
      <c r="M615" s="618"/>
      <c r="N615" s="618"/>
      <c r="O615" s="618"/>
      <c r="P615" s="618"/>
      <c r="Q615" s="618"/>
      <c r="R615" s="618"/>
      <c r="S615" s="618"/>
      <c r="T615" s="618"/>
      <c r="U615" s="618"/>
      <c r="V615" s="618"/>
      <c r="W615" s="618"/>
      <c r="X615" s="618"/>
      <c r="Y615" s="618"/>
      <c r="Z615" s="618"/>
      <c r="AA615" s="618"/>
      <c r="AB615" s="618"/>
      <c r="AC615" s="618"/>
      <c r="AD615" s="618"/>
      <c r="AE615" s="618"/>
      <c r="AF615" s="618"/>
      <c r="AG615" s="618"/>
      <c r="AH615" s="618"/>
      <c r="AI615" s="618"/>
      <c r="AJ615" s="618"/>
      <c r="AK615" s="618"/>
    </row>
    <row r="616" spans="1:37" ht="14.25" customHeight="1" x14ac:dyDescent="0.45">
      <c r="A616" s="618"/>
      <c r="B616" s="618"/>
      <c r="C616" s="5"/>
      <c r="D616" s="618"/>
      <c r="E616" s="618"/>
      <c r="F616" s="618"/>
      <c r="G616" s="618"/>
      <c r="H616" s="618"/>
      <c r="I616" s="618"/>
      <c r="J616" s="618"/>
      <c r="K616" s="618"/>
      <c r="L616" s="618"/>
      <c r="M616" s="618"/>
      <c r="N616" s="618"/>
      <c r="O616" s="618"/>
      <c r="P616" s="618"/>
      <c r="Q616" s="618"/>
      <c r="R616" s="618"/>
      <c r="S616" s="618"/>
      <c r="T616" s="618"/>
      <c r="U616" s="618"/>
      <c r="V616" s="618"/>
      <c r="W616" s="618"/>
      <c r="X616" s="618"/>
      <c r="Y616" s="618"/>
      <c r="Z616" s="618"/>
      <c r="AA616" s="618"/>
      <c r="AB616" s="618"/>
      <c r="AC616" s="618"/>
      <c r="AD616" s="618"/>
      <c r="AE616" s="618"/>
      <c r="AF616" s="618"/>
      <c r="AG616" s="618"/>
      <c r="AH616" s="618"/>
      <c r="AI616" s="618"/>
      <c r="AJ616" s="618"/>
      <c r="AK616" s="618"/>
    </row>
    <row r="617" spans="1:37" ht="14.25" customHeight="1" x14ac:dyDescent="0.45">
      <c r="A617" s="618"/>
      <c r="B617" s="618"/>
      <c r="C617" s="5"/>
      <c r="D617" s="618"/>
      <c r="E617" s="618"/>
      <c r="F617" s="618"/>
      <c r="G617" s="618"/>
      <c r="H617" s="618"/>
      <c r="I617" s="618"/>
      <c r="J617" s="618"/>
      <c r="K617" s="618"/>
      <c r="L617" s="618"/>
      <c r="M617" s="618"/>
      <c r="N617" s="618"/>
      <c r="O617" s="618"/>
      <c r="P617" s="618"/>
      <c r="Q617" s="618"/>
      <c r="R617" s="618"/>
      <c r="S617" s="618"/>
      <c r="T617" s="618"/>
      <c r="U617" s="618"/>
      <c r="V617" s="618"/>
      <c r="W617" s="618"/>
      <c r="X617" s="618"/>
      <c r="Y617" s="618"/>
      <c r="Z617" s="618"/>
      <c r="AA617" s="618"/>
      <c r="AB617" s="618"/>
      <c r="AC617" s="618"/>
      <c r="AD617" s="618"/>
      <c r="AE617" s="618"/>
      <c r="AF617" s="618"/>
      <c r="AG617" s="618"/>
      <c r="AH617" s="618"/>
      <c r="AI617" s="618"/>
      <c r="AJ617" s="618"/>
      <c r="AK617" s="618"/>
    </row>
    <row r="618" spans="1:37" ht="14.25" customHeight="1" x14ac:dyDescent="0.45">
      <c r="A618" s="618"/>
      <c r="B618" s="618"/>
      <c r="C618" s="5"/>
      <c r="D618" s="618"/>
      <c r="E618" s="618"/>
      <c r="F618" s="618"/>
      <c r="G618" s="618"/>
      <c r="H618" s="618"/>
      <c r="I618" s="618"/>
      <c r="J618" s="618"/>
      <c r="K618" s="618"/>
      <c r="L618" s="618"/>
      <c r="M618" s="618"/>
      <c r="N618" s="618"/>
      <c r="O618" s="618"/>
      <c r="P618" s="618"/>
      <c r="Q618" s="618"/>
      <c r="R618" s="618"/>
      <c r="S618" s="618"/>
      <c r="T618" s="618"/>
      <c r="U618" s="618"/>
      <c r="V618" s="618"/>
      <c r="W618" s="618"/>
      <c r="X618" s="618"/>
      <c r="Y618" s="618"/>
      <c r="Z618" s="618"/>
      <c r="AA618" s="618"/>
      <c r="AB618" s="618"/>
      <c r="AC618" s="618"/>
      <c r="AD618" s="618"/>
      <c r="AE618" s="618"/>
      <c r="AF618" s="618"/>
      <c r="AG618" s="618"/>
      <c r="AH618" s="618"/>
      <c r="AI618" s="618"/>
      <c r="AJ618" s="618"/>
      <c r="AK618" s="618"/>
    </row>
    <row r="619" spans="1:37" ht="14.25" customHeight="1" x14ac:dyDescent="0.45">
      <c r="A619" s="618"/>
      <c r="B619" s="618"/>
      <c r="C619" s="5"/>
      <c r="D619" s="618"/>
      <c r="E619" s="618"/>
      <c r="F619" s="618"/>
      <c r="G619" s="618"/>
      <c r="H619" s="618"/>
      <c r="I619" s="618"/>
      <c r="J619" s="618"/>
      <c r="K619" s="618"/>
      <c r="L619" s="618"/>
      <c r="M619" s="618"/>
      <c r="N619" s="618"/>
      <c r="O619" s="618"/>
      <c r="P619" s="618"/>
      <c r="Q619" s="618"/>
      <c r="R619" s="618"/>
      <c r="S619" s="618"/>
      <c r="T619" s="618"/>
      <c r="U619" s="618"/>
      <c r="V619" s="618"/>
      <c r="W619" s="618"/>
      <c r="X619" s="618"/>
      <c r="Y619" s="618"/>
      <c r="Z619" s="618"/>
      <c r="AA619" s="618"/>
      <c r="AB619" s="618"/>
      <c r="AC619" s="618"/>
      <c r="AD619" s="618"/>
      <c r="AE619" s="618"/>
      <c r="AF619" s="618"/>
      <c r="AG619" s="618"/>
      <c r="AH619" s="618"/>
      <c r="AI619" s="618"/>
      <c r="AJ619" s="618"/>
      <c r="AK619" s="618"/>
    </row>
    <row r="620" spans="1:37" ht="14.25" customHeight="1" x14ac:dyDescent="0.45">
      <c r="A620" s="618"/>
      <c r="B620" s="618"/>
      <c r="C620" s="5"/>
      <c r="D620" s="618"/>
      <c r="E620" s="618"/>
      <c r="F620" s="618"/>
      <c r="G620" s="618"/>
      <c r="H620" s="618"/>
      <c r="I620" s="618"/>
      <c r="J620" s="618"/>
      <c r="K620" s="618"/>
      <c r="L620" s="618"/>
      <c r="M620" s="618"/>
      <c r="N620" s="618"/>
      <c r="O620" s="618"/>
      <c r="P620" s="618"/>
      <c r="Q620" s="618"/>
      <c r="R620" s="618"/>
      <c r="S620" s="618"/>
      <c r="T620" s="618"/>
      <c r="U620" s="618"/>
      <c r="V620" s="618"/>
      <c r="W620" s="618"/>
      <c r="X620" s="618"/>
      <c r="Y620" s="618"/>
      <c r="Z620" s="618"/>
      <c r="AA620" s="618"/>
      <c r="AB620" s="618"/>
      <c r="AC620" s="618"/>
      <c r="AD620" s="618"/>
      <c r="AE620" s="618"/>
      <c r="AF620" s="618"/>
      <c r="AG620" s="618"/>
      <c r="AH620" s="618"/>
      <c r="AI620" s="618"/>
      <c r="AJ620" s="618"/>
      <c r="AK620" s="618"/>
    </row>
    <row r="621" spans="1:37" ht="14.25" customHeight="1" x14ac:dyDescent="0.45">
      <c r="A621" s="618"/>
      <c r="B621" s="618"/>
      <c r="C621" s="5"/>
      <c r="D621" s="618"/>
      <c r="E621" s="618"/>
      <c r="F621" s="618"/>
      <c r="G621" s="618"/>
      <c r="H621" s="618"/>
      <c r="I621" s="618"/>
      <c r="J621" s="618"/>
      <c r="K621" s="618"/>
      <c r="L621" s="618"/>
      <c r="M621" s="618"/>
      <c r="N621" s="618"/>
      <c r="O621" s="618"/>
      <c r="P621" s="618"/>
      <c r="Q621" s="618"/>
      <c r="R621" s="618"/>
      <c r="S621" s="618"/>
      <c r="T621" s="618"/>
      <c r="U621" s="618"/>
      <c r="V621" s="618"/>
      <c r="W621" s="618"/>
      <c r="X621" s="618"/>
      <c r="Y621" s="618"/>
      <c r="Z621" s="618"/>
      <c r="AA621" s="618"/>
      <c r="AB621" s="618"/>
      <c r="AC621" s="618"/>
      <c r="AD621" s="618"/>
      <c r="AE621" s="618"/>
      <c r="AF621" s="618"/>
      <c r="AG621" s="618"/>
      <c r="AH621" s="618"/>
      <c r="AI621" s="618"/>
      <c r="AJ621" s="618"/>
      <c r="AK621" s="618"/>
    </row>
    <row r="622" spans="1:37" ht="14.25" customHeight="1" x14ac:dyDescent="0.45">
      <c r="A622" s="618"/>
      <c r="B622" s="618"/>
      <c r="C622" s="5"/>
      <c r="D622" s="618"/>
      <c r="E622" s="618"/>
      <c r="F622" s="618"/>
      <c r="G622" s="618"/>
      <c r="H622" s="618"/>
      <c r="I622" s="618"/>
      <c r="J622" s="618"/>
      <c r="K622" s="618"/>
      <c r="L622" s="618"/>
      <c r="M622" s="618"/>
      <c r="N622" s="618"/>
      <c r="O622" s="618"/>
      <c r="P622" s="618"/>
      <c r="Q622" s="618"/>
      <c r="R622" s="618"/>
      <c r="S622" s="618"/>
      <c r="T622" s="618"/>
      <c r="U622" s="618"/>
      <c r="V622" s="618"/>
      <c r="W622" s="618"/>
      <c r="X622" s="618"/>
      <c r="Y622" s="618"/>
      <c r="Z622" s="618"/>
      <c r="AA622" s="618"/>
      <c r="AB622" s="618"/>
      <c r="AC622" s="618"/>
      <c r="AD622" s="618"/>
      <c r="AE622" s="618"/>
      <c r="AF622" s="618"/>
      <c r="AG622" s="618"/>
      <c r="AH622" s="618"/>
      <c r="AI622" s="618"/>
      <c r="AJ622" s="618"/>
      <c r="AK622" s="618"/>
    </row>
    <row r="623" spans="1:37" ht="14.25" customHeight="1" x14ac:dyDescent="0.45">
      <c r="A623" s="618"/>
      <c r="B623" s="618"/>
      <c r="C623" s="5"/>
      <c r="D623" s="618"/>
      <c r="E623" s="618"/>
      <c r="F623" s="618"/>
      <c r="G623" s="618"/>
      <c r="H623" s="618"/>
      <c r="I623" s="618"/>
      <c r="J623" s="618"/>
      <c r="K623" s="618"/>
      <c r="L623" s="618"/>
      <c r="M623" s="618"/>
      <c r="N623" s="618"/>
      <c r="O623" s="618"/>
      <c r="P623" s="618"/>
      <c r="Q623" s="618"/>
      <c r="R623" s="618"/>
      <c r="S623" s="618"/>
      <c r="T623" s="618"/>
      <c r="U623" s="618"/>
      <c r="V623" s="618"/>
      <c r="W623" s="618"/>
      <c r="X623" s="618"/>
      <c r="Y623" s="618"/>
      <c r="Z623" s="618"/>
      <c r="AA623" s="618"/>
      <c r="AB623" s="618"/>
      <c r="AC623" s="618"/>
      <c r="AD623" s="618"/>
      <c r="AE623" s="618"/>
      <c r="AF623" s="618"/>
      <c r="AG623" s="618"/>
      <c r="AH623" s="618"/>
      <c r="AI623" s="618"/>
      <c r="AJ623" s="618"/>
      <c r="AK623" s="618"/>
    </row>
    <row r="624" spans="1:37" ht="14.25" customHeight="1" x14ac:dyDescent="0.45">
      <c r="A624" s="618"/>
      <c r="B624" s="618"/>
      <c r="C624" s="5"/>
      <c r="D624" s="618"/>
      <c r="E624" s="618"/>
      <c r="F624" s="618"/>
      <c r="G624" s="618"/>
      <c r="H624" s="618"/>
      <c r="I624" s="618"/>
      <c r="J624" s="618"/>
      <c r="K624" s="618"/>
      <c r="L624" s="618"/>
      <c r="M624" s="618"/>
      <c r="N624" s="618"/>
      <c r="O624" s="618"/>
      <c r="P624" s="618"/>
      <c r="Q624" s="618"/>
      <c r="R624" s="618"/>
      <c r="S624" s="618"/>
      <c r="T624" s="618"/>
      <c r="U624" s="618"/>
      <c r="V624" s="618"/>
      <c r="W624" s="618"/>
      <c r="X624" s="618"/>
      <c r="Y624" s="618"/>
      <c r="Z624" s="618"/>
      <c r="AA624" s="618"/>
      <c r="AB624" s="618"/>
      <c r="AC624" s="618"/>
      <c r="AD624" s="618"/>
      <c r="AE624" s="618"/>
      <c r="AF624" s="618"/>
      <c r="AG624" s="618"/>
      <c r="AH624" s="618"/>
      <c r="AI624" s="618"/>
      <c r="AJ624" s="618"/>
      <c r="AK624" s="618"/>
    </row>
    <row r="625" spans="1:37" ht="14.25" customHeight="1" x14ac:dyDescent="0.45">
      <c r="A625" s="618"/>
      <c r="B625" s="618"/>
      <c r="C625" s="5"/>
      <c r="D625" s="618"/>
      <c r="E625" s="618"/>
      <c r="F625" s="618"/>
      <c r="G625" s="618"/>
      <c r="H625" s="618"/>
      <c r="I625" s="618"/>
      <c r="J625" s="618"/>
      <c r="K625" s="618"/>
      <c r="L625" s="618"/>
      <c r="M625" s="618"/>
      <c r="N625" s="618"/>
      <c r="O625" s="618"/>
      <c r="P625" s="618"/>
      <c r="Q625" s="618"/>
      <c r="R625" s="618"/>
      <c r="S625" s="618"/>
      <c r="T625" s="618"/>
      <c r="U625" s="618"/>
      <c r="V625" s="618"/>
      <c r="W625" s="618"/>
      <c r="X625" s="618"/>
      <c r="Y625" s="618"/>
      <c r="Z625" s="618"/>
      <c r="AA625" s="618"/>
      <c r="AB625" s="618"/>
      <c r="AC625" s="618"/>
      <c r="AD625" s="618"/>
      <c r="AE625" s="618"/>
      <c r="AF625" s="618"/>
      <c r="AG625" s="618"/>
      <c r="AH625" s="618"/>
      <c r="AI625" s="618"/>
      <c r="AJ625" s="618"/>
      <c r="AK625" s="618"/>
    </row>
    <row r="626" spans="1:37" ht="14.25" customHeight="1" x14ac:dyDescent="0.45">
      <c r="A626" s="618"/>
      <c r="B626" s="618"/>
      <c r="C626" s="5"/>
      <c r="D626" s="618"/>
      <c r="E626" s="618"/>
      <c r="F626" s="618"/>
      <c r="G626" s="618"/>
      <c r="H626" s="618"/>
      <c r="I626" s="618"/>
      <c r="J626" s="618"/>
      <c r="K626" s="618"/>
      <c r="L626" s="618"/>
      <c r="M626" s="618"/>
      <c r="N626" s="618"/>
      <c r="O626" s="618"/>
      <c r="P626" s="618"/>
      <c r="Q626" s="618"/>
      <c r="R626" s="618"/>
      <c r="S626" s="618"/>
      <c r="T626" s="618"/>
      <c r="U626" s="618"/>
      <c r="V626" s="618"/>
      <c r="W626" s="618"/>
      <c r="X626" s="618"/>
      <c r="Y626" s="618"/>
      <c r="Z626" s="618"/>
      <c r="AA626" s="618"/>
      <c r="AB626" s="618"/>
      <c r="AC626" s="618"/>
      <c r="AD626" s="618"/>
      <c r="AE626" s="618"/>
      <c r="AF626" s="618"/>
      <c r="AG626" s="618"/>
      <c r="AH626" s="618"/>
      <c r="AI626" s="618"/>
      <c r="AJ626" s="618"/>
      <c r="AK626" s="618"/>
    </row>
    <row r="627" spans="1:37" ht="14.25" customHeight="1" x14ac:dyDescent="0.45">
      <c r="A627" s="618"/>
      <c r="B627" s="618"/>
      <c r="C627" s="5"/>
      <c r="D627" s="618"/>
      <c r="E627" s="618"/>
      <c r="F627" s="618"/>
      <c r="G627" s="618"/>
      <c r="H627" s="618"/>
      <c r="I627" s="618"/>
      <c r="J627" s="618"/>
      <c r="K627" s="618"/>
      <c r="L627" s="618"/>
      <c r="M627" s="618"/>
      <c r="N627" s="618"/>
      <c r="O627" s="618"/>
      <c r="P627" s="618"/>
      <c r="Q627" s="618"/>
      <c r="R627" s="618"/>
      <c r="S627" s="618"/>
      <c r="T627" s="618"/>
      <c r="U627" s="618"/>
      <c r="V627" s="618"/>
      <c r="W627" s="618"/>
      <c r="X627" s="618"/>
      <c r="Y627" s="618"/>
      <c r="Z627" s="618"/>
      <c r="AA627" s="618"/>
      <c r="AB627" s="618"/>
      <c r="AC627" s="618"/>
      <c r="AD627" s="618"/>
      <c r="AE627" s="618"/>
      <c r="AF627" s="618"/>
      <c r="AG627" s="618"/>
      <c r="AH627" s="618"/>
      <c r="AI627" s="618"/>
      <c r="AJ627" s="618"/>
      <c r="AK627" s="618"/>
    </row>
    <row r="628" spans="1:37" ht="14.25" customHeight="1" x14ac:dyDescent="0.45">
      <c r="A628" s="618"/>
      <c r="B628" s="618"/>
      <c r="C628" s="5"/>
      <c r="D628" s="618"/>
      <c r="E628" s="618"/>
      <c r="F628" s="618"/>
      <c r="G628" s="618"/>
      <c r="H628" s="618"/>
      <c r="I628" s="618"/>
      <c r="J628" s="618"/>
      <c r="K628" s="618"/>
      <c r="L628" s="618"/>
      <c r="M628" s="618"/>
      <c r="N628" s="618"/>
      <c r="O628" s="618"/>
      <c r="P628" s="618"/>
      <c r="Q628" s="618"/>
      <c r="R628" s="618"/>
      <c r="S628" s="618"/>
      <c r="T628" s="618"/>
      <c r="U628" s="618"/>
      <c r="V628" s="618"/>
      <c r="W628" s="618"/>
      <c r="X628" s="618"/>
      <c r="Y628" s="618"/>
      <c r="Z628" s="618"/>
      <c r="AA628" s="618"/>
      <c r="AB628" s="618"/>
      <c r="AC628" s="618"/>
      <c r="AD628" s="618"/>
      <c r="AE628" s="618"/>
      <c r="AF628" s="618"/>
      <c r="AG628" s="618"/>
      <c r="AH628" s="618"/>
      <c r="AI628" s="618"/>
      <c r="AJ628" s="618"/>
      <c r="AK628" s="618"/>
    </row>
    <row r="629" spans="1:37" ht="14.25" customHeight="1" x14ac:dyDescent="0.45">
      <c r="A629" s="618"/>
      <c r="B629" s="618"/>
      <c r="C629" s="5"/>
      <c r="D629" s="618"/>
      <c r="E629" s="618"/>
      <c r="F629" s="618"/>
      <c r="G629" s="618"/>
      <c r="H629" s="618"/>
      <c r="I629" s="618"/>
      <c r="J629" s="618"/>
      <c r="K629" s="618"/>
      <c r="L629" s="618"/>
      <c r="M629" s="618"/>
      <c r="N629" s="618"/>
      <c r="O629" s="618"/>
      <c r="P629" s="618"/>
      <c r="Q629" s="618"/>
      <c r="R629" s="618"/>
      <c r="S629" s="618"/>
      <c r="T629" s="618"/>
      <c r="U629" s="618"/>
      <c r="V629" s="618"/>
      <c r="W629" s="618"/>
      <c r="X629" s="618"/>
      <c r="Y629" s="618"/>
      <c r="Z629" s="618"/>
      <c r="AA629" s="618"/>
      <c r="AB629" s="618"/>
      <c r="AC629" s="618"/>
      <c r="AD629" s="618"/>
      <c r="AE629" s="618"/>
      <c r="AF629" s="618"/>
      <c r="AG629" s="618"/>
      <c r="AH629" s="618"/>
      <c r="AI629" s="618"/>
      <c r="AJ629" s="618"/>
      <c r="AK629" s="618"/>
    </row>
    <row r="630" spans="1:37" ht="14.25" customHeight="1" x14ac:dyDescent="0.45">
      <c r="A630" s="618"/>
      <c r="B630" s="618"/>
      <c r="C630" s="5"/>
      <c r="D630" s="618"/>
      <c r="E630" s="618"/>
      <c r="F630" s="618"/>
      <c r="G630" s="618"/>
      <c r="H630" s="618"/>
      <c r="I630" s="618"/>
      <c r="J630" s="618"/>
      <c r="K630" s="618"/>
      <c r="L630" s="618"/>
      <c r="M630" s="618"/>
      <c r="N630" s="618"/>
      <c r="O630" s="618"/>
      <c r="P630" s="618"/>
      <c r="Q630" s="618"/>
      <c r="R630" s="618"/>
      <c r="S630" s="618"/>
      <c r="T630" s="618"/>
      <c r="U630" s="618"/>
      <c r="V630" s="618"/>
      <c r="W630" s="618"/>
      <c r="X630" s="618"/>
      <c r="Y630" s="618"/>
      <c r="Z630" s="618"/>
      <c r="AA630" s="618"/>
      <c r="AB630" s="618"/>
      <c r="AC630" s="618"/>
      <c r="AD630" s="618"/>
      <c r="AE630" s="618"/>
      <c r="AF630" s="618"/>
      <c r="AG630" s="618"/>
      <c r="AH630" s="618"/>
      <c r="AI630" s="618"/>
      <c r="AJ630" s="618"/>
      <c r="AK630" s="618"/>
    </row>
    <row r="631" spans="1:37" ht="14.25" customHeight="1" x14ac:dyDescent="0.45">
      <c r="A631" s="618"/>
      <c r="B631" s="618"/>
      <c r="C631" s="5"/>
      <c r="D631" s="618"/>
      <c r="E631" s="618"/>
      <c r="F631" s="618"/>
      <c r="G631" s="618"/>
      <c r="H631" s="618"/>
      <c r="I631" s="618"/>
      <c r="J631" s="618"/>
      <c r="K631" s="618"/>
      <c r="L631" s="618"/>
      <c r="M631" s="618"/>
      <c r="N631" s="618"/>
      <c r="O631" s="618"/>
      <c r="P631" s="618"/>
      <c r="Q631" s="618"/>
      <c r="R631" s="618"/>
      <c r="S631" s="618"/>
      <c r="T631" s="618"/>
      <c r="U631" s="618"/>
      <c r="V631" s="618"/>
      <c r="W631" s="618"/>
      <c r="X631" s="618"/>
      <c r="Y631" s="618"/>
      <c r="Z631" s="618"/>
      <c r="AA631" s="618"/>
      <c r="AB631" s="618"/>
      <c r="AC631" s="618"/>
      <c r="AD631" s="618"/>
      <c r="AE631" s="618"/>
      <c r="AF631" s="618"/>
      <c r="AG631" s="618"/>
      <c r="AH631" s="618"/>
      <c r="AI631" s="618"/>
      <c r="AJ631" s="618"/>
      <c r="AK631" s="618"/>
    </row>
    <row r="632" spans="1:37" ht="14.25" customHeight="1" x14ac:dyDescent="0.45">
      <c r="A632" s="618"/>
      <c r="B632" s="618"/>
      <c r="C632" s="5"/>
      <c r="D632" s="618"/>
      <c r="E632" s="618"/>
      <c r="F632" s="618"/>
      <c r="G632" s="618"/>
      <c r="H632" s="618"/>
      <c r="I632" s="618"/>
      <c r="J632" s="618"/>
      <c r="K632" s="618"/>
      <c r="L632" s="618"/>
      <c r="M632" s="618"/>
      <c r="N632" s="618"/>
      <c r="O632" s="618"/>
      <c r="P632" s="618"/>
      <c r="Q632" s="618"/>
      <c r="R632" s="618"/>
      <c r="S632" s="618"/>
      <c r="T632" s="618"/>
      <c r="U632" s="618"/>
      <c r="V632" s="618"/>
      <c r="W632" s="618"/>
      <c r="X632" s="618"/>
      <c r="Y632" s="618"/>
      <c r="Z632" s="618"/>
      <c r="AA632" s="618"/>
      <c r="AB632" s="618"/>
      <c r="AC632" s="618"/>
      <c r="AD632" s="618"/>
      <c r="AE632" s="618"/>
      <c r="AF632" s="618"/>
      <c r="AG632" s="618"/>
      <c r="AH632" s="618"/>
      <c r="AI632" s="618"/>
      <c r="AJ632" s="618"/>
      <c r="AK632" s="618"/>
    </row>
    <row r="633" spans="1:37" ht="14.25" customHeight="1" x14ac:dyDescent="0.45">
      <c r="A633" s="618"/>
      <c r="B633" s="618"/>
      <c r="C633" s="5"/>
      <c r="D633" s="618"/>
      <c r="E633" s="618"/>
      <c r="F633" s="618"/>
      <c r="G633" s="618"/>
      <c r="H633" s="618"/>
      <c r="I633" s="618"/>
      <c r="J633" s="618"/>
      <c r="K633" s="618"/>
      <c r="L633" s="618"/>
      <c r="M633" s="618"/>
      <c r="N633" s="618"/>
      <c r="O633" s="618"/>
      <c r="P633" s="618"/>
      <c r="Q633" s="618"/>
      <c r="R633" s="618"/>
      <c r="S633" s="618"/>
      <c r="T633" s="618"/>
      <c r="U633" s="618"/>
      <c r="V633" s="618"/>
      <c r="W633" s="618"/>
      <c r="X633" s="618"/>
      <c r="Y633" s="618"/>
      <c r="Z633" s="618"/>
      <c r="AA633" s="618"/>
      <c r="AB633" s="618"/>
      <c r="AC633" s="618"/>
      <c r="AD633" s="618"/>
      <c r="AE633" s="618"/>
      <c r="AF633" s="618"/>
      <c r="AG633" s="618"/>
      <c r="AH633" s="618"/>
      <c r="AI633" s="618"/>
      <c r="AJ633" s="618"/>
      <c r="AK633" s="618"/>
    </row>
    <row r="634" spans="1:37" ht="14.25" customHeight="1" x14ac:dyDescent="0.45">
      <c r="A634" s="618"/>
      <c r="B634" s="618"/>
      <c r="C634" s="5"/>
      <c r="D634" s="618"/>
      <c r="E634" s="618"/>
      <c r="F634" s="618"/>
      <c r="G634" s="618"/>
      <c r="H634" s="618"/>
      <c r="I634" s="618"/>
      <c r="J634" s="618"/>
      <c r="K634" s="618"/>
      <c r="L634" s="618"/>
      <c r="M634" s="618"/>
      <c r="N634" s="618"/>
      <c r="O634" s="618"/>
      <c r="P634" s="618"/>
      <c r="Q634" s="618"/>
      <c r="R634" s="618"/>
      <c r="S634" s="618"/>
      <c r="T634" s="618"/>
      <c r="U634" s="618"/>
      <c r="V634" s="618"/>
      <c r="W634" s="618"/>
      <c r="X634" s="618"/>
      <c r="Y634" s="618"/>
      <c r="Z634" s="618"/>
      <c r="AA634" s="618"/>
      <c r="AB634" s="618"/>
      <c r="AC634" s="618"/>
      <c r="AD634" s="618"/>
      <c r="AE634" s="618"/>
      <c r="AF634" s="618"/>
      <c r="AG634" s="618"/>
      <c r="AH634" s="618"/>
      <c r="AI634" s="618"/>
      <c r="AJ634" s="618"/>
      <c r="AK634" s="618"/>
    </row>
    <row r="635" spans="1:37" ht="14.25" customHeight="1" x14ac:dyDescent="0.45">
      <c r="A635" s="618"/>
      <c r="B635" s="618"/>
      <c r="C635" s="5"/>
      <c r="D635" s="618"/>
      <c r="E635" s="618"/>
      <c r="F635" s="618"/>
      <c r="G635" s="618"/>
      <c r="H635" s="618"/>
      <c r="I635" s="618"/>
      <c r="J635" s="618"/>
      <c r="K635" s="618"/>
      <c r="L635" s="618"/>
      <c r="M635" s="618"/>
      <c r="N635" s="618"/>
      <c r="O635" s="618"/>
      <c r="P635" s="618"/>
      <c r="Q635" s="618"/>
      <c r="R635" s="618"/>
      <c r="S635" s="618"/>
      <c r="T635" s="618"/>
      <c r="U635" s="618"/>
      <c r="V635" s="618"/>
      <c r="W635" s="618"/>
      <c r="X635" s="618"/>
      <c r="Y635" s="618"/>
      <c r="Z635" s="618"/>
      <c r="AA635" s="618"/>
      <c r="AB635" s="618"/>
      <c r="AC635" s="618"/>
      <c r="AD635" s="618"/>
      <c r="AE635" s="618"/>
      <c r="AF635" s="618"/>
      <c r="AG635" s="618"/>
      <c r="AH635" s="618"/>
      <c r="AI635" s="618"/>
      <c r="AJ635" s="618"/>
      <c r="AK635" s="618"/>
    </row>
    <row r="636" spans="1:37" ht="14.25" customHeight="1" x14ac:dyDescent="0.45">
      <c r="A636" s="618"/>
      <c r="B636" s="618"/>
      <c r="C636" s="5"/>
      <c r="D636" s="618"/>
      <c r="E636" s="618"/>
      <c r="F636" s="618"/>
      <c r="G636" s="618"/>
      <c r="H636" s="618"/>
      <c r="I636" s="618"/>
      <c r="J636" s="618"/>
      <c r="K636" s="618"/>
      <c r="L636" s="618"/>
      <c r="M636" s="618"/>
      <c r="N636" s="618"/>
      <c r="O636" s="618"/>
      <c r="P636" s="618"/>
      <c r="Q636" s="618"/>
      <c r="R636" s="618"/>
      <c r="S636" s="618"/>
      <c r="T636" s="618"/>
      <c r="U636" s="618"/>
      <c r="V636" s="618"/>
      <c r="W636" s="618"/>
      <c r="X636" s="618"/>
      <c r="Y636" s="618"/>
      <c r="Z636" s="618"/>
      <c r="AA636" s="618"/>
      <c r="AB636" s="618"/>
      <c r="AC636" s="618"/>
      <c r="AD636" s="618"/>
      <c r="AE636" s="618"/>
      <c r="AF636" s="618"/>
      <c r="AG636" s="618"/>
      <c r="AH636" s="618"/>
      <c r="AI636" s="618"/>
      <c r="AJ636" s="618"/>
      <c r="AK636" s="618"/>
    </row>
    <row r="637" spans="1:37" ht="14.25" customHeight="1" x14ac:dyDescent="0.45">
      <c r="A637" s="618"/>
      <c r="B637" s="618"/>
      <c r="C637" s="5"/>
      <c r="D637" s="618"/>
      <c r="E637" s="618"/>
      <c r="F637" s="618"/>
      <c r="G637" s="618"/>
      <c r="H637" s="618"/>
      <c r="I637" s="618"/>
      <c r="J637" s="618"/>
      <c r="K637" s="618"/>
      <c r="L637" s="618"/>
      <c r="M637" s="618"/>
      <c r="N637" s="618"/>
      <c r="O637" s="618"/>
      <c r="P637" s="618"/>
      <c r="Q637" s="618"/>
      <c r="R637" s="618"/>
      <c r="S637" s="618"/>
      <c r="T637" s="618"/>
      <c r="U637" s="618"/>
      <c r="V637" s="618"/>
      <c r="W637" s="618"/>
      <c r="X637" s="618"/>
      <c r="Y637" s="618"/>
      <c r="Z637" s="618"/>
      <c r="AA637" s="618"/>
      <c r="AB637" s="618"/>
      <c r="AC637" s="618"/>
      <c r="AD637" s="618"/>
      <c r="AE637" s="618"/>
      <c r="AF637" s="618"/>
      <c r="AG637" s="618"/>
      <c r="AH637" s="618"/>
      <c r="AI637" s="618"/>
      <c r="AJ637" s="618"/>
      <c r="AK637" s="618"/>
    </row>
    <row r="638" spans="1:37" ht="14.25" customHeight="1" x14ac:dyDescent="0.45">
      <c r="A638" s="618"/>
      <c r="B638" s="618"/>
      <c r="C638" s="5"/>
      <c r="D638" s="618"/>
      <c r="E638" s="618"/>
      <c r="F638" s="618"/>
      <c r="G638" s="618"/>
      <c r="H638" s="618"/>
      <c r="I638" s="618"/>
      <c r="J638" s="618"/>
      <c r="K638" s="618"/>
      <c r="L638" s="618"/>
      <c r="M638" s="618"/>
      <c r="N638" s="618"/>
      <c r="O638" s="618"/>
      <c r="P638" s="618"/>
      <c r="Q638" s="618"/>
      <c r="R638" s="618"/>
      <c r="S638" s="618"/>
      <c r="T638" s="618"/>
      <c r="U638" s="618"/>
      <c r="V638" s="618"/>
      <c r="W638" s="618"/>
      <c r="X638" s="618"/>
      <c r="Y638" s="618"/>
      <c r="Z638" s="618"/>
      <c r="AA638" s="618"/>
      <c r="AB638" s="618"/>
      <c r="AC638" s="618"/>
      <c r="AD638" s="618"/>
      <c r="AE638" s="618"/>
      <c r="AF638" s="618"/>
      <c r="AG638" s="618"/>
      <c r="AH638" s="618"/>
      <c r="AI638" s="618"/>
      <c r="AJ638" s="618"/>
      <c r="AK638" s="618"/>
    </row>
    <row r="639" spans="1:37" ht="14.25" customHeight="1" x14ac:dyDescent="0.45">
      <c r="A639" s="618"/>
      <c r="B639" s="618"/>
      <c r="C639" s="5"/>
      <c r="D639" s="618"/>
      <c r="E639" s="618"/>
      <c r="F639" s="618"/>
      <c r="G639" s="618"/>
      <c r="H639" s="618"/>
      <c r="I639" s="618"/>
      <c r="J639" s="618"/>
      <c r="K639" s="618"/>
      <c r="L639" s="618"/>
      <c r="M639" s="618"/>
      <c r="N639" s="618"/>
      <c r="O639" s="618"/>
      <c r="P639" s="618"/>
      <c r="Q639" s="618"/>
      <c r="R639" s="618"/>
      <c r="S639" s="618"/>
      <c r="T639" s="618"/>
      <c r="U639" s="618"/>
      <c r="V639" s="618"/>
      <c r="W639" s="618"/>
      <c r="X639" s="618"/>
      <c r="Y639" s="618"/>
      <c r="Z639" s="618"/>
      <c r="AA639" s="618"/>
      <c r="AB639" s="618"/>
      <c r="AC639" s="618"/>
      <c r="AD639" s="618"/>
      <c r="AE639" s="618"/>
      <c r="AF639" s="618"/>
      <c r="AG639" s="618"/>
      <c r="AH639" s="618"/>
      <c r="AI639" s="618"/>
      <c r="AJ639" s="618"/>
      <c r="AK639" s="618"/>
    </row>
    <row r="640" spans="1:37" ht="15.75" customHeight="1" x14ac:dyDescent="0.4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row>
    <row r="641" spans="1:37" ht="15.75" customHeight="1" x14ac:dyDescent="0.4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row>
    <row r="642" spans="1:37" ht="15.75" customHeight="1" x14ac:dyDescent="0.4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row>
    <row r="643" spans="1:37" ht="15.75" customHeight="1" x14ac:dyDescent="0.45"/>
    <row r="644" spans="1:37" ht="15.75" customHeight="1" x14ac:dyDescent="0.45"/>
    <row r="645" spans="1:37" ht="15.75" customHeight="1" x14ac:dyDescent="0.45"/>
    <row r="646" spans="1:37" ht="15.75" customHeight="1" x14ac:dyDescent="0.45"/>
    <row r="647" spans="1:37" ht="15.75" customHeight="1" x14ac:dyDescent="0.45"/>
    <row r="648" spans="1:37" ht="15.75" customHeight="1" x14ac:dyDescent="0.45"/>
    <row r="649" spans="1:37" ht="15.75" customHeight="1" x14ac:dyDescent="0.45"/>
    <row r="650" spans="1:37" ht="15.75" customHeight="1" x14ac:dyDescent="0.45"/>
    <row r="651" spans="1:37" ht="15.75" customHeight="1" x14ac:dyDescent="0.45"/>
    <row r="652" spans="1:37" ht="15.75" customHeight="1" x14ac:dyDescent="0.45"/>
    <row r="653" spans="1:37" ht="15.75" customHeight="1" x14ac:dyDescent="0.45"/>
    <row r="654" spans="1:37" ht="15.75" customHeight="1" x14ac:dyDescent="0.45"/>
    <row r="655" spans="1:37" ht="15.75" customHeight="1" x14ac:dyDescent="0.45"/>
    <row r="656" spans="1:37"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sheetData>
  <mergeCells count="2">
    <mergeCell ref="B309:B336"/>
    <mergeCell ref="B357:B367"/>
  </mergeCells>
  <hyperlinks>
    <hyperlink ref="C104" location="Google_Sheet_Link_1571033540" display="Nueva capacidad proyectada en los actuales planes de expansión" xr:uid="{00000000-0004-0000-1000-000000000000}"/>
    <hyperlink ref="C204" location="Google_Sheet_Link_1376587179" display="Distribuida eólica [GW]" xr:uid="{00000000-0004-0000-1000-000001000000}"/>
    <hyperlink ref="D382" r:id="rId1" display="https://www.controlrecursosyenergia.gob.ec/wp-content/uploads/downloads/2020/08/Atlas2018.pdf" xr:uid="{00000000-0004-0000-1000-000002000000}"/>
    <hyperlink ref="E382" r:id="rId2" display="https://www.controlrecursosyenergia.gob.ec/wp-content/uploads/downloads/2020/11/Atlas-2019-nuevologo-small.pdf" xr:uid="{00000000-0004-0000-1000-000003000000}"/>
    <hyperlink ref="F382" r:id="rId3" display="https://www.controlrecursosyenergia.gob.ec/wp-content/uploads/downloads/2021/06/Atlas-2020-baja.pdf" xr:uid="{00000000-0004-0000-1000-000004000000}"/>
    <hyperlink ref="G382" r:id="rId4" display="https://www.controlrecursosyenergia.gob.ec/wp-content/uploads/downloads/2022/04/Atlas2021.pdf" xr:uid="{00000000-0004-0000-1000-000005000000}"/>
    <hyperlink ref="C383" r:id="rId5" xr:uid="{00000000-0004-0000-1000-000006000000}"/>
    <hyperlink ref="G384" r:id="rId6" display="https://www.controlrecursosyenergia.gob.ec/wp-content/uploads/downloads/2021/07/RNA-para-publicaci%C3%B3n-actualizado-a-junio.pdf" xr:uid="{00000000-0004-0000-1000-000007000000}"/>
    <hyperlink ref="D387" r:id="rId7" display="https://www.controlrecursosyenergia.gob.ec/wp-content/uploads/downloads/2020/08/Estad%C3%ADsticaAnualMultianual2018.pdf" xr:uid="{00000000-0004-0000-1000-000009000000}"/>
    <hyperlink ref="E387" r:id="rId8" display="https://www.controlrecursosyenergia.gob.ec/wp-content/uploads/downloads/2020/11/Estad%C3%ADstica-2019-nuevologo-small.pdf" xr:uid="{00000000-0004-0000-1000-00000A000000}"/>
    <hyperlink ref="F387" r:id="rId9" display="https://www.controlrecursosyenergia.gob.ec/wp-content/uploads/downloads/2021/09/Estadistica-2020-baja.pdf" xr:uid="{00000000-0004-0000-1000-00000B000000}"/>
    <hyperlink ref="G387" r:id="rId10" display="https://www.controlrecursosyenergia.gob.ec/wp-content/uploads/downloads/2022/04/Estadistica2021.pdf" xr:uid="{00000000-0004-0000-1000-00000C000000}"/>
    <hyperlink ref="C388" r:id="rId11" xr:uid="{00000000-0004-0000-1000-00000D000000}"/>
    <hyperlink ref="C389" r:id="rId12" xr:uid="{00000000-0004-0000-1000-00000E000000}"/>
    <hyperlink ref="C390" r:id="rId13" xr:uid="{00000000-0004-0000-1000-00000F000000}"/>
    <hyperlink ref="E397" r:id="rId14" xr:uid="{00000000-0004-0000-1000-000010000000}"/>
    <hyperlink ref="E399" r:id="rId15" xr:uid="{00000000-0004-0000-1000-000011000000}"/>
    <hyperlink ref="E401" r:id="rId16" xr:uid="{00000000-0004-0000-1000-000012000000}"/>
    <hyperlink ref="E403" r:id="rId17" xr:uid="{00000000-0004-0000-1000-000013000000}"/>
    <hyperlink ref="E404" r:id="rId18" xr:uid="{00000000-0004-0000-1000-000014000000}"/>
    <hyperlink ref="E408" r:id="rId19" xr:uid="{00000000-0004-0000-1000-000015000000}"/>
    <hyperlink ref="E410" r:id="rId20" xr:uid="{00000000-0004-0000-1000-000016000000}"/>
    <hyperlink ref="E413" r:id="rId21" xr:uid="{00000000-0004-0000-1000-000017000000}"/>
    <hyperlink ref="E414" location="null!A38" display="ERNC" xr:uid="{00000000-0004-0000-1000-000018000000}"/>
    <hyperlink ref="E415" r:id="rId22" xr:uid="{00000000-0004-0000-1000-000019000000}"/>
    <hyperlink ref="E422" r:id="rId23" xr:uid="{00000000-0004-0000-1000-00001A000000}"/>
    <hyperlink ref="E423" r:id="rId24" xr:uid="{00000000-0004-0000-1000-00001B000000}"/>
    <hyperlink ref="E424" r:id="rId25" xr:uid="{00000000-0004-0000-1000-00001C000000}"/>
    <hyperlink ref="C435" r:id="rId26" location=":~:text=Uno%20de%20los%20proyectos%20priorizados,el%20compromiso%20del%20cuidado%20ambiental." xr:uid="{00000000-0004-0000-1000-00001D000000}"/>
    <hyperlink ref="C386" r:id="rId27" location=":~:text=Uno%20de%20los%20proyectos%20priorizados,el%20compromiso%20del%20cuidado%20ambiental." xr:uid="{00000000-0004-0000-1000-000008000000}"/>
    <hyperlink ref="C392" r:id="rId28" xr:uid="{3424804A-FD1B-415D-8E58-670727A2D1E7}"/>
  </hyperlinks>
  <pageMargins left="0.7" right="0.7" top="0.75" bottom="0.75" header="0" footer="0"/>
  <pageSetup orientation="landscape"/>
  <legacyDrawing r:id="rId29"/>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00"/>
  <sheetViews>
    <sheetView workbookViewId="0"/>
  </sheetViews>
  <sheetFormatPr defaultColWidth="12.69140625" defaultRowHeight="15" customHeight="1" x14ac:dyDescent="0.45"/>
  <cols>
    <col min="1" max="1" width="8.3828125" customWidth="1"/>
    <col min="2" max="2" width="3.3828125" customWidth="1"/>
    <col min="3" max="3" width="44.3828125" customWidth="1"/>
    <col min="4" max="7" width="10.765625" customWidth="1"/>
    <col min="8" max="37" width="8.3828125" customWidth="1"/>
  </cols>
  <sheetData>
    <row r="1" spans="1:37" ht="14.2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4.2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14.25" customHeight="1" x14ac:dyDescent="0.45">
      <c r="A3" s="618"/>
      <c r="B3" s="63"/>
      <c r="C3" s="399"/>
      <c r="D3" s="398"/>
      <c r="E3" s="398"/>
      <c r="F3" s="398"/>
      <c r="G3" s="398"/>
      <c r="H3" s="398"/>
      <c r="I3" s="398"/>
      <c r="J3" s="398"/>
      <c r="K3" s="398"/>
      <c r="L3" s="398"/>
      <c r="M3" s="398"/>
      <c r="N3" s="398"/>
      <c r="O3" s="398"/>
      <c r="P3" s="398"/>
      <c r="Q3" s="398"/>
      <c r="R3" s="398"/>
      <c r="S3" s="398"/>
      <c r="T3" s="398"/>
      <c r="U3" s="398"/>
      <c r="V3" s="398"/>
      <c r="W3" s="398"/>
      <c r="X3" s="398"/>
      <c r="Y3" s="398"/>
      <c r="Z3" s="398"/>
      <c r="AA3" s="398"/>
      <c r="AB3" s="398"/>
      <c r="AC3" s="398"/>
      <c r="AD3" s="398"/>
      <c r="AE3" s="398"/>
      <c r="AF3" s="398"/>
      <c r="AG3" s="398"/>
      <c r="AH3" s="398"/>
      <c r="AI3" s="398"/>
      <c r="AJ3" s="398"/>
      <c r="AK3" s="449"/>
    </row>
    <row r="4" spans="1:37" ht="14.25" customHeight="1" x14ac:dyDescent="0.45">
      <c r="A4" s="618"/>
      <c r="B4" s="400"/>
      <c r="C4" s="402" t="s">
        <v>478</v>
      </c>
      <c r="D4" s="403"/>
      <c r="E4" s="403"/>
      <c r="F4" s="403"/>
      <c r="G4" s="403"/>
      <c r="H4" s="403"/>
      <c r="I4" s="403"/>
      <c r="J4" s="403"/>
      <c r="K4" s="403"/>
      <c r="L4" s="403"/>
      <c r="M4" s="403"/>
      <c r="N4" s="403"/>
      <c r="O4" s="403"/>
      <c r="P4" s="403"/>
      <c r="Q4" s="403"/>
      <c r="R4" s="403"/>
      <c r="S4" s="403"/>
      <c r="T4" s="403"/>
      <c r="U4" s="403"/>
      <c r="V4" s="403"/>
      <c r="W4" s="403"/>
      <c r="X4" s="403"/>
      <c r="Y4" s="403"/>
      <c r="Z4" s="403"/>
      <c r="AA4" s="403"/>
      <c r="AB4" s="403"/>
      <c r="AC4" s="403"/>
      <c r="AD4" s="403"/>
      <c r="AE4" s="403"/>
      <c r="AF4" s="403"/>
      <c r="AG4" s="403"/>
      <c r="AH4" s="403"/>
      <c r="AI4" s="403"/>
      <c r="AJ4" s="403"/>
      <c r="AK4" s="450"/>
    </row>
    <row r="5" spans="1:37" ht="14.25" customHeight="1" x14ac:dyDescent="0.45">
      <c r="A5" s="618"/>
      <c r="B5" s="400"/>
      <c r="C5" s="404" t="s">
        <v>479</v>
      </c>
      <c r="D5" s="403"/>
      <c r="E5" s="403"/>
      <c r="F5" s="403"/>
      <c r="G5" s="403"/>
      <c r="H5" s="403"/>
      <c r="I5" s="403"/>
      <c r="J5" s="403"/>
      <c r="K5" s="403"/>
      <c r="L5" s="403"/>
      <c r="M5" s="403"/>
      <c r="N5" s="403"/>
      <c r="O5" s="403"/>
      <c r="P5" s="403"/>
      <c r="Q5" s="403"/>
      <c r="R5" s="403"/>
      <c r="S5" s="403"/>
      <c r="T5" s="403"/>
      <c r="U5" s="403"/>
      <c r="V5" s="403"/>
      <c r="W5" s="403"/>
      <c r="X5" s="403"/>
      <c r="Y5" s="403"/>
      <c r="Z5" s="403"/>
      <c r="AA5" s="403"/>
      <c r="AB5" s="403"/>
      <c r="AC5" s="403"/>
      <c r="AD5" s="403"/>
      <c r="AE5" s="403"/>
      <c r="AF5" s="403"/>
      <c r="AG5" s="403"/>
      <c r="AH5" s="403"/>
      <c r="AI5" s="403"/>
      <c r="AJ5" s="403"/>
      <c r="AK5" s="450"/>
    </row>
    <row r="6" spans="1:37" ht="14.25" customHeight="1" x14ac:dyDescent="0.45">
      <c r="A6" s="618">
        <v>1</v>
      </c>
      <c r="B6" s="400"/>
      <c r="C6" s="405" t="s">
        <v>1026</v>
      </c>
      <c r="D6" s="403" t="s">
        <v>221</v>
      </c>
      <c r="E6" s="403" t="s">
        <v>221</v>
      </c>
      <c r="F6" s="403" t="s">
        <v>221</v>
      </c>
      <c r="G6" s="403" t="s">
        <v>221</v>
      </c>
      <c r="H6" s="403"/>
      <c r="I6" s="403"/>
      <c r="J6" s="403"/>
      <c r="K6" s="403"/>
      <c r="L6" s="403"/>
      <c r="M6" s="403"/>
      <c r="N6" s="403"/>
      <c r="O6" s="403"/>
      <c r="P6" s="403"/>
      <c r="Q6" s="403"/>
      <c r="R6" s="403"/>
      <c r="S6" s="403"/>
      <c r="T6" s="403"/>
      <c r="U6" s="403"/>
      <c r="V6" s="403"/>
      <c r="W6" s="403"/>
      <c r="X6" s="403"/>
      <c r="Y6" s="403"/>
      <c r="Z6" s="403"/>
      <c r="AA6" s="403"/>
      <c r="AB6" s="403"/>
      <c r="AC6" s="403"/>
      <c r="AD6" s="403"/>
      <c r="AE6" s="403"/>
      <c r="AF6" s="403"/>
      <c r="AG6" s="403"/>
      <c r="AH6" s="403"/>
      <c r="AI6" s="403"/>
      <c r="AJ6" s="403"/>
      <c r="AK6" s="450"/>
    </row>
    <row r="7" spans="1:37" ht="14.25" customHeight="1" x14ac:dyDescent="0.45">
      <c r="A7" s="618">
        <v>1</v>
      </c>
      <c r="B7" s="400"/>
      <c r="C7" s="323" t="s">
        <v>1027</v>
      </c>
      <c r="D7" s="406">
        <v>17.071831700000001</v>
      </c>
      <c r="E7" s="406">
        <v>21.190639699999998</v>
      </c>
      <c r="F7" s="406">
        <v>5.9586163900000004</v>
      </c>
      <c r="G7" s="406">
        <v>40.8165531</v>
      </c>
      <c r="H7" s="403"/>
      <c r="I7" s="403"/>
      <c r="J7" s="403"/>
      <c r="K7" s="403"/>
      <c r="L7" s="403"/>
      <c r="M7" s="403"/>
      <c r="N7" s="403"/>
      <c r="O7" s="403"/>
      <c r="P7" s="403"/>
      <c r="Q7" s="403"/>
      <c r="R7" s="403"/>
      <c r="S7" s="403"/>
      <c r="T7" s="403"/>
      <c r="U7" s="403"/>
      <c r="V7" s="403"/>
      <c r="W7" s="403"/>
      <c r="X7" s="403"/>
      <c r="Y7" s="403"/>
      <c r="Z7" s="403"/>
      <c r="AA7" s="403"/>
      <c r="AB7" s="403"/>
      <c r="AC7" s="403"/>
      <c r="AD7" s="403"/>
      <c r="AE7" s="403"/>
      <c r="AF7" s="403"/>
      <c r="AG7" s="403"/>
      <c r="AH7" s="403"/>
      <c r="AI7" s="403"/>
      <c r="AJ7" s="403"/>
      <c r="AK7" s="450"/>
    </row>
    <row r="8" spans="1:37" ht="14.25" customHeight="1" x14ac:dyDescent="0.45">
      <c r="A8" s="618">
        <v>1</v>
      </c>
      <c r="B8" s="400"/>
      <c r="C8" s="405" t="s">
        <v>1028</v>
      </c>
      <c r="D8" s="406">
        <v>105.707769</v>
      </c>
      <c r="E8" s="406">
        <v>147.101394</v>
      </c>
      <c r="F8" s="406">
        <v>128.865058</v>
      </c>
      <c r="G8" s="406">
        <v>178.806735</v>
      </c>
      <c r="H8" s="403"/>
      <c r="I8" s="403"/>
      <c r="J8" s="403"/>
      <c r="K8" s="403"/>
      <c r="L8" s="403"/>
      <c r="M8" s="403"/>
      <c r="N8" s="403"/>
      <c r="O8" s="403"/>
      <c r="P8" s="403"/>
      <c r="Q8" s="403"/>
      <c r="R8" s="403"/>
      <c r="S8" s="403"/>
      <c r="T8" s="403"/>
      <c r="U8" s="403"/>
      <c r="V8" s="403"/>
      <c r="W8" s="403"/>
      <c r="X8" s="403"/>
      <c r="Y8" s="403"/>
      <c r="Z8" s="403"/>
      <c r="AA8" s="403"/>
      <c r="AB8" s="403"/>
      <c r="AC8" s="403"/>
      <c r="AD8" s="403"/>
      <c r="AE8" s="403"/>
      <c r="AF8" s="403"/>
      <c r="AG8" s="403"/>
      <c r="AH8" s="403"/>
      <c r="AI8" s="403"/>
      <c r="AJ8" s="403"/>
      <c r="AK8" s="450"/>
    </row>
    <row r="9" spans="1:37" ht="14.25" customHeight="1" x14ac:dyDescent="0.45">
      <c r="A9" s="618">
        <v>1</v>
      </c>
      <c r="B9" s="400"/>
      <c r="C9" s="323" t="s">
        <v>1029</v>
      </c>
      <c r="D9" s="406">
        <v>6019.4532499999996</v>
      </c>
      <c r="E9" s="406">
        <v>5615.3797400000003</v>
      </c>
      <c r="F9" s="406">
        <v>4323.9372000000003</v>
      </c>
      <c r="G9" s="406">
        <v>3496.5626900000002</v>
      </c>
      <c r="H9" s="403"/>
      <c r="I9" s="403"/>
      <c r="J9" s="403"/>
      <c r="K9" s="403"/>
      <c r="L9" s="403"/>
      <c r="M9" s="403"/>
      <c r="N9" s="403"/>
      <c r="O9" s="403"/>
      <c r="P9" s="403"/>
      <c r="Q9" s="403"/>
      <c r="R9" s="403"/>
      <c r="S9" s="403"/>
      <c r="T9" s="403"/>
      <c r="U9" s="403"/>
      <c r="V9" s="403"/>
      <c r="W9" s="403"/>
      <c r="X9" s="403"/>
      <c r="Y9" s="403"/>
      <c r="Z9" s="403"/>
      <c r="AA9" s="403"/>
      <c r="AB9" s="403"/>
      <c r="AC9" s="403"/>
      <c r="AD9" s="403"/>
      <c r="AE9" s="403"/>
      <c r="AF9" s="403"/>
      <c r="AG9" s="403"/>
      <c r="AH9" s="403"/>
      <c r="AI9" s="403"/>
      <c r="AJ9" s="403"/>
      <c r="AK9" s="450"/>
    </row>
    <row r="10" spans="1:37" ht="14.25" customHeight="1" x14ac:dyDescent="0.45">
      <c r="A10" s="618">
        <v>1</v>
      </c>
      <c r="B10" s="400"/>
      <c r="C10" s="323" t="s">
        <v>1030</v>
      </c>
      <c r="D10" s="406">
        <v>820.29284399999995</v>
      </c>
      <c r="E10" s="406">
        <v>897.953936</v>
      </c>
      <c r="F10" s="406">
        <v>834.09944800000005</v>
      </c>
      <c r="G10" s="406">
        <v>931.74166500000001</v>
      </c>
      <c r="H10" s="403"/>
      <c r="I10" s="403"/>
      <c r="J10" s="403"/>
      <c r="K10" s="403"/>
      <c r="L10" s="403"/>
      <c r="M10" s="403"/>
      <c r="N10" s="403"/>
      <c r="O10" s="403"/>
      <c r="P10" s="403"/>
      <c r="Q10" s="403"/>
      <c r="R10" s="403"/>
      <c r="S10" s="403"/>
      <c r="T10" s="403"/>
      <c r="U10" s="403"/>
      <c r="V10" s="403"/>
      <c r="W10" s="403"/>
      <c r="X10" s="403"/>
      <c r="Y10" s="403"/>
      <c r="Z10" s="403"/>
      <c r="AA10" s="403"/>
      <c r="AB10" s="403"/>
      <c r="AC10" s="403"/>
      <c r="AD10" s="403"/>
      <c r="AE10" s="403"/>
      <c r="AF10" s="403"/>
      <c r="AG10" s="403"/>
      <c r="AH10" s="403"/>
      <c r="AI10" s="403"/>
      <c r="AJ10" s="403"/>
      <c r="AK10" s="450"/>
    </row>
    <row r="11" spans="1:37" ht="14.25" customHeight="1" x14ac:dyDescent="0.45">
      <c r="A11" s="618">
        <v>1</v>
      </c>
      <c r="B11" s="400"/>
      <c r="C11" s="323" t="s">
        <v>1031</v>
      </c>
      <c r="D11" s="406"/>
      <c r="E11" s="406"/>
      <c r="F11" s="406"/>
      <c r="G11" s="406"/>
      <c r="H11" s="403"/>
      <c r="I11" s="403"/>
      <c r="J11" s="403"/>
      <c r="K11" s="403"/>
      <c r="L11" s="403"/>
      <c r="M11" s="403"/>
      <c r="N11" s="403"/>
      <c r="O11" s="403"/>
      <c r="P11" s="403"/>
      <c r="Q11" s="403"/>
      <c r="R11" s="403"/>
      <c r="S11" s="403"/>
      <c r="T11" s="403"/>
      <c r="U11" s="403"/>
      <c r="V11" s="403"/>
      <c r="W11" s="403"/>
      <c r="X11" s="403"/>
      <c r="Y11" s="403"/>
      <c r="Z11" s="403"/>
      <c r="AA11" s="403"/>
      <c r="AB11" s="403"/>
      <c r="AC11" s="403"/>
      <c r="AD11" s="403"/>
      <c r="AE11" s="403"/>
      <c r="AF11" s="403"/>
      <c r="AG11" s="403"/>
      <c r="AH11" s="403"/>
      <c r="AI11" s="403"/>
      <c r="AJ11" s="403"/>
      <c r="AK11" s="450"/>
    </row>
    <row r="12" spans="1:37" ht="14.25" customHeight="1" x14ac:dyDescent="0.45">
      <c r="A12" s="618">
        <v>1</v>
      </c>
      <c r="B12" s="400"/>
      <c r="C12" s="323" t="s">
        <v>396</v>
      </c>
      <c r="D12" s="406">
        <v>10700.1</v>
      </c>
      <c r="E12" s="406">
        <v>10873</v>
      </c>
      <c r="F12" s="406">
        <v>8485.2999999999993</v>
      </c>
      <c r="G12" s="406">
        <v>11048.6</v>
      </c>
      <c r="H12" s="403"/>
      <c r="I12" s="403"/>
      <c r="J12" s="403"/>
      <c r="K12" s="403"/>
      <c r="L12" s="403"/>
      <c r="M12" s="403"/>
      <c r="N12" s="403"/>
      <c r="O12" s="403"/>
      <c r="P12" s="403"/>
      <c r="Q12" s="403"/>
      <c r="R12" s="403"/>
      <c r="S12" s="403"/>
      <c r="T12" s="403"/>
      <c r="U12" s="403"/>
      <c r="V12" s="403"/>
      <c r="W12" s="403"/>
      <c r="X12" s="403"/>
      <c r="Y12" s="403"/>
      <c r="Z12" s="403"/>
      <c r="AA12" s="403"/>
      <c r="AB12" s="403"/>
      <c r="AC12" s="403"/>
      <c r="AD12" s="403"/>
      <c r="AE12" s="403"/>
      <c r="AF12" s="403"/>
      <c r="AG12" s="403"/>
      <c r="AH12" s="403"/>
      <c r="AI12" s="403"/>
      <c r="AJ12" s="403"/>
      <c r="AK12" s="450"/>
    </row>
    <row r="13" spans="1:37" ht="14.25" customHeight="1" x14ac:dyDescent="0.45">
      <c r="A13" s="618">
        <v>1</v>
      </c>
      <c r="B13" s="400"/>
      <c r="C13" s="323" t="s">
        <v>397</v>
      </c>
      <c r="D13" s="406">
        <v>10115.5</v>
      </c>
      <c r="E13" s="406">
        <v>10278.9</v>
      </c>
      <c r="F13" s="406">
        <v>8080</v>
      </c>
      <c r="G13" s="406">
        <v>10520.9</v>
      </c>
      <c r="H13" s="403"/>
      <c r="I13" s="403"/>
      <c r="J13" s="403"/>
      <c r="K13" s="403"/>
      <c r="L13" s="403"/>
      <c r="M13" s="403"/>
      <c r="N13" s="403"/>
      <c r="O13" s="403"/>
      <c r="P13" s="403"/>
      <c r="Q13" s="403"/>
      <c r="R13" s="403"/>
      <c r="S13" s="403"/>
      <c r="T13" s="403"/>
      <c r="U13" s="403"/>
      <c r="V13" s="403"/>
      <c r="W13" s="403"/>
      <c r="X13" s="403"/>
      <c r="Y13" s="403"/>
      <c r="Z13" s="403"/>
      <c r="AA13" s="403"/>
      <c r="AB13" s="403"/>
      <c r="AC13" s="403"/>
      <c r="AD13" s="403"/>
      <c r="AE13" s="403"/>
      <c r="AF13" s="403"/>
      <c r="AG13" s="403"/>
      <c r="AH13" s="403"/>
      <c r="AI13" s="403"/>
      <c r="AJ13" s="403"/>
      <c r="AK13" s="450"/>
    </row>
    <row r="14" spans="1:37" ht="14.25" customHeight="1" x14ac:dyDescent="0.45">
      <c r="A14" s="618">
        <v>1</v>
      </c>
      <c r="B14" s="400"/>
      <c r="C14" s="323" t="s">
        <v>398</v>
      </c>
      <c r="D14" s="406">
        <v>5.3</v>
      </c>
      <c r="E14" s="406">
        <v>0.6</v>
      </c>
      <c r="F14" s="406">
        <v>1.7</v>
      </c>
      <c r="G14" s="406">
        <v>3.4</v>
      </c>
      <c r="H14" s="403"/>
      <c r="I14" s="403"/>
      <c r="J14" s="403"/>
      <c r="K14" s="403"/>
      <c r="L14" s="403"/>
      <c r="M14" s="403"/>
      <c r="N14" s="403"/>
      <c r="O14" s="403"/>
      <c r="P14" s="403"/>
      <c r="Q14" s="403"/>
      <c r="R14" s="403"/>
      <c r="S14" s="403"/>
      <c r="T14" s="403"/>
      <c r="U14" s="403"/>
      <c r="V14" s="403"/>
      <c r="W14" s="403"/>
      <c r="X14" s="403"/>
      <c r="Y14" s="403"/>
      <c r="Z14" s="403"/>
      <c r="AA14" s="403"/>
      <c r="AB14" s="403"/>
      <c r="AC14" s="403"/>
      <c r="AD14" s="403"/>
      <c r="AE14" s="403"/>
      <c r="AF14" s="403"/>
      <c r="AG14" s="403"/>
      <c r="AH14" s="403"/>
      <c r="AI14" s="403"/>
      <c r="AJ14" s="403"/>
      <c r="AK14" s="450"/>
    </row>
    <row r="15" spans="1:37" ht="14.25" customHeight="1" x14ac:dyDescent="0.45">
      <c r="A15" s="618">
        <v>1</v>
      </c>
      <c r="B15" s="400"/>
      <c r="C15" s="323" t="s">
        <v>399</v>
      </c>
      <c r="D15" s="406">
        <v>32.700000000000003</v>
      </c>
      <c r="E15" s="406">
        <v>34.799999999999997</v>
      </c>
      <c r="F15" s="406">
        <v>29</v>
      </c>
      <c r="G15" s="406">
        <v>34</v>
      </c>
      <c r="H15" s="403"/>
      <c r="I15" s="403"/>
      <c r="J15" s="403"/>
      <c r="K15" s="403"/>
      <c r="L15" s="403"/>
      <c r="M15" s="403"/>
      <c r="N15" s="403"/>
      <c r="O15" s="403"/>
      <c r="P15" s="403"/>
      <c r="Q15" s="403"/>
      <c r="R15" s="403"/>
      <c r="S15" s="403"/>
      <c r="T15" s="403"/>
      <c r="U15" s="403"/>
      <c r="V15" s="403"/>
      <c r="W15" s="403"/>
      <c r="X15" s="403"/>
      <c r="Y15" s="403"/>
      <c r="Z15" s="403"/>
      <c r="AA15" s="403"/>
      <c r="AB15" s="403"/>
      <c r="AC15" s="403"/>
      <c r="AD15" s="403"/>
      <c r="AE15" s="403"/>
      <c r="AF15" s="403"/>
      <c r="AG15" s="403"/>
      <c r="AH15" s="403"/>
      <c r="AI15" s="403"/>
      <c r="AJ15" s="403"/>
      <c r="AK15" s="450"/>
    </row>
    <row r="16" spans="1:37" ht="14.25" customHeight="1" x14ac:dyDescent="0.45">
      <c r="A16" s="618"/>
      <c r="B16" s="400"/>
      <c r="C16" s="405" t="s">
        <v>849</v>
      </c>
      <c r="D16" s="406">
        <f>SUM(D7:D15)</f>
        <v>27816.1256947</v>
      </c>
      <c r="E16" s="406">
        <f>SUM(E7:E15)</f>
        <v>27868.925709699997</v>
      </c>
      <c r="F16" s="406">
        <f>SUM(F7:F15)</f>
        <v>21888.860322389999</v>
      </c>
      <c r="G16" s="406">
        <f>SUM(G7:G15)</f>
        <v>26254.827643100001</v>
      </c>
      <c r="H16" s="403"/>
      <c r="I16" s="403"/>
      <c r="J16" s="403"/>
      <c r="K16" s="403"/>
      <c r="L16" s="403"/>
      <c r="M16" s="403"/>
      <c r="N16" s="403"/>
      <c r="O16" s="403"/>
      <c r="P16" s="403"/>
      <c r="Q16" s="403"/>
      <c r="R16" s="403"/>
      <c r="S16" s="403"/>
      <c r="T16" s="403"/>
      <c r="U16" s="403"/>
      <c r="V16" s="403"/>
      <c r="W16" s="403"/>
      <c r="X16" s="403"/>
      <c r="Y16" s="403"/>
      <c r="Z16" s="403"/>
      <c r="AA16" s="403"/>
      <c r="AB16" s="403"/>
      <c r="AC16" s="403"/>
      <c r="AD16" s="403"/>
      <c r="AE16" s="403"/>
      <c r="AF16" s="403"/>
      <c r="AG16" s="403"/>
      <c r="AH16" s="403"/>
      <c r="AI16" s="403"/>
      <c r="AJ16" s="403"/>
      <c r="AK16" s="450"/>
    </row>
    <row r="17" spans="1:37" ht="14.25" customHeight="1" x14ac:dyDescent="0.45">
      <c r="A17" s="618"/>
      <c r="B17" s="400"/>
      <c r="C17" s="410"/>
      <c r="D17" s="401"/>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c r="AI17" s="401"/>
      <c r="AJ17" s="401"/>
      <c r="AK17" s="450"/>
    </row>
    <row r="18" spans="1:37" ht="14.25" customHeight="1" x14ac:dyDescent="0.45">
      <c r="A18" s="618"/>
      <c r="B18" s="400"/>
      <c r="C18" s="404" t="s">
        <v>492</v>
      </c>
      <c r="D18" s="403"/>
      <c r="E18" s="403"/>
      <c r="F18" s="403"/>
      <c r="G18" s="403"/>
      <c r="H18" s="403"/>
      <c r="I18" s="403"/>
      <c r="J18" s="403"/>
      <c r="K18" s="403"/>
      <c r="L18" s="403"/>
      <c r="M18" s="403"/>
      <c r="N18" s="403"/>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50"/>
    </row>
    <row r="19" spans="1:37" ht="14.25" customHeight="1" x14ac:dyDescent="0.45">
      <c r="A19" s="618">
        <v>1</v>
      </c>
      <c r="B19" s="400"/>
      <c r="C19" s="405" t="s">
        <v>1026</v>
      </c>
      <c r="D19" s="403"/>
      <c r="E19" s="403"/>
      <c r="F19" s="403"/>
      <c r="G19" s="403"/>
      <c r="H19" s="403"/>
      <c r="I19" s="403"/>
      <c r="J19" s="403"/>
      <c r="K19" s="403"/>
      <c r="L19" s="403"/>
      <c r="M19" s="403"/>
      <c r="N19" s="403"/>
      <c r="O19" s="403"/>
      <c r="P19" s="403"/>
      <c r="Q19" s="403"/>
      <c r="R19" s="403"/>
      <c r="S19" s="403"/>
      <c r="T19" s="403"/>
      <c r="U19" s="403"/>
      <c r="V19" s="403"/>
      <c r="W19" s="403"/>
      <c r="X19" s="403"/>
      <c r="Y19" s="403"/>
      <c r="Z19" s="403"/>
      <c r="AA19" s="403"/>
      <c r="AB19" s="403"/>
      <c r="AC19" s="403"/>
      <c r="AD19" s="403"/>
      <c r="AE19" s="403"/>
      <c r="AF19" s="403"/>
      <c r="AG19" s="403"/>
      <c r="AH19" s="403"/>
      <c r="AI19" s="403"/>
      <c r="AJ19" s="403"/>
      <c r="AK19" s="450"/>
    </row>
    <row r="20" spans="1:37" ht="14.25" customHeight="1" x14ac:dyDescent="0.45">
      <c r="A20" s="618">
        <v>1</v>
      </c>
      <c r="B20" s="400"/>
      <c r="C20" s="323" t="s">
        <v>1027</v>
      </c>
      <c r="D20" s="406">
        <v>987.99351000000001</v>
      </c>
      <c r="E20" s="406">
        <v>811.81991300000004</v>
      </c>
      <c r="F20" s="406">
        <v>792.18981799999995</v>
      </c>
      <c r="G20" s="406">
        <v>756.03191100000004</v>
      </c>
      <c r="H20" s="403"/>
      <c r="I20" s="403"/>
      <c r="J20" s="403"/>
      <c r="K20" s="403"/>
      <c r="L20" s="403"/>
      <c r="M20" s="403"/>
      <c r="N20" s="403"/>
      <c r="O20" s="403"/>
      <c r="P20" s="403"/>
      <c r="Q20" s="403"/>
      <c r="R20" s="403"/>
      <c r="S20" s="403"/>
      <c r="T20" s="403"/>
      <c r="U20" s="403"/>
      <c r="V20" s="403"/>
      <c r="W20" s="403"/>
      <c r="X20" s="403"/>
      <c r="Y20" s="403"/>
      <c r="Z20" s="403"/>
      <c r="AA20" s="403"/>
      <c r="AB20" s="403"/>
      <c r="AC20" s="403"/>
      <c r="AD20" s="403"/>
      <c r="AE20" s="403"/>
      <c r="AF20" s="403"/>
      <c r="AG20" s="403"/>
      <c r="AH20" s="403"/>
      <c r="AI20" s="403"/>
      <c r="AJ20" s="403"/>
      <c r="AK20" s="450"/>
    </row>
    <row r="21" spans="1:37" ht="14.25" customHeight="1" x14ac:dyDescent="0.45">
      <c r="A21" s="618">
        <v>1</v>
      </c>
      <c r="B21" s="400"/>
      <c r="C21" s="405" t="s">
        <v>1028</v>
      </c>
      <c r="D21" s="406">
        <v>4406.1963999999998</v>
      </c>
      <c r="E21" s="406">
        <v>3792.9441999999999</v>
      </c>
      <c r="F21" s="406">
        <v>3701.2294499999998</v>
      </c>
      <c r="G21" s="406">
        <v>3532.2943</v>
      </c>
      <c r="H21" s="403"/>
      <c r="I21" s="403"/>
      <c r="J21" s="403"/>
      <c r="K21" s="403"/>
      <c r="L21" s="403"/>
      <c r="M21" s="403"/>
      <c r="N21" s="403"/>
      <c r="O21" s="403"/>
      <c r="P21" s="403"/>
      <c r="Q21" s="403"/>
      <c r="R21" s="403"/>
      <c r="S21" s="403"/>
      <c r="T21" s="403"/>
      <c r="U21" s="403"/>
      <c r="V21" s="403"/>
      <c r="W21" s="403"/>
      <c r="X21" s="403"/>
      <c r="Y21" s="403"/>
      <c r="Z21" s="403"/>
      <c r="AA21" s="403"/>
      <c r="AB21" s="403"/>
      <c r="AC21" s="403"/>
      <c r="AD21" s="403"/>
      <c r="AE21" s="403"/>
      <c r="AF21" s="403"/>
      <c r="AG21" s="403"/>
      <c r="AH21" s="403"/>
      <c r="AI21" s="403"/>
      <c r="AJ21" s="403"/>
      <c r="AK21" s="450"/>
    </row>
    <row r="22" spans="1:37" ht="14.25" customHeight="1" x14ac:dyDescent="0.45">
      <c r="A22" s="618">
        <v>1</v>
      </c>
      <c r="B22" s="400"/>
      <c r="C22" s="323" t="s">
        <v>1029</v>
      </c>
      <c r="D22" s="406">
        <v>438.97197599999998</v>
      </c>
      <c r="E22" s="406">
        <v>501.91827000000001</v>
      </c>
      <c r="F22" s="406">
        <v>116.05379600000001</v>
      </c>
      <c r="G22" s="406">
        <v>543.51865999999995</v>
      </c>
      <c r="H22" s="403"/>
      <c r="I22" s="403"/>
      <c r="J22" s="403"/>
      <c r="K22" s="403"/>
      <c r="L22" s="403"/>
      <c r="M22" s="403"/>
      <c r="N22" s="403"/>
      <c r="O22" s="403"/>
      <c r="P22" s="403"/>
      <c r="Q22" s="403"/>
      <c r="R22" s="403"/>
      <c r="S22" s="403"/>
      <c r="T22" s="403"/>
      <c r="U22" s="403"/>
      <c r="V22" s="403"/>
      <c r="W22" s="403"/>
      <c r="X22" s="403"/>
      <c r="Y22" s="403"/>
      <c r="Z22" s="403"/>
      <c r="AA22" s="403"/>
      <c r="AB22" s="403"/>
      <c r="AC22" s="403"/>
      <c r="AD22" s="403"/>
      <c r="AE22" s="403"/>
      <c r="AF22" s="403"/>
      <c r="AG22" s="403"/>
      <c r="AH22" s="403"/>
      <c r="AI22" s="403"/>
      <c r="AJ22" s="403"/>
      <c r="AK22" s="450"/>
    </row>
    <row r="23" spans="1:37" ht="14.25" customHeight="1" x14ac:dyDescent="0.45">
      <c r="A23" s="618">
        <v>1</v>
      </c>
      <c r="B23" s="400"/>
      <c r="C23" s="323" t="s">
        <v>1030</v>
      </c>
      <c r="D23" s="403"/>
      <c r="E23" s="403"/>
      <c r="F23" s="403"/>
      <c r="G23" s="403"/>
      <c r="H23" s="403"/>
      <c r="I23" s="403"/>
      <c r="J23" s="403"/>
      <c r="K23" s="403"/>
      <c r="L23" s="403"/>
      <c r="M23" s="403"/>
      <c r="N23" s="403"/>
      <c r="O23" s="403"/>
      <c r="P23" s="403"/>
      <c r="Q23" s="403"/>
      <c r="R23" s="403"/>
      <c r="S23" s="403"/>
      <c r="T23" s="403"/>
      <c r="U23" s="403"/>
      <c r="V23" s="403"/>
      <c r="W23" s="403"/>
      <c r="X23" s="403"/>
      <c r="Y23" s="403"/>
      <c r="Z23" s="403"/>
      <c r="AA23" s="403"/>
      <c r="AB23" s="403"/>
      <c r="AC23" s="403"/>
      <c r="AD23" s="403"/>
      <c r="AE23" s="403"/>
      <c r="AF23" s="403"/>
      <c r="AG23" s="403"/>
      <c r="AH23" s="403"/>
      <c r="AI23" s="403"/>
      <c r="AJ23" s="403"/>
      <c r="AK23" s="450"/>
    </row>
    <row r="24" spans="1:37" ht="14.25" customHeight="1" x14ac:dyDescent="0.45">
      <c r="A24" s="618">
        <v>1</v>
      </c>
      <c r="B24" s="400"/>
      <c r="C24" s="323" t="s">
        <v>1031</v>
      </c>
      <c r="D24" s="406"/>
      <c r="E24" s="406"/>
      <c r="F24" s="406"/>
      <c r="G24" s="406"/>
      <c r="H24" s="403"/>
      <c r="I24" s="403"/>
      <c r="J24" s="403"/>
      <c r="K24" s="403"/>
      <c r="L24" s="403"/>
      <c r="M24" s="403"/>
      <c r="N24" s="403"/>
      <c r="O24" s="403"/>
      <c r="P24" s="403"/>
      <c r="Q24" s="403"/>
      <c r="R24" s="403"/>
      <c r="S24" s="403"/>
      <c r="T24" s="403"/>
      <c r="U24" s="403"/>
      <c r="V24" s="403"/>
      <c r="W24" s="403"/>
      <c r="X24" s="403"/>
      <c r="Y24" s="403"/>
      <c r="Z24" s="403"/>
      <c r="AA24" s="403"/>
      <c r="AB24" s="403"/>
      <c r="AC24" s="403"/>
      <c r="AD24" s="403"/>
      <c r="AE24" s="403"/>
      <c r="AF24" s="403"/>
      <c r="AG24" s="403"/>
      <c r="AH24" s="403"/>
      <c r="AI24" s="403"/>
      <c r="AJ24" s="403"/>
      <c r="AK24" s="450"/>
    </row>
    <row r="25" spans="1:37" ht="14.25" customHeight="1" x14ac:dyDescent="0.45">
      <c r="A25" s="618"/>
      <c r="B25" s="400"/>
      <c r="C25" s="323" t="s">
        <v>396</v>
      </c>
      <c r="D25" s="406">
        <v>20627.5</v>
      </c>
      <c r="E25" s="406">
        <v>20960.7</v>
      </c>
      <c r="F25" s="406">
        <v>17781.8</v>
      </c>
      <c r="G25" s="406">
        <v>20111.5</v>
      </c>
      <c r="H25" s="403"/>
      <c r="I25" s="403"/>
      <c r="J25" s="403"/>
      <c r="K25" s="403"/>
      <c r="L25" s="403"/>
      <c r="M25" s="403"/>
      <c r="N25" s="403"/>
      <c r="O25" s="403"/>
      <c r="P25" s="403"/>
      <c r="Q25" s="403"/>
      <c r="R25" s="403"/>
      <c r="S25" s="403"/>
      <c r="T25" s="403"/>
      <c r="U25" s="403"/>
      <c r="V25" s="403"/>
      <c r="W25" s="403"/>
      <c r="X25" s="403"/>
      <c r="Y25" s="403"/>
      <c r="Z25" s="403"/>
      <c r="AA25" s="403"/>
      <c r="AB25" s="403"/>
      <c r="AC25" s="403"/>
      <c r="AD25" s="403"/>
      <c r="AE25" s="403"/>
      <c r="AF25" s="403"/>
      <c r="AG25" s="403"/>
      <c r="AH25" s="403"/>
      <c r="AI25" s="403"/>
      <c r="AJ25" s="403"/>
      <c r="AK25" s="450"/>
    </row>
    <row r="26" spans="1:37" ht="14.25" customHeight="1" x14ac:dyDescent="0.45">
      <c r="A26" s="618"/>
      <c r="B26" s="400"/>
      <c r="C26" s="323" t="s">
        <v>397</v>
      </c>
      <c r="D26" s="406">
        <v>1480.1</v>
      </c>
      <c r="E26" s="406">
        <v>1504</v>
      </c>
      <c r="F26" s="406">
        <v>1275.9000000000001</v>
      </c>
      <c r="G26" s="406">
        <v>1443.1</v>
      </c>
      <c r="H26" s="403"/>
      <c r="I26" s="403"/>
      <c r="J26" s="403"/>
      <c r="K26" s="403"/>
      <c r="L26" s="403"/>
      <c r="M26" s="403"/>
      <c r="N26" s="403"/>
      <c r="O26" s="403"/>
      <c r="P26" s="403"/>
      <c r="Q26" s="403"/>
      <c r="R26" s="403"/>
      <c r="S26" s="403"/>
      <c r="T26" s="403"/>
      <c r="U26" s="403"/>
      <c r="V26" s="403"/>
      <c r="W26" s="403"/>
      <c r="X26" s="403"/>
      <c r="Y26" s="403"/>
      <c r="Z26" s="403"/>
      <c r="AA26" s="403"/>
      <c r="AB26" s="403"/>
      <c r="AC26" s="403"/>
      <c r="AD26" s="403"/>
      <c r="AE26" s="403"/>
      <c r="AF26" s="403"/>
      <c r="AG26" s="403"/>
      <c r="AH26" s="403"/>
      <c r="AI26" s="403"/>
      <c r="AJ26" s="403"/>
      <c r="AK26" s="450"/>
    </row>
    <row r="27" spans="1:37" ht="14.25" customHeight="1" x14ac:dyDescent="0.45">
      <c r="A27" s="618"/>
      <c r="B27" s="400"/>
      <c r="C27" s="323" t="s">
        <v>398</v>
      </c>
      <c r="D27" s="406">
        <v>1977</v>
      </c>
      <c r="E27" s="406">
        <v>1988.5</v>
      </c>
      <c r="F27" s="406">
        <v>1697.4</v>
      </c>
      <c r="G27" s="406">
        <v>2054</v>
      </c>
      <c r="H27" s="403"/>
      <c r="I27" s="403"/>
      <c r="J27" s="403"/>
      <c r="K27" s="403"/>
      <c r="L27" s="403"/>
      <c r="M27" s="403"/>
      <c r="N27" s="403"/>
      <c r="O27" s="403"/>
      <c r="P27" s="403"/>
      <c r="Q27" s="403"/>
      <c r="R27" s="403"/>
      <c r="S27" s="403"/>
      <c r="T27" s="403"/>
      <c r="U27" s="403"/>
      <c r="V27" s="403"/>
      <c r="W27" s="403"/>
      <c r="X27" s="403"/>
      <c r="Y27" s="403"/>
      <c r="Z27" s="403"/>
      <c r="AA27" s="403"/>
      <c r="AB27" s="403"/>
      <c r="AC27" s="403"/>
      <c r="AD27" s="403"/>
      <c r="AE27" s="403"/>
      <c r="AF27" s="403"/>
      <c r="AG27" s="403"/>
      <c r="AH27" s="403"/>
      <c r="AI27" s="403"/>
      <c r="AJ27" s="403"/>
      <c r="AK27" s="450"/>
    </row>
    <row r="28" spans="1:37" ht="14.25" customHeight="1" x14ac:dyDescent="0.45">
      <c r="A28" s="618"/>
      <c r="B28" s="400"/>
      <c r="C28" s="323" t="s">
        <v>399</v>
      </c>
      <c r="D28" s="406" t="s">
        <v>221</v>
      </c>
      <c r="E28" s="406" t="s">
        <v>221</v>
      </c>
      <c r="F28" s="406" t="s">
        <v>221</v>
      </c>
      <c r="G28" s="406" t="s">
        <v>221</v>
      </c>
      <c r="H28" s="403"/>
      <c r="I28" s="403"/>
      <c r="J28" s="403"/>
      <c r="K28" s="403"/>
      <c r="L28" s="403"/>
      <c r="M28" s="403"/>
      <c r="N28" s="403"/>
      <c r="O28" s="403"/>
      <c r="P28" s="403"/>
      <c r="Q28" s="403"/>
      <c r="R28" s="403"/>
      <c r="S28" s="403"/>
      <c r="T28" s="403"/>
      <c r="U28" s="403"/>
      <c r="V28" s="403"/>
      <c r="W28" s="403"/>
      <c r="X28" s="403"/>
      <c r="Y28" s="403"/>
      <c r="Z28" s="403"/>
      <c r="AA28" s="403"/>
      <c r="AB28" s="403"/>
      <c r="AC28" s="403"/>
      <c r="AD28" s="403"/>
      <c r="AE28" s="403"/>
      <c r="AF28" s="403"/>
      <c r="AG28" s="403"/>
      <c r="AH28" s="403"/>
      <c r="AI28" s="403"/>
      <c r="AJ28" s="403"/>
      <c r="AK28" s="450"/>
    </row>
    <row r="29" spans="1:37" ht="14.25" customHeight="1" x14ac:dyDescent="0.45">
      <c r="A29" s="618"/>
      <c r="B29" s="400"/>
      <c r="C29" s="405" t="s">
        <v>849</v>
      </c>
      <c r="D29" s="406">
        <f>SUM(D19:D28)</f>
        <v>29917.761886</v>
      </c>
      <c r="E29" s="406">
        <f>SUM(E19:E28)</f>
        <v>29559.882383</v>
      </c>
      <c r="F29" s="406">
        <f>SUM(F19:F28)</f>
        <v>25364.573064000004</v>
      </c>
      <c r="G29" s="406">
        <f>SUM(G19:G28)</f>
        <v>28440.444871</v>
      </c>
      <c r="H29" s="403"/>
      <c r="I29" s="403"/>
      <c r="J29" s="403"/>
      <c r="K29" s="403"/>
      <c r="L29" s="403"/>
      <c r="M29" s="403"/>
      <c r="N29" s="403"/>
      <c r="O29" s="403"/>
      <c r="P29" s="403"/>
      <c r="Q29" s="403"/>
      <c r="R29" s="403"/>
      <c r="S29" s="403"/>
      <c r="T29" s="403"/>
      <c r="U29" s="403"/>
      <c r="V29" s="403"/>
      <c r="W29" s="403"/>
      <c r="X29" s="403"/>
      <c r="Y29" s="403"/>
      <c r="Z29" s="403"/>
      <c r="AA29" s="403"/>
      <c r="AB29" s="403"/>
      <c r="AC29" s="403"/>
      <c r="AD29" s="403"/>
      <c r="AE29" s="403"/>
      <c r="AF29" s="403"/>
      <c r="AG29" s="403"/>
      <c r="AH29" s="403"/>
      <c r="AI29" s="403"/>
      <c r="AJ29" s="403"/>
      <c r="AK29" s="450"/>
    </row>
    <row r="30" spans="1:37" ht="14.25" customHeight="1" x14ac:dyDescent="0.45">
      <c r="A30" s="618"/>
      <c r="B30" s="400"/>
      <c r="C30" s="410"/>
      <c r="D30" s="401"/>
      <c r="E30" s="401"/>
      <c r="F30" s="401"/>
      <c r="G30" s="401"/>
      <c r="H30" s="401"/>
      <c r="I30" s="401"/>
      <c r="J30" s="401"/>
      <c r="K30" s="401"/>
      <c r="L30" s="401"/>
      <c r="M30" s="401"/>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50"/>
    </row>
    <row r="31" spans="1:37" ht="14.25" customHeight="1" x14ac:dyDescent="0.45">
      <c r="A31" s="618"/>
      <c r="B31" s="400"/>
      <c r="C31" s="404" t="s">
        <v>497</v>
      </c>
      <c r="D31" s="403"/>
      <c r="E31" s="403"/>
      <c r="F31" s="403"/>
      <c r="G31" s="403"/>
      <c r="H31" s="403"/>
      <c r="I31" s="403"/>
      <c r="J31" s="403"/>
      <c r="K31" s="403"/>
      <c r="L31" s="403"/>
      <c r="M31" s="403"/>
      <c r="N31" s="403"/>
      <c r="O31" s="403"/>
      <c r="P31" s="403"/>
      <c r="Q31" s="403"/>
      <c r="R31" s="403"/>
      <c r="S31" s="403"/>
      <c r="T31" s="403"/>
      <c r="U31" s="403"/>
      <c r="V31" s="403"/>
      <c r="W31" s="403"/>
      <c r="X31" s="403"/>
      <c r="Y31" s="403"/>
      <c r="Z31" s="403"/>
      <c r="AA31" s="403"/>
      <c r="AB31" s="403"/>
      <c r="AC31" s="403"/>
      <c r="AD31" s="403"/>
      <c r="AE31" s="403"/>
      <c r="AF31" s="403"/>
      <c r="AG31" s="403"/>
      <c r="AH31" s="403"/>
      <c r="AI31" s="403"/>
      <c r="AJ31" s="403"/>
      <c r="AK31" s="450"/>
    </row>
    <row r="32" spans="1:37" ht="14.25" customHeight="1" x14ac:dyDescent="0.45">
      <c r="A32" s="618">
        <v>1</v>
      </c>
      <c r="B32" s="400"/>
      <c r="C32" s="405" t="s">
        <v>1026</v>
      </c>
      <c r="D32" s="406">
        <v>6404.5161099999996</v>
      </c>
      <c r="E32" s="406">
        <v>6607.6360100000002</v>
      </c>
      <c r="F32" s="406">
        <v>6740.0053799999996</v>
      </c>
      <c r="G32" s="406">
        <v>6874.5846300000003</v>
      </c>
      <c r="H32" s="403"/>
      <c r="I32" s="403"/>
      <c r="J32" s="403"/>
      <c r="K32" s="403"/>
      <c r="L32" s="403"/>
      <c r="M32" s="403"/>
      <c r="N32" s="403"/>
      <c r="O32" s="403"/>
      <c r="P32" s="403"/>
      <c r="Q32" s="403"/>
      <c r="R32" s="403"/>
      <c r="S32" s="403"/>
      <c r="T32" s="403"/>
      <c r="U32" s="403"/>
      <c r="V32" s="403"/>
      <c r="W32" s="403"/>
      <c r="X32" s="403"/>
      <c r="Y32" s="403"/>
      <c r="Z32" s="403"/>
      <c r="AA32" s="403"/>
      <c r="AB32" s="403"/>
      <c r="AC32" s="403"/>
      <c r="AD32" s="403"/>
      <c r="AE32" s="403"/>
      <c r="AF32" s="403"/>
      <c r="AG32" s="403"/>
      <c r="AH32" s="403"/>
      <c r="AI32" s="403"/>
      <c r="AJ32" s="403"/>
      <c r="AK32" s="450"/>
    </row>
    <row r="33" spans="1:37" ht="14.25" customHeight="1" x14ac:dyDescent="0.45">
      <c r="A33" s="618">
        <v>1</v>
      </c>
      <c r="B33" s="400"/>
      <c r="C33" s="323" t="s">
        <v>1027</v>
      </c>
      <c r="D33" s="406">
        <v>411.79626100000002</v>
      </c>
      <c r="E33" s="406">
        <v>412.939685</v>
      </c>
      <c r="F33" s="406">
        <v>385.889725</v>
      </c>
      <c r="G33" s="406">
        <v>410.070446</v>
      </c>
      <c r="H33" s="403"/>
      <c r="I33" s="403"/>
      <c r="J33" s="403"/>
      <c r="K33" s="403"/>
      <c r="L33" s="403"/>
      <c r="M33" s="403"/>
      <c r="N33" s="403"/>
      <c r="O33" s="403"/>
      <c r="P33" s="403"/>
      <c r="Q33" s="403"/>
      <c r="R33" s="403"/>
      <c r="S33" s="403"/>
      <c r="T33" s="403"/>
      <c r="U33" s="403"/>
      <c r="V33" s="403"/>
      <c r="W33" s="403"/>
      <c r="X33" s="403"/>
      <c r="Y33" s="403"/>
      <c r="Z33" s="403"/>
      <c r="AA33" s="403"/>
      <c r="AB33" s="403"/>
      <c r="AC33" s="403"/>
      <c r="AD33" s="403"/>
      <c r="AE33" s="403"/>
      <c r="AF33" s="403"/>
      <c r="AG33" s="403"/>
      <c r="AH33" s="403"/>
      <c r="AI33" s="403"/>
      <c r="AJ33" s="403"/>
      <c r="AK33" s="450"/>
    </row>
    <row r="34" spans="1:37" ht="14.25" customHeight="1" x14ac:dyDescent="0.45">
      <c r="A34" s="618">
        <v>1</v>
      </c>
      <c r="B34" s="400"/>
      <c r="C34" s="405" t="s">
        <v>1028</v>
      </c>
      <c r="D34" s="406">
        <v>683.37323100000003</v>
      </c>
      <c r="E34" s="406">
        <v>713.90662599999996</v>
      </c>
      <c r="F34" s="406">
        <v>635.53352900000004</v>
      </c>
      <c r="G34" s="406">
        <v>710.57270600000004</v>
      </c>
      <c r="H34" s="403"/>
      <c r="I34" s="403"/>
      <c r="J34" s="403"/>
      <c r="K34" s="403"/>
      <c r="L34" s="403"/>
      <c r="M34" s="403"/>
      <c r="N34" s="403"/>
      <c r="O34" s="403"/>
      <c r="P34" s="403"/>
      <c r="Q34" s="403"/>
      <c r="R34" s="403"/>
      <c r="S34" s="403"/>
      <c r="T34" s="403"/>
      <c r="U34" s="403"/>
      <c r="V34" s="403"/>
      <c r="W34" s="403"/>
      <c r="X34" s="403"/>
      <c r="Y34" s="403"/>
      <c r="Z34" s="403"/>
      <c r="AA34" s="403"/>
      <c r="AB34" s="403"/>
      <c r="AC34" s="403"/>
      <c r="AD34" s="403"/>
      <c r="AE34" s="403"/>
      <c r="AF34" s="403"/>
      <c r="AG34" s="403"/>
      <c r="AH34" s="403"/>
      <c r="AI34" s="403"/>
      <c r="AJ34" s="403"/>
      <c r="AK34" s="450"/>
    </row>
    <row r="35" spans="1:37" ht="14.25" customHeight="1" x14ac:dyDescent="0.45">
      <c r="A35" s="618">
        <v>1</v>
      </c>
      <c r="B35" s="400"/>
      <c r="C35" s="323" t="s">
        <v>1029</v>
      </c>
      <c r="D35" s="406">
        <v>993.90595099999996</v>
      </c>
      <c r="E35" s="406">
        <v>1359.12997</v>
      </c>
      <c r="F35" s="406">
        <v>1458.27503</v>
      </c>
      <c r="G35" s="406">
        <v>1485.0539200000001</v>
      </c>
      <c r="H35" s="403"/>
      <c r="I35" s="403"/>
      <c r="J35" s="403"/>
      <c r="K35" s="403"/>
      <c r="L35" s="403"/>
      <c r="M35" s="403"/>
      <c r="N35" s="403"/>
      <c r="O35" s="403"/>
      <c r="P35" s="403"/>
      <c r="Q35" s="403"/>
      <c r="R35" s="403"/>
      <c r="S35" s="403"/>
      <c r="T35" s="403"/>
      <c r="U35" s="403"/>
      <c r="V35" s="403"/>
      <c r="W35" s="403"/>
      <c r="X35" s="403"/>
      <c r="Y35" s="403"/>
      <c r="Z35" s="403"/>
      <c r="AA35" s="403"/>
      <c r="AB35" s="403"/>
      <c r="AC35" s="403"/>
      <c r="AD35" s="403"/>
      <c r="AE35" s="403"/>
      <c r="AF35" s="403"/>
      <c r="AG35" s="403"/>
      <c r="AH35" s="403"/>
      <c r="AI35" s="403"/>
      <c r="AJ35" s="403"/>
      <c r="AK35" s="450"/>
    </row>
    <row r="36" spans="1:37" ht="14.25" customHeight="1" x14ac:dyDescent="0.45">
      <c r="A36" s="618">
        <v>1</v>
      </c>
      <c r="B36" s="400"/>
      <c r="C36" s="323" t="s">
        <v>1030</v>
      </c>
      <c r="D36" s="406">
        <v>181.26799299999999</v>
      </c>
      <c r="E36" s="406">
        <v>196.066349</v>
      </c>
      <c r="F36" s="406">
        <v>160.703935</v>
      </c>
      <c r="G36" s="406">
        <v>188.85862399999999</v>
      </c>
      <c r="H36" s="403"/>
      <c r="I36" s="403"/>
      <c r="J36" s="403"/>
      <c r="K36" s="403"/>
      <c r="L36" s="403"/>
      <c r="M36" s="403"/>
      <c r="N36" s="403"/>
      <c r="O36" s="403"/>
      <c r="P36" s="403"/>
      <c r="Q36" s="403"/>
      <c r="R36" s="403"/>
      <c r="S36" s="403"/>
      <c r="T36" s="403"/>
      <c r="U36" s="403"/>
      <c r="V36" s="403"/>
      <c r="W36" s="403"/>
      <c r="X36" s="403"/>
      <c r="Y36" s="403"/>
      <c r="Z36" s="403"/>
      <c r="AA36" s="403"/>
      <c r="AB36" s="403"/>
      <c r="AC36" s="403"/>
      <c r="AD36" s="403"/>
      <c r="AE36" s="403"/>
      <c r="AF36" s="403"/>
      <c r="AG36" s="403"/>
      <c r="AH36" s="403"/>
      <c r="AI36" s="403"/>
      <c r="AJ36" s="403"/>
      <c r="AK36" s="450"/>
    </row>
    <row r="37" spans="1:37" ht="14.25" customHeight="1" x14ac:dyDescent="0.45">
      <c r="A37" s="618">
        <v>1</v>
      </c>
      <c r="B37" s="400"/>
      <c r="C37" s="323" t="s">
        <v>1031</v>
      </c>
      <c r="D37" s="406"/>
      <c r="E37" s="406"/>
      <c r="F37" s="406"/>
      <c r="G37" s="406"/>
      <c r="H37" s="403"/>
      <c r="I37" s="403"/>
      <c r="J37" s="403"/>
      <c r="K37" s="403"/>
      <c r="L37" s="403"/>
      <c r="M37" s="403"/>
      <c r="N37" s="403"/>
      <c r="O37" s="403"/>
      <c r="P37" s="403"/>
      <c r="Q37" s="403"/>
      <c r="R37" s="403"/>
      <c r="S37" s="403"/>
      <c r="T37" s="403"/>
      <c r="U37" s="403"/>
      <c r="V37" s="403"/>
      <c r="W37" s="403"/>
      <c r="X37" s="403"/>
      <c r="Y37" s="403"/>
      <c r="Z37" s="403"/>
      <c r="AA37" s="403"/>
      <c r="AB37" s="403"/>
      <c r="AC37" s="403"/>
      <c r="AD37" s="403"/>
      <c r="AE37" s="403"/>
      <c r="AF37" s="403"/>
      <c r="AG37" s="403"/>
      <c r="AH37" s="403"/>
      <c r="AI37" s="403"/>
      <c r="AJ37" s="403"/>
      <c r="AK37" s="450"/>
    </row>
    <row r="38" spans="1:37" ht="14.25" customHeight="1" x14ac:dyDescent="0.45">
      <c r="A38" s="618"/>
      <c r="B38" s="400"/>
      <c r="C38" s="323" t="s">
        <v>396</v>
      </c>
      <c r="D38" s="406" t="s">
        <v>221</v>
      </c>
      <c r="E38" s="406" t="s">
        <v>221</v>
      </c>
      <c r="F38" s="406" t="s">
        <v>221</v>
      </c>
      <c r="G38" s="406" t="s">
        <v>221</v>
      </c>
      <c r="H38" s="403"/>
      <c r="I38" s="403"/>
      <c r="J38" s="403"/>
      <c r="K38" s="403"/>
      <c r="L38" s="403"/>
      <c r="M38" s="403"/>
      <c r="N38" s="403"/>
      <c r="O38" s="403"/>
      <c r="P38" s="403"/>
      <c r="Q38" s="403"/>
      <c r="R38" s="403"/>
      <c r="S38" s="403"/>
      <c r="T38" s="403"/>
      <c r="U38" s="403"/>
      <c r="V38" s="403"/>
      <c r="W38" s="403"/>
      <c r="X38" s="403"/>
      <c r="Y38" s="403"/>
      <c r="Z38" s="403"/>
      <c r="AA38" s="403"/>
      <c r="AB38" s="403"/>
      <c r="AC38" s="403"/>
      <c r="AD38" s="403"/>
      <c r="AE38" s="403"/>
      <c r="AF38" s="403"/>
      <c r="AG38" s="403"/>
      <c r="AH38" s="403"/>
      <c r="AI38" s="403"/>
      <c r="AJ38" s="403"/>
      <c r="AK38" s="450"/>
    </row>
    <row r="39" spans="1:37" ht="14.25" customHeight="1" x14ac:dyDescent="0.45">
      <c r="A39" s="618"/>
      <c r="B39" s="400"/>
      <c r="C39" s="323" t="s">
        <v>397</v>
      </c>
      <c r="D39" s="406">
        <v>43.73</v>
      </c>
      <c r="E39" s="406">
        <v>49.61</v>
      </c>
      <c r="F39" s="406">
        <v>54.2</v>
      </c>
      <c r="G39" s="406">
        <v>95.07</v>
      </c>
      <c r="H39" s="403"/>
      <c r="I39" s="403"/>
      <c r="J39" s="403"/>
      <c r="K39" s="403"/>
      <c r="L39" s="403"/>
      <c r="M39" s="403"/>
      <c r="N39" s="403"/>
      <c r="O39" s="403"/>
      <c r="P39" s="403"/>
      <c r="Q39" s="403"/>
      <c r="R39" s="403"/>
      <c r="S39" s="403"/>
      <c r="T39" s="403"/>
      <c r="U39" s="403"/>
      <c r="V39" s="403"/>
      <c r="W39" s="403"/>
      <c r="X39" s="403"/>
      <c r="Y39" s="403"/>
      <c r="Z39" s="403"/>
      <c r="AA39" s="403"/>
      <c r="AB39" s="403"/>
      <c r="AC39" s="403"/>
      <c r="AD39" s="403"/>
      <c r="AE39" s="403"/>
      <c r="AF39" s="403"/>
      <c r="AG39" s="403"/>
      <c r="AH39" s="403"/>
      <c r="AI39" s="403"/>
      <c r="AJ39" s="403"/>
      <c r="AK39" s="450"/>
    </row>
    <row r="40" spans="1:37" ht="14.25" customHeight="1" x14ac:dyDescent="0.45">
      <c r="A40" s="618"/>
      <c r="B40" s="400"/>
      <c r="C40" s="323" t="s">
        <v>398</v>
      </c>
      <c r="D40" s="406" t="s">
        <v>221</v>
      </c>
      <c r="E40" s="406" t="s">
        <v>221</v>
      </c>
      <c r="F40" s="406" t="s">
        <v>221</v>
      </c>
      <c r="G40" s="406" t="s">
        <v>221</v>
      </c>
      <c r="H40" s="403"/>
      <c r="I40" s="403"/>
      <c r="J40" s="403"/>
      <c r="K40" s="403"/>
      <c r="L40" s="403"/>
      <c r="M40" s="403"/>
      <c r="N40" s="403"/>
      <c r="O40" s="403"/>
      <c r="P40" s="403"/>
      <c r="Q40" s="403"/>
      <c r="R40" s="403"/>
      <c r="S40" s="403"/>
      <c r="T40" s="403"/>
      <c r="U40" s="403"/>
      <c r="V40" s="403"/>
      <c r="W40" s="403"/>
      <c r="X40" s="403"/>
      <c r="Y40" s="403"/>
      <c r="Z40" s="403"/>
      <c r="AA40" s="403"/>
      <c r="AB40" s="403"/>
      <c r="AC40" s="403"/>
      <c r="AD40" s="403"/>
      <c r="AE40" s="403"/>
      <c r="AF40" s="403"/>
      <c r="AG40" s="403"/>
      <c r="AH40" s="403"/>
      <c r="AI40" s="403"/>
      <c r="AJ40" s="403"/>
      <c r="AK40" s="450"/>
    </row>
    <row r="41" spans="1:37" ht="14.25" customHeight="1" x14ac:dyDescent="0.45">
      <c r="A41" s="618"/>
      <c r="B41" s="400"/>
      <c r="C41" s="323" t="s">
        <v>399</v>
      </c>
      <c r="D41" s="406" t="s">
        <v>221</v>
      </c>
      <c r="E41" s="406" t="s">
        <v>221</v>
      </c>
      <c r="F41" s="406" t="s">
        <v>221</v>
      </c>
      <c r="G41" s="406" t="s">
        <v>221</v>
      </c>
      <c r="H41" s="403"/>
      <c r="I41" s="403"/>
      <c r="J41" s="403"/>
      <c r="K41" s="403"/>
      <c r="L41" s="403"/>
      <c r="M41" s="403"/>
      <c r="N41" s="403"/>
      <c r="O41" s="403"/>
      <c r="P41" s="403"/>
      <c r="Q41" s="403"/>
      <c r="R41" s="403"/>
      <c r="S41" s="403"/>
      <c r="T41" s="403"/>
      <c r="U41" s="403"/>
      <c r="V41" s="403"/>
      <c r="W41" s="403"/>
      <c r="X41" s="403"/>
      <c r="Y41" s="403"/>
      <c r="Z41" s="403"/>
      <c r="AA41" s="403"/>
      <c r="AB41" s="403"/>
      <c r="AC41" s="403"/>
      <c r="AD41" s="403"/>
      <c r="AE41" s="403"/>
      <c r="AF41" s="403"/>
      <c r="AG41" s="403"/>
      <c r="AH41" s="403"/>
      <c r="AI41" s="403"/>
      <c r="AJ41" s="403"/>
      <c r="AK41" s="450"/>
    </row>
    <row r="42" spans="1:37" ht="14.25" customHeight="1" x14ac:dyDescent="0.45">
      <c r="A42" s="618"/>
      <c r="B42" s="400"/>
      <c r="C42" s="405" t="s">
        <v>849</v>
      </c>
      <c r="D42" s="406">
        <f>SUM(D32:D41)</f>
        <v>8718.5895459999992</v>
      </c>
      <c r="E42" s="406">
        <f>SUM(E32:E41)</f>
        <v>9339.2886400000025</v>
      </c>
      <c r="F42" s="406">
        <f>SUM(F32:F41)</f>
        <v>9434.6075990000008</v>
      </c>
      <c r="G42" s="406">
        <f>SUM(G32:G41)</f>
        <v>9764.2103260000004</v>
      </c>
      <c r="H42" s="403"/>
      <c r="I42" s="403"/>
      <c r="J42" s="403"/>
      <c r="K42" s="403"/>
      <c r="L42" s="403"/>
      <c r="M42" s="403"/>
      <c r="N42" s="403"/>
      <c r="O42" s="403"/>
      <c r="P42" s="403"/>
      <c r="Q42" s="403"/>
      <c r="R42" s="403"/>
      <c r="S42" s="403"/>
      <c r="T42" s="403"/>
      <c r="U42" s="403"/>
      <c r="V42" s="403"/>
      <c r="W42" s="403"/>
      <c r="X42" s="403"/>
      <c r="Y42" s="403"/>
      <c r="Z42" s="403"/>
      <c r="AA42" s="403"/>
      <c r="AB42" s="403"/>
      <c r="AC42" s="403"/>
      <c r="AD42" s="403"/>
      <c r="AE42" s="403"/>
      <c r="AF42" s="403"/>
      <c r="AG42" s="403"/>
      <c r="AH42" s="403"/>
      <c r="AI42" s="403"/>
      <c r="AJ42" s="403"/>
      <c r="AK42" s="450"/>
    </row>
    <row r="43" spans="1:37" ht="14.25" customHeight="1" x14ac:dyDescent="0.45">
      <c r="A43" s="618"/>
      <c r="B43" s="400"/>
      <c r="C43" s="410"/>
      <c r="D43" s="401"/>
      <c r="E43" s="401"/>
      <c r="F43" s="401"/>
      <c r="G43" s="401"/>
      <c r="H43" s="401"/>
      <c r="I43" s="401"/>
      <c r="J43" s="401"/>
      <c r="K43" s="401"/>
      <c r="L43" s="401"/>
      <c r="M43" s="401"/>
      <c r="N43" s="401"/>
      <c r="O43" s="401"/>
      <c r="P43" s="401"/>
      <c r="Q43" s="401"/>
      <c r="R43" s="401"/>
      <c r="S43" s="401"/>
      <c r="T43" s="401"/>
      <c r="U43" s="401"/>
      <c r="V43" s="401"/>
      <c r="W43" s="401"/>
      <c r="X43" s="401"/>
      <c r="Y43" s="401"/>
      <c r="Z43" s="401"/>
      <c r="AA43" s="401"/>
      <c r="AB43" s="401"/>
      <c r="AC43" s="401"/>
      <c r="AD43" s="401"/>
      <c r="AE43" s="401"/>
      <c r="AF43" s="401"/>
      <c r="AG43" s="401"/>
      <c r="AH43" s="401"/>
      <c r="AI43" s="401"/>
      <c r="AJ43" s="401"/>
      <c r="AK43" s="450"/>
    </row>
    <row r="44" spans="1:37" ht="14.25" customHeight="1" x14ac:dyDescent="0.45">
      <c r="A44" s="618"/>
      <c r="B44" s="400"/>
      <c r="C44" s="404" t="s">
        <v>504</v>
      </c>
      <c r="D44" s="403"/>
      <c r="E44" s="403"/>
      <c r="F44" s="403"/>
      <c r="G44" s="403"/>
      <c r="H44" s="403"/>
      <c r="I44" s="403"/>
      <c r="J44" s="403"/>
      <c r="K44" s="403"/>
      <c r="L44" s="403"/>
      <c r="M44" s="403"/>
      <c r="N44" s="403"/>
      <c r="O44" s="403"/>
      <c r="P44" s="403"/>
      <c r="Q44" s="403"/>
      <c r="R44" s="403"/>
      <c r="S44" s="403"/>
      <c r="T44" s="403"/>
      <c r="U44" s="403"/>
      <c r="V44" s="403"/>
      <c r="W44" s="403"/>
      <c r="X44" s="403"/>
      <c r="Y44" s="403"/>
      <c r="Z44" s="403"/>
      <c r="AA44" s="403"/>
      <c r="AB44" s="403"/>
      <c r="AC44" s="403"/>
      <c r="AD44" s="403"/>
      <c r="AE44" s="403"/>
      <c r="AF44" s="403"/>
      <c r="AG44" s="403"/>
      <c r="AH44" s="403"/>
      <c r="AI44" s="403"/>
      <c r="AJ44" s="403"/>
      <c r="AK44" s="450"/>
    </row>
    <row r="45" spans="1:37" ht="14.25" customHeight="1" x14ac:dyDescent="0.45">
      <c r="A45" s="618">
        <v>1</v>
      </c>
      <c r="B45" s="400"/>
      <c r="C45" s="405" t="s">
        <v>1026</v>
      </c>
      <c r="D45" s="413" t="s">
        <v>221</v>
      </c>
      <c r="E45" s="413" t="s">
        <v>221</v>
      </c>
      <c r="F45" s="413" t="s">
        <v>221</v>
      </c>
      <c r="G45" s="413" t="s">
        <v>221</v>
      </c>
      <c r="H45" s="403"/>
      <c r="I45" s="403"/>
      <c r="J45" s="403"/>
      <c r="K45" s="403"/>
      <c r="L45" s="403"/>
      <c r="M45" s="403"/>
      <c r="N45" s="403"/>
      <c r="O45" s="403"/>
      <c r="P45" s="403"/>
      <c r="Q45" s="403"/>
      <c r="R45" s="403"/>
      <c r="S45" s="403"/>
      <c r="T45" s="403"/>
      <c r="U45" s="403"/>
      <c r="V45" s="403"/>
      <c r="W45" s="403"/>
      <c r="X45" s="403"/>
      <c r="Y45" s="403"/>
      <c r="Z45" s="403"/>
      <c r="AA45" s="403"/>
      <c r="AB45" s="403"/>
      <c r="AC45" s="403"/>
      <c r="AD45" s="403"/>
      <c r="AE45" s="403"/>
      <c r="AF45" s="403"/>
      <c r="AG45" s="403"/>
      <c r="AH45" s="403"/>
      <c r="AI45" s="403"/>
      <c r="AJ45" s="403"/>
      <c r="AK45" s="450"/>
    </row>
    <row r="46" spans="1:37" ht="14.25" customHeight="1" x14ac:dyDescent="0.45">
      <c r="A46" s="618">
        <v>1</v>
      </c>
      <c r="B46" s="400"/>
      <c r="C46" s="323" t="s">
        <v>1027</v>
      </c>
      <c r="D46" s="413" t="s">
        <v>221</v>
      </c>
      <c r="E46" s="413" t="s">
        <v>221</v>
      </c>
      <c r="F46" s="413" t="s">
        <v>221</v>
      </c>
      <c r="G46" s="413" t="s">
        <v>221</v>
      </c>
      <c r="H46" s="403"/>
      <c r="I46" s="403"/>
      <c r="J46" s="403"/>
      <c r="K46" s="403"/>
      <c r="L46" s="403"/>
      <c r="M46" s="403"/>
      <c r="N46" s="403"/>
      <c r="O46" s="403"/>
      <c r="P46" s="403"/>
      <c r="Q46" s="403"/>
      <c r="R46" s="403"/>
      <c r="S46" s="403"/>
      <c r="T46" s="403"/>
      <c r="U46" s="403"/>
      <c r="V46" s="403"/>
      <c r="W46" s="403"/>
      <c r="X46" s="403"/>
      <c r="Y46" s="403"/>
      <c r="Z46" s="403"/>
      <c r="AA46" s="403"/>
      <c r="AB46" s="403"/>
      <c r="AC46" s="403"/>
      <c r="AD46" s="403"/>
      <c r="AE46" s="403"/>
      <c r="AF46" s="403"/>
      <c r="AG46" s="403"/>
      <c r="AH46" s="403"/>
      <c r="AI46" s="403"/>
      <c r="AJ46" s="403"/>
      <c r="AK46" s="450"/>
    </row>
    <row r="47" spans="1:37" ht="14.25" customHeight="1" x14ac:dyDescent="0.45">
      <c r="A47" s="618">
        <v>1</v>
      </c>
      <c r="B47" s="400"/>
      <c r="C47" s="405" t="s">
        <v>1028</v>
      </c>
      <c r="D47" s="413" t="s">
        <v>221</v>
      </c>
      <c r="E47" s="413" t="s">
        <v>221</v>
      </c>
      <c r="F47" s="413" t="s">
        <v>221</v>
      </c>
      <c r="G47" s="413" t="s">
        <v>221</v>
      </c>
      <c r="H47" s="403"/>
      <c r="I47" s="403"/>
      <c r="J47" s="403"/>
      <c r="K47" s="403"/>
      <c r="L47" s="403"/>
      <c r="M47" s="403"/>
      <c r="N47" s="403"/>
      <c r="O47" s="403"/>
      <c r="P47" s="403"/>
      <c r="Q47" s="403"/>
      <c r="R47" s="403"/>
      <c r="S47" s="403"/>
      <c r="T47" s="403"/>
      <c r="U47" s="403"/>
      <c r="V47" s="403"/>
      <c r="W47" s="403"/>
      <c r="X47" s="403"/>
      <c r="Y47" s="403"/>
      <c r="Z47" s="403"/>
      <c r="AA47" s="403"/>
      <c r="AB47" s="403"/>
      <c r="AC47" s="403"/>
      <c r="AD47" s="403"/>
      <c r="AE47" s="403"/>
      <c r="AF47" s="403"/>
      <c r="AG47" s="403"/>
      <c r="AH47" s="403"/>
      <c r="AI47" s="403"/>
      <c r="AJ47" s="403"/>
      <c r="AK47" s="450"/>
    </row>
    <row r="48" spans="1:37" ht="14.25" customHeight="1" x14ac:dyDescent="0.45">
      <c r="A48" s="618">
        <v>1</v>
      </c>
      <c r="B48" s="400"/>
      <c r="C48" s="323" t="s">
        <v>1029</v>
      </c>
      <c r="D48" s="406">
        <v>235.673304</v>
      </c>
      <c r="E48" s="406">
        <v>180.905754</v>
      </c>
      <c r="F48" s="406">
        <v>275.52083299999998</v>
      </c>
      <c r="G48" s="406">
        <v>315.60652199999998</v>
      </c>
      <c r="H48" s="403"/>
      <c r="I48" s="403"/>
      <c r="J48" s="403"/>
      <c r="K48" s="403"/>
      <c r="L48" s="403"/>
      <c r="M48" s="403"/>
      <c r="N48" s="403"/>
      <c r="O48" s="403"/>
      <c r="P48" s="403"/>
      <c r="Q48" s="403"/>
      <c r="R48" s="403"/>
      <c r="S48" s="403"/>
      <c r="T48" s="403"/>
      <c r="U48" s="403"/>
      <c r="V48" s="403"/>
      <c r="W48" s="403"/>
      <c r="X48" s="403"/>
      <c r="Y48" s="403"/>
      <c r="Z48" s="403"/>
      <c r="AA48" s="403"/>
      <c r="AB48" s="403"/>
      <c r="AC48" s="403"/>
      <c r="AD48" s="403"/>
      <c r="AE48" s="403"/>
      <c r="AF48" s="403"/>
      <c r="AG48" s="403"/>
      <c r="AH48" s="403"/>
      <c r="AI48" s="403"/>
      <c r="AJ48" s="403"/>
      <c r="AK48" s="450"/>
    </row>
    <row r="49" spans="1:37" ht="14.25" customHeight="1" x14ac:dyDescent="0.45">
      <c r="A49" s="618">
        <v>1</v>
      </c>
      <c r="B49" s="400"/>
      <c r="C49" s="323" t="s">
        <v>1030</v>
      </c>
      <c r="D49" s="413" t="s">
        <v>221</v>
      </c>
      <c r="E49" s="413" t="s">
        <v>221</v>
      </c>
      <c r="F49" s="413" t="s">
        <v>221</v>
      </c>
      <c r="G49" s="413" t="s">
        <v>221</v>
      </c>
      <c r="H49" s="403"/>
      <c r="I49" s="403"/>
      <c r="J49" s="403"/>
      <c r="K49" s="403"/>
      <c r="L49" s="403"/>
      <c r="M49" s="403"/>
      <c r="N49" s="403"/>
      <c r="O49" s="403"/>
      <c r="P49" s="403"/>
      <c r="Q49" s="403"/>
      <c r="R49" s="403"/>
      <c r="S49" s="403"/>
      <c r="T49" s="403"/>
      <c r="U49" s="403"/>
      <c r="V49" s="403"/>
      <c r="W49" s="403"/>
      <c r="X49" s="403"/>
      <c r="Y49" s="403"/>
      <c r="Z49" s="403"/>
      <c r="AA49" s="403"/>
      <c r="AB49" s="403"/>
      <c r="AC49" s="403"/>
      <c r="AD49" s="403"/>
      <c r="AE49" s="403"/>
      <c r="AF49" s="403"/>
      <c r="AG49" s="403"/>
      <c r="AH49" s="403"/>
      <c r="AI49" s="403"/>
      <c r="AJ49" s="403"/>
      <c r="AK49" s="450"/>
    </row>
    <row r="50" spans="1:37" ht="14.25" customHeight="1" x14ac:dyDescent="0.45">
      <c r="A50" s="618">
        <v>1</v>
      </c>
      <c r="B50" s="400"/>
      <c r="C50" s="323" t="s">
        <v>1031</v>
      </c>
      <c r="D50" s="406"/>
      <c r="E50" s="406"/>
      <c r="F50" s="406"/>
      <c r="G50" s="406"/>
      <c r="H50" s="403"/>
      <c r="I50" s="403"/>
      <c r="J50" s="403"/>
      <c r="K50" s="403"/>
      <c r="L50" s="403"/>
      <c r="M50" s="403"/>
      <c r="N50" s="403"/>
      <c r="O50" s="403"/>
      <c r="P50" s="403"/>
      <c r="Q50" s="403"/>
      <c r="R50" s="403"/>
      <c r="S50" s="403"/>
      <c r="T50" s="403"/>
      <c r="U50" s="403"/>
      <c r="V50" s="403"/>
      <c r="W50" s="403"/>
      <c r="X50" s="403"/>
      <c r="Y50" s="403"/>
      <c r="Z50" s="403"/>
      <c r="AA50" s="403"/>
      <c r="AB50" s="403"/>
      <c r="AC50" s="403"/>
      <c r="AD50" s="403"/>
      <c r="AE50" s="403"/>
      <c r="AF50" s="403"/>
      <c r="AG50" s="403"/>
      <c r="AH50" s="403"/>
      <c r="AI50" s="403"/>
      <c r="AJ50" s="403"/>
      <c r="AK50" s="450"/>
    </row>
    <row r="51" spans="1:37" ht="14.25" customHeight="1" x14ac:dyDescent="0.45">
      <c r="A51" s="618"/>
      <c r="B51" s="400"/>
      <c r="C51" s="323" t="s">
        <v>396</v>
      </c>
      <c r="D51" s="406" t="s">
        <v>221</v>
      </c>
      <c r="E51" s="406" t="s">
        <v>221</v>
      </c>
      <c r="F51" s="406" t="s">
        <v>221</v>
      </c>
      <c r="G51" s="406" t="s">
        <v>221</v>
      </c>
      <c r="H51" s="403"/>
      <c r="I51" s="403"/>
      <c r="J51" s="403"/>
      <c r="K51" s="403"/>
      <c r="L51" s="403"/>
      <c r="M51" s="403"/>
      <c r="N51" s="403"/>
      <c r="O51" s="403"/>
      <c r="P51" s="403"/>
      <c r="Q51" s="403"/>
      <c r="R51" s="403"/>
      <c r="S51" s="403"/>
      <c r="T51" s="403"/>
      <c r="U51" s="403"/>
      <c r="V51" s="403"/>
      <c r="W51" s="403"/>
      <c r="X51" s="403"/>
      <c r="Y51" s="403"/>
      <c r="Z51" s="403"/>
      <c r="AA51" s="403"/>
      <c r="AB51" s="403"/>
      <c r="AC51" s="403"/>
      <c r="AD51" s="403"/>
      <c r="AE51" s="403"/>
      <c r="AF51" s="403"/>
      <c r="AG51" s="403"/>
      <c r="AH51" s="403"/>
      <c r="AI51" s="403"/>
      <c r="AJ51" s="403"/>
      <c r="AK51" s="450"/>
    </row>
    <row r="52" spans="1:37" ht="14.25" customHeight="1" x14ac:dyDescent="0.45">
      <c r="A52" s="618"/>
      <c r="B52" s="400"/>
      <c r="C52" s="323" t="s">
        <v>397</v>
      </c>
      <c r="D52" s="406" t="s">
        <v>221</v>
      </c>
      <c r="E52" s="406" t="s">
        <v>221</v>
      </c>
      <c r="F52" s="406" t="s">
        <v>221</v>
      </c>
      <c r="G52" s="406" t="s">
        <v>221</v>
      </c>
      <c r="H52" s="403"/>
      <c r="I52" s="403"/>
      <c r="J52" s="403"/>
      <c r="K52" s="403"/>
      <c r="L52" s="403"/>
      <c r="M52" s="403"/>
      <c r="N52" s="403"/>
      <c r="O52" s="403"/>
      <c r="P52" s="403"/>
      <c r="Q52" s="403"/>
      <c r="R52" s="403"/>
      <c r="S52" s="403"/>
      <c r="T52" s="403"/>
      <c r="U52" s="403"/>
      <c r="V52" s="403"/>
      <c r="W52" s="403"/>
      <c r="X52" s="403"/>
      <c r="Y52" s="403"/>
      <c r="Z52" s="403"/>
      <c r="AA52" s="403"/>
      <c r="AB52" s="403"/>
      <c r="AC52" s="403"/>
      <c r="AD52" s="403"/>
      <c r="AE52" s="403"/>
      <c r="AF52" s="403"/>
      <c r="AG52" s="403"/>
      <c r="AH52" s="403"/>
      <c r="AI52" s="403"/>
      <c r="AJ52" s="403"/>
      <c r="AK52" s="450"/>
    </row>
    <row r="53" spans="1:37" ht="14.25" customHeight="1" x14ac:dyDescent="0.45">
      <c r="A53" s="618"/>
      <c r="B53" s="400"/>
      <c r="C53" s="323" t="s">
        <v>398</v>
      </c>
      <c r="D53" s="406" t="s">
        <v>221</v>
      </c>
      <c r="E53" s="406" t="s">
        <v>221</v>
      </c>
      <c r="F53" s="406" t="s">
        <v>221</v>
      </c>
      <c r="G53" s="406" t="s">
        <v>221</v>
      </c>
      <c r="H53" s="403"/>
      <c r="I53" s="403"/>
      <c r="J53" s="403"/>
      <c r="K53" s="403"/>
      <c r="L53" s="403"/>
      <c r="M53" s="403"/>
      <c r="N53" s="403"/>
      <c r="O53" s="403"/>
      <c r="P53" s="403"/>
      <c r="Q53" s="403"/>
      <c r="R53" s="403"/>
      <c r="S53" s="403"/>
      <c r="T53" s="403"/>
      <c r="U53" s="403"/>
      <c r="V53" s="403"/>
      <c r="W53" s="403"/>
      <c r="X53" s="403"/>
      <c r="Y53" s="403"/>
      <c r="Z53" s="403"/>
      <c r="AA53" s="403"/>
      <c r="AB53" s="403"/>
      <c r="AC53" s="403"/>
      <c r="AD53" s="403"/>
      <c r="AE53" s="403"/>
      <c r="AF53" s="403"/>
      <c r="AG53" s="403"/>
      <c r="AH53" s="403"/>
      <c r="AI53" s="403"/>
      <c r="AJ53" s="403"/>
      <c r="AK53" s="450"/>
    </row>
    <row r="54" spans="1:37" ht="14.25" customHeight="1" x14ac:dyDescent="0.45">
      <c r="A54" s="618"/>
      <c r="B54" s="400"/>
      <c r="C54" s="323" t="s">
        <v>399</v>
      </c>
      <c r="D54" s="406">
        <v>659.35</v>
      </c>
      <c r="E54" s="406">
        <v>662.92</v>
      </c>
      <c r="F54" s="406">
        <v>299.91000000000003</v>
      </c>
      <c r="G54" s="406">
        <v>407.31</v>
      </c>
      <c r="H54" s="403"/>
      <c r="I54" s="403"/>
      <c r="J54" s="403"/>
      <c r="K54" s="403"/>
      <c r="L54" s="403"/>
      <c r="M54" s="403"/>
      <c r="N54" s="403"/>
      <c r="O54" s="403"/>
      <c r="P54" s="403"/>
      <c r="Q54" s="403"/>
      <c r="R54" s="403"/>
      <c r="S54" s="403"/>
      <c r="T54" s="403"/>
      <c r="U54" s="403"/>
      <c r="V54" s="403"/>
      <c r="W54" s="403"/>
      <c r="X54" s="403"/>
      <c r="Y54" s="403"/>
      <c r="Z54" s="403"/>
      <c r="AA54" s="403"/>
      <c r="AB54" s="403"/>
      <c r="AC54" s="403"/>
      <c r="AD54" s="403"/>
      <c r="AE54" s="403"/>
      <c r="AF54" s="403"/>
      <c r="AG54" s="403"/>
      <c r="AH54" s="403"/>
      <c r="AI54" s="403"/>
      <c r="AJ54" s="403"/>
      <c r="AK54" s="450"/>
    </row>
    <row r="55" spans="1:37" ht="14.25" customHeight="1" x14ac:dyDescent="0.45">
      <c r="A55" s="618"/>
      <c r="B55" s="400"/>
      <c r="C55" s="405" t="s">
        <v>849</v>
      </c>
      <c r="D55" s="406">
        <f>SUM(D45:D54)</f>
        <v>895.02330400000005</v>
      </c>
      <c r="E55" s="406">
        <f>SUM(E45:E54)</f>
        <v>843.82575399999996</v>
      </c>
      <c r="F55" s="406">
        <f>SUM(F45:F54)</f>
        <v>575.43083300000001</v>
      </c>
      <c r="G55" s="406">
        <f>SUM(G45:G54)</f>
        <v>722.91652199999999</v>
      </c>
      <c r="H55" s="403"/>
      <c r="I55" s="403"/>
      <c r="J55" s="403"/>
      <c r="K55" s="403"/>
      <c r="L55" s="403"/>
      <c r="M55" s="403"/>
      <c r="N55" s="403"/>
      <c r="O55" s="403"/>
      <c r="P55" s="403"/>
      <c r="Q55" s="403"/>
      <c r="R55" s="403"/>
      <c r="S55" s="403"/>
      <c r="T55" s="403"/>
      <c r="U55" s="403"/>
      <c r="V55" s="403"/>
      <c r="W55" s="403"/>
      <c r="X55" s="403"/>
      <c r="Y55" s="403"/>
      <c r="Z55" s="403"/>
      <c r="AA55" s="403"/>
      <c r="AB55" s="403"/>
      <c r="AC55" s="403"/>
      <c r="AD55" s="403"/>
      <c r="AE55" s="403"/>
      <c r="AF55" s="403"/>
      <c r="AG55" s="403"/>
      <c r="AH55" s="403"/>
      <c r="AI55" s="403"/>
      <c r="AJ55" s="403"/>
      <c r="AK55" s="450"/>
    </row>
    <row r="56" spans="1:37" ht="14.25" customHeight="1" x14ac:dyDescent="0.45">
      <c r="A56" s="618"/>
      <c r="B56" s="400"/>
      <c r="C56" s="410"/>
      <c r="D56" s="401"/>
      <c r="E56" s="401"/>
      <c r="F56" s="401"/>
      <c r="G56" s="401"/>
      <c r="H56" s="401"/>
      <c r="I56" s="401"/>
      <c r="J56" s="401"/>
      <c r="K56" s="401"/>
      <c r="L56" s="401"/>
      <c r="M56" s="401"/>
      <c r="N56" s="401"/>
      <c r="O56" s="401"/>
      <c r="P56" s="401"/>
      <c r="Q56" s="401"/>
      <c r="R56" s="401"/>
      <c r="S56" s="401"/>
      <c r="T56" s="401"/>
      <c r="U56" s="401"/>
      <c r="V56" s="401"/>
      <c r="W56" s="401"/>
      <c r="X56" s="401"/>
      <c r="Y56" s="401"/>
      <c r="Z56" s="401"/>
      <c r="AA56" s="401"/>
      <c r="AB56" s="401"/>
      <c r="AC56" s="401"/>
      <c r="AD56" s="401"/>
      <c r="AE56" s="401"/>
      <c r="AF56" s="401"/>
      <c r="AG56" s="401"/>
      <c r="AH56" s="401"/>
      <c r="AI56" s="401"/>
      <c r="AJ56" s="401"/>
      <c r="AK56" s="450"/>
    </row>
    <row r="57" spans="1:37" ht="14.25" customHeight="1" x14ac:dyDescent="0.45">
      <c r="A57" s="618"/>
      <c r="B57" s="400"/>
      <c r="C57" s="404" t="s">
        <v>507</v>
      </c>
      <c r="D57" s="403"/>
      <c r="E57" s="403"/>
      <c r="F57" s="403"/>
      <c r="G57" s="403"/>
      <c r="H57" s="403"/>
      <c r="I57" s="403"/>
      <c r="J57" s="403"/>
      <c r="K57" s="403"/>
      <c r="L57" s="403"/>
      <c r="M57" s="403"/>
      <c r="N57" s="403"/>
      <c r="O57" s="403"/>
      <c r="P57" s="403"/>
      <c r="Q57" s="403"/>
      <c r="R57" s="403"/>
      <c r="S57" s="403"/>
      <c r="T57" s="403"/>
      <c r="U57" s="403"/>
      <c r="V57" s="403"/>
      <c r="W57" s="403"/>
      <c r="X57" s="403"/>
      <c r="Y57" s="403"/>
      <c r="Z57" s="403"/>
      <c r="AA57" s="403"/>
      <c r="AB57" s="403"/>
      <c r="AC57" s="403"/>
      <c r="AD57" s="403"/>
      <c r="AE57" s="403"/>
      <c r="AF57" s="403"/>
      <c r="AG57" s="403"/>
      <c r="AH57" s="403"/>
      <c r="AI57" s="403"/>
      <c r="AJ57" s="403"/>
      <c r="AK57" s="450"/>
    </row>
    <row r="58" spans="1:37" ht="14.25" customHeight="1" x14ac:dyDescent="0.45">
      <c r="A58" s="618">
        <v>1</v>
      </c>
      <c r="B58" s="400"/>
      <c r="C58" s="405" t="s">
        <v>1026</v>
      </c>
      <c r="D58" s="406" t="s">
        <v>221</v>
      </c>
      <c r="E58" s="406" t="s">
        <v>221</v>
      </c>
      <c r="F58" s="406" t="s">
        <v>221</v>
      </c>
      <c r="G58" s="406" t="s">
        <v>221</v>
      </c>
      <c r="H58" s="403"/>
      <c r="I58" s="403"/>
      <c r="J58" s="403"/>
      <c r="K58" s="403"/>
      <c r="L58" s="403"/>
      <c r="M58" s="403"/>
      <c r="N58" s="403"/>
      <c r="O58" s="403"/>
      <c r="P58" s="403"/>
      <c r="Q58" s="403"/>
      <c r="R58" s="403"/>
      <c r="S58" s="403"/>
      <c r="T58" s="403"/>
      <c r="U58" s="403"/>
      <c r="V58" s="403"/>
      <c r="W58" s="403"/>
      <c r="X58" s="403"/>
      <c r="Y58" s="403"/>
      <c r="Z58" s="403"/>
      <c r="AA58" s="403"/>
      <c r="AB58" s="403"/>
      <c r="AC58" s="403"/>
      <c r="AD58" s="403"/>
      <c r="AE58" s="403"/>
      <c r="AF58" s="403"/>
      <c r="AG58" s="403"/>
      <c r="AH58" s="403"/>
      <c r="AI58" s="403"/>
      <c r="AJ58" s="403"/>
      <c r="AK58" s="450"/>
    </row>
    <row r="59" spans="1:37" ht="14.25" customHeight="1" x14ac:dyDescent="0.45">
      <c r="A59" s="618">
        <v>1</v>
      </c>
      <c r="B59" s="400"/>
      <c r="C59" s="323" t="s">
        <v>1027</v>
      </c>
      <c r="D59" s="406">
        <v>47.280129100000003</v>
      </c>
      <c r="E59" s="406">
        <v>48.661400800000003</v>
      </c>
      <c r="F59" s="406">
        <v>46.465556599999999</v>
      </c>
      <c r="G59" s="406">
        <v>54.233958199999996</v>
      </c>
      <c r="H59" s="403"/>
      <c r="I59" s="403"/>
      <c r="J59" s="403"/>
      <c r="K59" s="403"/>
      <c r="L59" s="403"/>
      <c r="M59" s="403"/>
      <c r="N59" s="403"/>
      <c r="O59" s="403"/>
      <c r="P59" s="403"/>
      <c r="Q59" s="403"/>
      <c r="R59" s="403"/>
      <c r="S59" s="403"/>
      <c r="T59" s="403"/>
      <c r="U59" s="403"/>
      <c r="V59" s="403"/>
      <c r="W59" s="403"/>
      <c r="X59" s="403"/>
      <c r="Y59" s="403"/>
      <c r="Z59" s="403"/>
      <c r="AA59" s="403"/>
      <c r="AB59" s="403"/>
      <c r="AC59" s="403"/>
      <c r="AD59" s="403"/>
      <c r="AE59" s="403"/>
      <c r="AF59" s="403"/>
      <c r="AG59" s="403"/>
      <c r="AH59" s="403"/>
      <c r="AI59" s="403"/>
      <c r="AJ59" s="403"/>
      <c r="AK59" s="450"/>
    </row>
    <row r="60" spans="1:37" ht="14.25" customHeight="1" x14ac:dyDescent="0.45">
      <c r="A60" s="618">
        <v>1</v>
      </c>
      <c r="B60" s="400"/>
      <c r="C60" s="405" t="s">
        <v>1028</v>
      </c>
      <c r="D60" s="406">
        <v>1629.3201899999999</v>
      </c>
      <c r="E60" s="406">
        <v>1676.92019</v>
      </c>
      <c r="F60" s="406">
        <v>1601.2492199999999</v>
      </c>
      <c r="G60" s="406">
        <v>1868.95605</v>
      </c>
      <c r="H60" s="403"/>
      <c r="I60" s="403"/>
      <c r="J60" s="403"/>
      <c r="K60" s="403"/>
      <c r="L60" s="403"/>
      <c r="M60" s="403"/>
      <c r="N60" s="403"/>
      <c r="O60" s="403"/>
      <c r="P60" s="403"/>
      <c r="Q60" s="403"/>
      <c r="R60" s="403"/>
      <c r="S60" s="403"/>
      <c r="T60" s="403"/>
      <c r="U60" s="403"/>
      <c r="V60" s="403"/>
      <c r="W60" s="403"/>
      <c r="X60" s="403"/>
      <c r="Y60" s="403"/>
      <c r="Z60" s="403"/>
      <c r="AA60" s="403"/>
      <c r="AB60" s="403"/>
      <c r="AC60" s="403"/>
      <c r="AD60" s="403"/>
      <c r="AE60" s="403"/>
      <c r="AF60" s="403"/>
      <c r="AG60" s="403"/>
      <c r="AH60" s="403"/>
      <c r="AI60" s="403"/>
      <c r="AJ60" s="403"/>
      <c r="AK60" s="450"/>
    </row>
    <row r="61" spans="1:37" ht="14.25" customHeight="1" x14ac:dyDescent="0.45">
      <c r="A61" s="618">
        <v>1</v>
      </c>
      <c r="B61" s="400"/>
      <c r="C61" s="323" t="s">
        <v>1029</v>
      </c>
      <c r="D61" s="406" t="s">
        <v>221</v>
      </c>
      <c r="E61" s="406" t="s">
        <v>221</v>
      </c>
      <c r="F61" s="406" t="s">
        <v>221</v>
      </c>
      <c r="G61" s="406" t="s">
        <v>221</v>
      </c>
      <c r="H61" s="403"/>
      <c r="I61" s="403"/>
      <c r="J61" s="403"/>
      <c r="K61" s="403"/>
      <c r="L61" s="403"/>
      <c r="M61" s="403"/>
      <c r="N61" s="403"/>
      <c r="O61" s="403"/>
      <c r="P61" s="403"/>
      <c r="Q61" s="403"/>
      <c r="R61" s="403"/>
      <c r="S61" s="403"/>
      <c r="T61" s="403"/>
      <c r="U61" s="403"/>
      <c r="V61" s="403"/>
      <c r="W61" s="403"/>
      <c r="X61" s="403"/>
      <c r="Y61" s="403"/>
      <c r="Z61" s="403"/>
      <c r="AA61" s="403"/>
      <c r="AB61" s="403"/>
      <c r="AC61" s="403"/>
      <c r="AD61" s="403"/>
      <c r="AE61" s="403"/>
      <c r="AF61" s="403"/>
      <c r="AG61" s="403"/>
      <c r="AH61" s="403"/>
      <c r="AI61" s="403"/>
      <c r="AJ61" s="403"/>
      <c r="AK61" s="450"/>
    </row>
    <row r="62" spans="1:37" ht="14.25" customHeight="1" x14ac:dyDescent="0.45">
      <c r="A62" s="618">
        <v>1</v>
      </c>
      <c r="B62" s="400"/>
      <c r="C62" s="323" t="s">
        <v>1030</v>
      </c>
      <c r="D62" s="406" t="s">
        <v>221</v>
      </c>
      <c r="E62" s="406" t="s">
        <v>221</v>
      </c>
      <c r="F62" s="406" t="s">
        <v>221</v>
      </c>
      <c r="G62" s="406" t="s">
        <v>221</v>
      </c>
      <c r="H62" s="403"/>
      <c r="I62" s="403"/>
      <c r="J62" s="403"/>
      <c r="K62" s="403"/>
      <c r="L62" s="403"/>
      <c r="M62" s="403"/>
      <c r="N62" s="403"/>
      <c r="O62" s="403"/>
      <c r="P62" s="403"/>
      <c r="Q62" s="403"/>
      <c r="R62" s="403"/>
      <c r="S62" s="403"/>
      <c r="T62" s="403"/>
      <c r="U62" s="403"/>
      <c r="V62" s="403"/>
      <c r="W62" s="403"/>
      <c r="X62" s="403"/>
      <c r="Y62" s="403"/>
      <c r="Z62" s="403"/>
      <c r="AA62" s="403"/>
      <c r="AB62" s="403"/>
      <c r="AC62" s="403"/>
      <c r="AD62" s="403"/>
      <c r="AE62" s="403"/>
      <c r="AF62" s="403"/>
      <c r="AG62" s="403"/>
      <c r="AH62" s="403"/>
      <c r="AI62" s="403"/>
      <c r="AJ62" s="403"/>
      <c r="AK62" s="450"/>
    </row>
    <row r="63" spans="1:37" ht="14.25" customHeight="1" x14ac:dyDescent="0.45">
      <c r="A63" s="618">
        <v>1</v>
      </c>
      <c r="B63" s="400"/>
      <c r="C63" s="323" t="s">
        <v>1031</v>
      </c>
      <c r="D63" s="406"/>
      <c r="E63" s="406"/>
      <c r="F63" s="406"/>
      <c r="G63" s="403"/>
      <c r="H63" s="403"/>
      <c r="I63" s="403"/>
      <c r="J63" s="403"/>
      <c r="K63" s="403"/>
      <c r="L63" s="403"/>
      <c r="M63" s="403"/>
      <c r="N63" s="403"/>
      <c r="O63" s="403"/>
      <c r="P63" s="403"/>
      <c r="Q63" s="403"/>
      <c r="R63" s="403"/>
      <c r="S63" s="403"/>
      <c r="T63" s="403"/>
      <c r="U63" s="403"/>
      <c r="V63" s="403"/>
      <c r="W63" s="403"/>
      <c r="X63" s="403"/>
      <c r="Y63" s="403"/>
      <c r="Z63" s="403"/>
      <c r="AA63" s="403"/>
      <c r="AB63" s="403"/>
      <c r="AC63" s="403"/>
      <c r="AD63" s="403"/>
      <c r="AE63" s="403"/>
      <c r="AF63" s="403"/>
      <c r="AG63" s="403"/>
      <c r="AH63" s="403"/>
      <c r="AI63" s="403"/>
      <c r="AJ63" s="403"/>
      <c r="AK63" s="450"/>
    </row>
    <row r="64" spans="1:37" ht="14.25" customHeight="1" x14ac:dyDescent="0.45">
      <c r="A64" s="618"/>
      <c r="B64" s="400"/>
      <c r="C64" s="323" t="s">
        <v>396</v>
      </c>
      <c r="D64" s="406" t="s">
        <v>221</v>
      </c>
      <c r="E64" s="406" t="s">
        <v>221</v>
      </c>
      <c r="F64" s="406" t="s">
        <v>221</v>
      </c>
      <c r="G64" s="403" t="s">
        <v>221</v>
      </c>
      <c r="H64" s="403"/>
      <c r="I64" s="403"/>
      <c r="J64" s="403"/>
      <c r="K64" s="403"/>
      <c r="L64" s="403"/>
      <c r="M64" s="403"/>
      <c r="N64" s="403"/>
      <c r="O64" s="403"/>
      <c r="P64" s="403"/>
      <c r="Q64" s="403"/>
      <c r="R64" s="403"/>
      <c r="S64" s="403"/>
      <c r="T64" s="403"/>
      <c r="U64" s="403"/>
      <c r="V64" s="403"/>
      <c r="W64" s="403"/>
      <c r="X64" s="403"/>
      <c r="Y64" s="403"/>
      <c r="Z64" s="403"/>
      <c r="AA64" s="403"/>
      <c r="AB64" s="403"/>
      <c r="AC64" s="403"/>
      <c r="AD64" s="403"/>
      <c r="AE64" s="403"/>
      <c r="AF64" s="403"/>
      <c r="AG64" s="403"/>
      <c r="AH64" s="403"/>
      <c r="AI64" s="403"/>
      <c r="AJ64" s="403"/>
      <c r="AK64" s="450"/>
    </row>
    <row r="65" spans="1:37" ht="14.25" customHeight="1" x14ac:dyDescent="0.45">
      <c r="A65" s="618"/>
      <c r="B65" s="400"/>
      <c r="C65" s="323" t="s">
        <v>397</v>
      </c>
      <c r="D65" s="406" t="s">
        <v>221</v>
      </c>
      <c r="E65" s="406" t="s">
        <v>221</v>
      </c>
      <c r="F65" s="406" t="s">
        <v>221</v>
      </c>
      <c r="G65" s="403" t="s">
        <v>221</v>
      </c>
      <c r="H65" s="403"/>
      <c r="I65" s="403"/>
      <c r="J65" s="403"/>
      <c r="K65" s="403"/>
      <c r="L65" s="403"/>
      <c r="M65" s="403"/>
      <c r="N65" s="403"/>
      <c r="O65" s="403"/>
      <c r="P65" s="403"/>
      <c r="Q65" s="403"/>
      <c r="R65" s="403"/>
      <c r="S65" s="403"/>
      <c r="T65" s="403"/>
      <c r="U65" s="403"/>
      <c r="V65" s="403"/>
      <c r="W65" s="403"/>
      <c r="X65" s="403"/>
      <c r="Y65" s="403"/>
      <c r="Z65" s="403"/>
      <c r="AA65" s="403"/>
      <c r="AB65" s="403"/>
      <c r="AC65" s="403"/>
      <c r="AD65" s="403"/>
      <c r="AE65" s="403"/>
      <c r="AF65" s="403"/>
      <c r="AG65" s="403"/>
      <c r="AH65" s="403"/>
      <c r="AI65" s="403"/>
      <c r="AJ65" s="403"/>
      <c r="AK65" s="450"/>
    </row>
    <row r="66" spans="1:37" ht="14.25" customHeight="1" x14ac:dyDescent="0.45">
      <c r="A66" s="618"/>
      <c r="B66" s="400"/>
      <c r="C66" s="323" t="s">
        <v>398</v>
      </c>
      <c r="D66" s="406">
        <v>63.76</v>
      </c>
      <c r="E66" s="406">
        <v>63.56</v>
      </c>
      <c r="F66" s="406">
        <v>32.24</v>
      </c>
      <c r="G66" s="403" t="s">
        <v>221</v>
      </c>
      <c r="H66" s="403"/>
      <c r="I66" s="403"/>
      <c r="J66" s="403"/>
      <c r="K66" s="403"/>
      <c r="L66" s="403"/>
      <c r="M66" s="403"/>
      <c r="N66" s="403"/>
      <c r="O66" s="403"/>
      <c r="P66" s="403"/>
      <c r="Q66" s="403"/>
      <c r="R66" s="403"/>
      <c r="S66" s="403"/>
      <c r="T66" s="403"/>
      <c r="U66" s="403"/>
      <c r="V66" s="403"/>
      <c r="W66" s="403"/>
      <c r="X66" s="403"/>
      <c r="Y66" s="403"/>
      <c r="Z66" s="403"/>
      <c r="AA66" s="403"/>
      <c r="AB66" s="403"/>
      <c r="AC66" s="403"/>
      <c r="AD66" s="403"/>
      <c r="AE66" s="403"/>
      <c r="AF66" s="403"/>
      <c r="AG66" s="403"/>
      <c r="AH66" s="403"/>
      <c r="AI66" s="403"/>
      <c r="AJ66" s="403"/>
      <c r="AK66" s="450"/>
    </row>
    <row r="67" spans="1:37" ht="14.25" customHeight="1" x14ac:dyDescent="0.45">
      <c r="A67" s="618"/>
      <c r="B67" s="400"/>
      <c r="C67" s="323" t="s">
        <v>399</v>
      </c>
      <c r="D67" s="406" t="s">
        <v>221</v>
      </c>
      <c r="E67" s="406" t="s">
        <v>221</v>
      </c>
      <c r="F67" s="406" t="s">
        <v>221</v>
      </c>
      <c r="G67" s="403" t="s">
        <v>221</v>
      </c>
      <c r="H67" s="403"/>
      <c r="I67" s="403"/>
      <c r="J67" s="403"/>
      <c r="K67" s="403"/>
      <c r="L67" s="403"/>
      <c r="M67" s="403"/>
      <c r="N67" s="403"/>
      <c r="O67" s="403"/>
      <c r="P67" s="403"/>
      <c r="Q67" s="403"/>
      <c r="R67" s="403"/>
      <c r="S67" s="403"/>
      <c r="T67" s="403"/>
      <c r="U67" s="403"/>
      <c r="V67" s="403"/>
      <c r="W67" s="403"/>
      <c r="X67" s="403"/>
      <c r="Y67" s="403"/>
      <c r="Z67" s="403"/>
      <c r="AA67" s="403"/>
      <c r="AB67" s="403"/>
      <c r="AC67" s="403"/>
      <c r="AD67" s="403"/>
      <c r="AE67" s="403"/>
      <c r="AF67" s="403"/>
      <c r="AG67" s="403"/>
      <c r="AH67" s="403"/>
      <c r="AI67" s="403"/>
      <c r="AJ67" s="403"/>
      <c r="AK67" s="450"/>
    </row>
    <row r="68" spans="1:37" ht="14.25" customHeight="1" x14ac:dyDescent="0.45">
      <c r="A68" s="618"/>
      <c r="B68" s="400"/>
      <c r="C68" s="405" t="s">
        <v>849</v>
      </c>
      <c r="D68" s="406">
        <f>SUM(D58:D67)</f>
        <v>1740.3603191</v>
      </c>
      <c r="E68" s="406">
        <f>SUM(E58:E67)</f>
        <v>1789.1415907999999</v>
      </c>
      <c r="F68" s="406">
        <f>SUM(F58:F67)</f>
        <v>1679.9547765999998</v>
      </c>
      <c r="G68" s="406">
        <f>SUM(G58:G67)</f>
        <v>1923.1900082</v>
      </c>
      <c r="H68" s="403"/>
      <c r="I68" s="403"/>
      <c r="J68" s="403"/>
      <c r="K68" s="403"/>
      <c r="L68" s="403"/>
      <c r="M68" s="403"/>
      <c r="N68" s="403"/>
      <c r="O68" s="403"/>
      <c r="P68" s="403"/>
      <c r="Q68" s="403"/>
      <c r="R68" s="403"/>
      <c r="S68" s="403"/>
      <c r="T68" s="403"/>
      <c r="U68" s="403"/>
      <c r="V68" s="403"/>
      <c r="W68" s="403"/>
      <c r="X68" s="403"/>
      <c r="Y68" s="403"/>
      <c r="Z68" s="403"/>
      <c r="AA68" s="403"/>
      <c r="AB68" s="403"/>
      <c r="AC68" s="403"/>
      <c r="AD68" s="403"/>
      <c r="AE68" s="403"/>
      <c r="AF68" s="403"/>
      <c r="AG68" s="403"/>
      <c r="AH68" s="403"/>
      <c r="AI68" s="403"/>
      <c r="AJ68" s="403"/>
      <c r="AK68" s="450"/>
    </row>
    <row r="69" spans="1:37" ht="14.25" customHeight="1" x14ac:dyDescent="0.45">
      <c r="A69" s="618"/>
      <c r="B69" s="400"/>
      <c r="C69" s="410"/>
      <c r="D69" s="401"/>
      <c r="E69" s="401"/>
      <c r="F69" s="401"/>
      <c r="G69" s="401"/>
      <c r="H69" s="401"/>
      <c r="I69" s="401"/>
      <c r="J69" s="401"/>
      <c r="K69" s="401"/>
      <c r="L69" s="401"/>
      <c r="M69" s="401"/>
      <c r="N69" s="401"/>
      <c r="O69" s="401"/>
      <c r="P69" s="401"/>
      <c r="Q69" s="401"/>
      <c r="R69" s="401"/>
      <c r="S69" s="401"/>
      <c r="T69" s="401"/>
      <c r="U69" s="401"/>
      <c r="V69" s="401"/>
      <c r="W69" s="401"/>
      <c r="X69" s="401"/>
      <c r="Y69" s="401"/>
      <c r="Z69" s="401"/>
      <c r="AA69" s="401"/>
      <c r="AB69" s="401"/>
      <c r="AC69" s="401"/>
      <c r="AD69" s="401"/>
      <c r="AE69" s="401"/>
      <c r="AF69" s="401"/>
      <c r="AG69" s="401"/>
      <c r="AH69" s="401"/>
      <c r="AI69" s="401"/>
      <c r="AJ69" s="401"/>
      <c r="AK69" s="450"/>
    </row>
    <row r="70" spans="1:37" ht="14.25" customHeight="1" x14ac:dyDescent="0.45">
      <c r="A70" s="618"/>
      <c r="B70" s="400"/>
      <c r="C70" s="404" t="s">
        <v>511</v>
      </c>
      <c r="D70" s="403"/>
      <c r="E70" s="414"/>
      <c r="F70" s="415"/>
      <c r="G70" s="415"/>
      <c r="H70" s="415"/>
      <c r="I70" s="415"/>
      <c r="J70" s="403"/>
      <c r="K70" s="403"/>
      <c r="L70" s="403"/>
      <c r="M70" s="403"/>
      <c r="N70" s="403"/>
      <c r="O70" s="403"/>
      <c r="P70" s="403"/>
      <c r="Q70" s="403"/>
      <c r="R70" s="403"/>
      <c r="S70" s="403"/>
      <c r="T70" s="403"/>
      <c r="U70" s="403"/>
      <c r="V70" s="403"/>
      <c r="W70" s="403"/>
      <c r="X70" s="403"/>
      <c r="Y70" s="403"/>
      <c r="Z70" s="403"/>
      <c r="AA70" s="403"/>
      <c r="AB70" s="403"/>
      <c r="AC70" s="403"/>
      <c r="AD70" s="403"/>
      <c r="AE70" s="403"/>
      <c r="AF70" s="403"/>
      <c r="AG70" s="403"/>
      <c r="AH70" s="403"/>
      <c r="AI70" s="403"/>
      <c r="AJ70" s="403"/>
      <c r="AK70" s="450"/>
    </row>
    <row r="71" spans="1:37" ht="14.25" customHeight="1" x14ac:dyDescent="0.45">
      <c r="A71" s="618">
        <v>1</v>
      </c>
      <c r="B71" s="400"/>
      <c r="C71" s="405" t="s">
        <v>1028</v>
      </c>
      <c r="D71" s="406">
        <v>338.131328</v>
      </c>
      <c r="E71" s="416">
        <v>271.99655799999999</v>
      </c>
      <c r="F71" s="406">
        <v>162.63273699999999</v>
      </c>
      <c r="G71" s="406">
        <v>284.99849399999999</v>
      </c>
      <c r="H71" s="415"/>
      <c r="I71" s="415"/>
      <c r="J71" s="403"/>
      <c r="K71" s="403"/>
      <c r="L71" s="403"/>
      <c r="M71" s="403"/>
      <c r="N71" s="403"/>
      <c r="O71" s="403"/>
      <c r="P71" s="403"/>
      <c r="Q71" s="403"/>
      <c r="R71" s="403"/>
      <c r="S71" s="403"/>
      <c r="T71" s="403"/>
      <c r="U71" s="403"/>
      <c r="V71" s="403"/>
      <c r="W71" s="403"/>
      <c r="X71" s="403"/>
      <c r="Y71" s="403"/>
      <c r="Z71" s="403"/>
      <c r="AA71" s="403"/>
      <c r="AB71" s="403"/>
      <c r="AC71" s="403"/>
      <c r="AD71" s="403"/>
      <c r="AE71" s="403"/>
      <c r="AF71" s="403"/>
      <c r="AG71" s="403"/>
      <c r="AH71" s="403"/>
      <c r="AI71" s="403"/>
      <c r="AJ71" s="403"/>
      <c r="AK71" s="450"/>
    </row>
    <row r="72" spans="1:37" ht="14.25" customHeight="1" x14ac:dyDescent="0.45">
      <c r="A72" s="618">
        <v>1</v>
      </c>
      <c r="B72" s="400"/>
      <c r="C72" s="405" t="s">
        <v>1026</v>
      </c>
      <c r="D72" s="406">
        <v>3.78280474</v>
      </c>
      <c r="E72" s="416">
        <v>3.5420360799999999</v>
      </c>
      <c r="F72" s="406">
        <v>3.2735867299999999</v>
      </c>
      <c r="G72" s="406">
        <v>4.0458348099999997</v>
      </c>
      <c r="H72" s="415"/>
      <c r="I72" s="415"/>
      <c r="J72" s="403"/>
      <c r="K72" s="403"/>
      <c r="L72" s="403"/>
      <c r="M72" s="403"/>
      <c r="N72" s="403"/>
      <c r="O72" s="403"/>
      <c r="P72" s="403"/>
      <c r="Q72" s="403"/>
      <c r="R72" s="403"/>
      <c r="S72" s="403"/>
      <c r="T72" s="403"/>
      <c r="U72" s="403"/>
      <c r="V72" s="403"/>
      <c r="W72" s="403"/>
      <c r="X72" s="403"/>
      <c r="Y72" s="403"/>
      <c r="Z72" s="403"/>
      <c r="AA72" s="403"/>
      <c r="AB72" s="403"/>
      <c r="AC72" s="403"/>
      <c r="AD72" s="403"/>
      <c r="AE72" s="403"/>
      <c r="AF72" s="403"/>
      <c r="AG72" s="403"/>
      <c r="AH72" s="403"/>
      <c r="AI72" s="403"/>
      <c r="AJ72" s="403"/>
      <c r="AK72" s="450"/>
    </row>
    <row r="73" spans="1:37" ht="14.25" customHeight="1" x14ac:dyDescent="0.45">
      <c r="A73" s="618"/>
      <c r="B73" s="400"/>
      <c r="C73" s="405" t="s">
        <v>849</v>
      </c>
      <c r="D73" s="406">
        <f>SUM(D71:D72)</f>
        <v>341.91413274000001</v>
      </c>
      <c r="E73" s="406">
        <f>SUM(E71:E72)</f>
        <v>275.53859408</v>
      </c>
      <c r="F73" s="406">
        <f>SUM(F71:F72)</f>
        <v>165.90632373</v>
      </c>
      <c r="G73" s="406">
        <f>SUM(G71:G72)</f>
        <v>289.04432880999997</v>
      </c>
      <c r="H73" s="415"/>
      <c r="I73" s="415"/>
      <c r="J73" s="403"/>
      <c r="K73" s="403"/>
      <c r="L73" s="403"/>
      <c r="M73" s="403"/>
      <c r="N73" s="403"/>
      <c r="O73" s="403"/>
      <c r="P73" s="403"/>
      <c r="Q73" s="403"/>
      <c r="R73" s="403"/>
      <c r="S73" s="403"/>
      <c r="T73" s="403"/>
      <c r="U73" s="403"/>
      <c r="V73" s="403"/>
      <c r="W73" s="403"/>
      <c r="X73" s="403"/>
      <c r="Y73" s="403"/>
      <c r="Z73" s="403"/>
      <c r="AA73" s="403"/>
      <c r="AB73" s="403"/>
      <c r="AC73" s="403"/>
      <c r="AD73" s="403"/>
      <c r="AE73" s="403"/>
      <c r="AF73" s="403"/>
      <c r="AG73" s="403"/>
      <c r="AH73" s="403"/>
      <c r="AI73" s="403"/>
      <c r="AJ73" s="403"/>
      <c r="AK73" s="450"/>
    </row>
    <row r="74" spans="1:37" ht="14.25" customHeight="1" x14ac:dyDescent="0.45">
      <c r="A74" s="618"/>
      <c r="B74" s="400"/>
      <c r="C74" s="410"/>
      <c r="D74" s="401"/>
      <c r="E74" s="417"/>
      <c r="F74" s="417"/>
      <c r="G74" s="417"/>
      <c r="H74" s="417"/>
      <c r="I74" s="417"/>
      <c r="J74" s="401"/>
      <c r="K74" s="401"/>
      <c r="L74" s="401"/>
      <c r="M74" s="401"/>
      <c r="N74" s="401"/>
      <c r="O74" s="401"/>
      <c r="P74" s="401"/>
      <c r="Q74" s="401"/>
      <c r="R74" s="401"/>
      <c r="S74" s="401"/>
      <c r="T74" s="401"/>
      <c r="U74" s="401"/>
      <c r="V74" s="401"/>
      <c r="W74" s="401"/>
      <c r="X74" s="401"/>
      <c r="Y74" s="401"/>
      <c r="Z74" s="401"/>
      <c r="AA74" s="401"/>
      <c r="AB74" s="401"/>
      <c r="AC74" s="401"/>
      <c r="AD74" s="401"/>
      <c r="AE74" s="401"/>
      <c r="AF74" s="401"/>
      <c r="AG74" s="401"/>
      <c r="AH74" s="401"/>
      <c r="AI74" s="401"/>
      <c r="AJ74" s="401"/>
      <c r="AK74" s="450"/>
    </row>
    <row r="75" spans="1:37" ht="14.25" customHeight="1" x14ac:dyDescent="0.45">
      <c r="A75" s="618"/>
      <c r="B75" s="400"/>
      <c r="C75" s="404" t="s">
        <v>514</v>
      </c>
      <c r="D75" s="403"/>
      <c r="E75" s="403"/>
      <c r="F75" s="403"/>
      <c r="G75" s="403"/>
      <c r="H75" s="403"/>
      <c r="I75" s="403"/>
      <c r="J75" s="403"/>
      <c r="K75" s="403"/>
      <c r="L75" s="403"/>
      <c r="M75" s="403"/>
      <c r="N75" s="403"/>
      <c r="O75" s="403"/>
      <c r="P75" s="403"/>
      <c r="Q75" s="403"/>
      <c r="R75" s="403"/>
      <c r="S75" s="403"/>
      <c r="T75" s="403"/>
      <c r="U75" s="403"/>
      <c r="V75" s="403"/>
      <c r="W75" s="403"/>
      <c r="X75" s="403"/>
      <c r="Y75" s="403"/>
      <c r="Z75" s="403"/>
      <c r="AA75" s="403"/>
      <c r="AB75" s="403"/>
      <c r="AC75" s="403"/>
      <c r="AD75" s="403"/>
      <c r="AE75" s="403"/>
      <c r="AF75" s="403"/>
      <c r="AG75" s="403"/>
      <c r="AH75" s="403"/>
      <c r="AI75" s="403"/>
      <c r="AJ75" s="403"/>
      <c r="AK75" s="450"/>
    </row>
    <row r="76" spans="1:37" ht="14.25" customHeight="1" x14ac:dyDescent="0.45">
      <c r="A76" s="618">
        <v>1</v>
      </c>
      <c r="B76" s="400"/>
      <c r="C76" s="405" t="s">
        <v>1032</v>
      </c>
      <c r="D76" s="406">
        <v>350.97862800000001</v>
      </c>
      <c r="E76" s="406">
        <v>357.9982</v>
      </c>
      <c r="F76" s="406">
        <v>365.158164</v>
      </c>
      <c r="G76" s="406">
        <v>372.46132799999998</v>
      </c>
      <c r="H76" s="403"/>
      <c r="I76" s="403"/>
      <c r="J76" s="403"/>
      <c r="K76" s="403"/>
      <c r="L76" s="403"/>
      <c r="M76" s="403"/>
      <c r="N76" s="403"/>
      <c r="O76" s="403"/>
      <c r="P76" s="403"/>
      <c r="Q76" s="403"/>
      <c r="R76" s="403"/>
      <c r="S76" s="403"/>
      <c r="T76" s="403"/>
      <c r="U76" s="403"/>
      <c r="V76" s="403"/>
      <c r="W76" s="403"/>
      <c r="X76" s="403"/>
      <c r="Y76" s="403"/>
      <c r="Z76" s="403"/>
      <c r="AA76" s="403"/>
      <c r="AB76" s="403"/>
      <c r="AC76" s="403"/>
      <c r="AD76" s="403"/>
      <c r="AE76" s="403"/>
      <c r="AF76" s="403"/>
      <c r="AG76" s="403"/>
      <c r="AH76" s="403"/>
      <c r="AI76" s="403"/>
      <c r="AJ76" s="403"/>
      <c r="AK76" s="450"/>
    </row>
    <row r="77" spans="1:37" ht="14.25" customHeight="1" x14ac:dyDescent="0.45">
      <c r="A77" s="618">
        <v>1</v>
      </c>
      <c r="B77" s="400"/>
      <c r="C77" s="405" t="s">
        <v>1026</v>
      </c>
      <c r="D77" s="406">
        <v>1392.0700999999999</v>
      </c>
      <c r="E77" s="406">
        <v>1331.3705</v>
      </c>
      <c r="F77" s="406">
        <v>1264.1858999999999</v>
      </c>
      <c r="G77" s="406">
        <v>1192.9806000000001</v>
      </c>
      <c r="H77" s="403"/>
      <c r="I77" s="403"/>
      <c r="J77" s="403"/>
      <c r="K77" s="403"/>
      <c r="L77" s="403"/>
      <c r="M77" s="403"/>
      <c r="N77" s="403"/>
      <c r="O77" s="403"/>
      <c r="P77" s="403"/>
      <c r="Q77" s="403"/>
      <c r="R77" s="403"/>
      <c r="S77" s="403"/>
      <c r="T77" s="403"/>
      <c r="U77" s="403"/>
      <c r="V77" s="403"/>
      <c r="W77" s="403"/>
      <c r="X77" s="403"/>
      <c r="Y77" s="403"/>
      <c r="Z77" s="403"/>
      <c r="AA77" s="403"/>
      <c r="AB77" s="403"/>
      <c r="AC77" s="403"/>
      <c r="AD77" s="403"/>
      <c r="AE77" s="403"/>
      <c r="AF77" s="403"/>
      <c r="AG77" s="403"/>
      <c r="AH77" s="403"/>
      <c r="AI77" s="403"/>
      <c r="AJ77" s="403"/>
      <c r="AK77" s="450"/>
    </row>
    <row r="78" spans="1:37" ht="14.25" customHeight="1" x14ac:dyDescent="0.45">
      <c r="A78" s="618"/>
      <c r="B78" s="400"/>
      <c r="C78" s="405" t="s">
        <v>849</v>
      </c>
      <c r="D78" s="406">
        <f>SUM(D76:D77)</f>
        <v>1743.048728</v>
      </c>
      <c r="E78" s="406">
        <f>SUM(E76:E77)</f>
        <v>1689.3687</v>
      </c>
      <c r="F78" s="406">
        <f>SUM(F76:F77)</f>
        <v>1629.3440639999999</v>
      </c>
      <c r="G78" s="406">
        <f>SUM(G76:G77)</f>
        <v>1565.4419280000002</v>
      </c>
      <c r="H78" s="403"/>
      <c r="I78" s="403"/>
      <c r="J78" s="403"/>
      <c r="K78" s="403"/>
      <c r="L78" s="403"/>
      <c r="M78" s="403"/>
      <c r="N78" s="403"/>
      <c r="O78" s="403"/>
      <c r="P78" s="403"/>
      <c r="Q78" s="403"/>
      <c r="R78" s="403"/>
      <c r="S78" s="403"/>
      <c r="T78" s="403"/>
      <c r="U78" s="403"/>
      <c r="V78" s="403"/>
      <c r="W78" s="403"/>
      <c r="X78" s="403"/>
      <c r="Y78" s="403"/>
      <c r="Z78" s="403"/>
      <c r="AA78" s="403"/>
      <c r="AB78" s="403"/>
      <c r="AC78" s="403"/>
      <c r="AD78" s="403"/>
      <c r="AE78" s="403"/>
      <c r="AF78" s="403"/>
      <c r="AG78" s="403"/>
      <c r="AH78" s="403"/>
      <c r="AI78" s="403"/>
      <c r="AJ78" s="403"/>
      <c r="AK78" s="450"/>
    </row>
    <row r="79" spans="1:37" ht="14.25" customHeight="1" x14ac:dyDescent="0.45">
      <c r="A79" s="618"/>
      <c r="B79" s="400"/>
      <c r="C79" s="410"/>
      <c r="D79" s="401"/>
      <c r="E79" s="417"/>
      <c r="F79" s="417"/>
      <c r="G79" s="417"/>
      <c r="H79" s="417"/>
      <c r="I79" s="417"/>
      <c r="J79" s="401"/>
      <c r="K79" s="401"/>
      <c r="L79" s="401"/>
      <c r="M79" s="401"/>
      <c r="N79" s="401"/>
      <c r="O79" s="401"/>
      <c r="P79" s="401"/>
      <c r="Q79" s="401"/>
      <c r="R79" s="401"/>
      <c r="S79" s="401"/>
      <c r="T79" s="401"/>
      <c r="U79" s="401"/>
      <c r="V79" s="401"/>
      <c r="W79" s="401"/>
      <c r="X79" s="401"/>
      <c r="Y79" s="401"/>
      <c r="Z79" s="401"/>
      <c r="AA79" s="401"/>
      <c r="AB79" s="401"/>
      <c r="AC79" s="401"/>
      <c r="AD79" s="401"/>
      <c r="AE79" s="401"/>
      <c r="AF79" s="401"/>
      <c r="AG79" s="401"/>
      <c r="AH79" s="401"/>
      <c r="AI79" s="401"/>
      <c r="AJ79" s="401"/>
      <c r="AK79" s="450"/>
    </row>
    <row r="80" spans="1:37" ht="14.25" customHeight="1" x14ac:dyDescent="0.45">
      <c r="A80" s="618"/>
      <c r="B80" s="400"/>
      <c r="C80" s="404" t="s">
        <v>518</v>
      </c>
      <c r="D80" s="403"/>
      <c r="E80" s="403"/>
      <c r="F80" s="403"/>
      <c r="G80" s="403"/>
      <c r="H80" s="403"/>
      <c r="I80" s="403"/>
      <c r="J80" s="403"/>
      <c r="K80" s="403"/>
      <c r="L80" s="403"/>
      <c r="M80" s="403"/>
      <c r="N80" s="403"/>
      <c r="O80" s="403"/>
      <c r="P80" s="403"/>
      <c r="Q80" s="403"/>
      <c r="R80" s="403"/>
      <c r="S80" s="403"/>
      <c r="T80" s="403"/>
      <c r="U80" s="403"/>
      <c r="V80" s="403"/>
      <c r="W80" s="403"/>
      <c r="X80" s="403"/>
      <c r="Y80" s="403"/>
      <c r="Z80" s="403"/>
      <c r="AA80" s="403"/>
      <c r="AB80" s="403"/>
      <c r="AC80" s="403"/>
      <c r="AD80" s="403"/>
      <c r="AE80" s="403"/>
      <c r="AF80" s="403"/>
      <c r="AG80" s="403"/>
      <c r="AH80" s="403"/>
      <c r="AI80" s="403"/>
      <c r="AJ80" s="403"/>
      <c r="AK80" s="450"/>
    </row>
    <row r="81" spans="1:37" ht="14.25" customHeight="1" x14ac:dyDescent="0.45">
      <c r="A81" s="618">
        <v>1</v>
      </c>
      <c r="B81" s="400"/>
      <c r="C81" s="405" t="s">
        <v>1032</v>
      </c>
      <c r="D81" s="406">
        <v>1414.7248</v>
      </c>
      <c r="E81" s="406">
        <v>1542.7108499999999</v>
      </c>
      <c r="F81" s="406">
        <v>1565.7251100000001</v>
      </c>
      <c r="G81" s="406">
        <v>1320.9015199999999</v>
      </c>
      <c r="H81" s="403"/>
      <c r="I81" s="403"/>
      <c r="J81" s="403"/>
      <c r="K81" s="403"/>
      <c r="L81" s="403"/>
      <c r="M81" s="403"/>
      <c r="N81" s="403"/>
      <c r="O81" s="403"/>
      <c r="P81" s="403"/>
      <c r="Q81" s="403"/>
      <c r="R81" s="403"/>
      <c r="S81" s="403"/>
      <c r="T81" s="403"/>
      <c r="U81" s="403"/>
      <c r="V81" s="403"/>
      <c r="W81" s="403"/>
      <c r="X81" s="403"/>
      <c r="Y81" s="403"/>
      <c r="Z81" s="403"/>
      <c r="AA81" s="403"/>
      <c r="AB81" s="403"/>
      <c r="AC81" s="403"/>
      <c r="AD81" s="403"/>
      <c r="AE81" s="403"/>
      <c r="AF81" s="403"/>
      <c r="AG81" s="403"/>
      <c r="AH81" s="403"/>
      <c r="AI81" s="403"/>
      <c r="AJ81" s="403"/>
      <c r="AK81" s="450"/>
    </row>
    <row r="82" spans="1:37" ht="14.25" customHeight="1" x14ac:dyDescent="0.45">
      <c r="A82" s="618"/>
      <c r="B82" s="400"/>
      <c r="C82" s="410"/>
      <c r="D82" s="401"/>
      <c r="E82" s="401"/>
      <c r="F82" s="401"/>
      <c r="G82" s="401"/>
      <c r="H82" s="401"/>
      <c r="I82" s="401"/>
      <c r="J82" s="401"/>
      <c r="K82" s="401"/>
      <c r="L82" s="401"/>
      <c r="M82" s="401"/>
      <c r="N82" s="401"/>
      <c r="O82" s="401"/>
      <c r="P82" s="401"/>
      <c r="Q82" s="401"/>
      <c r="R82" s="401"/>
      <c r="S82" s="401"/>
      <c r="T82" s="401"/>
      <c r="U82" s="401"/>
      <c r="V82" s="401"/>
      <c r="W82" s="401"/>
      <c r="X82" s="401"/>
      <c r="Y82" s="401"/>
      <c r="Z82" s="401"/>
      <c r="AA82" s="401"/>
      <c r="AB82" s="401"/>
      <c r="AC82" s="401"/>
      <c r="AD82" s="401"/>
      <c r="AE82" s="401"/>
      <c r="AF82" s="401"/>
      <c r="AG82" s="401"/>
      <c r="AH82" s="401"/>
      <c r="AI82" s="401"/>
      <c r="AJ82" s="401"/>
      <c r="AK82" s="450"/>
    </row>
    <row r="83" spans="1:37" ht="14.25" customHeight="1" x14ac:dyDescent="0.45">
      <c r="A83" s="618"/>
      <c r="B83" s="400"/>
      <c r="C83" s="404" t="s">
        <v>829</v>
      </c>
      <c r="D83" s="403"/>
      <c r="E83" s="414"/>
      <c r="F83" s="415"/>
      <c r="G83" s="415"/>
      <c r="H83" s="415" t="s">
        <v>1033</v>
      </c>
      <c r="I83" s="415"/>
      <c r="J83" s="403"/>
      <c r="K83" s="403"/>
      <c r="L83" s="403"/>
      <c r="M83" s="403"/>
      <c r="N83" s="403"/>
      <c r="O83" s="403"/>
      <c r="P83" s="403"/>
      <c r="Q83" s="403"/>
      <c r="R83" s="403"/>
      <c r="S83" s="403"/>
      <c r="T83" s="403"/>
      <c r="U83" s="403"/>
      <c r="V83" s="403"/>
      <c r="W83" s="403"/>
      <c r="X83" s="403"/>
      <c r="Y83" s="403"/>
      <c r="Z83" s="403"/>
      <c r="AA83" s="403"/>
      <c r="AB83" s="403"/>
      <c r="AC83" s="403"/>
      <c r="AD83" s="403"/>
      <c r="AE83" s="403"/>
      <c r="AF83" s="403"/>
      <c r="AG83" s="403"/>
      <c r="AH83" s="403"/>
      <c r="AI83" s="403"/>
      <c r="AJ83" s="403"/>
      <c r="AK83" s="450"/>
    </row>
    <row r="84" spans="1:37" ht="14.25" customHeight="1" x14ac:dyDescent="0.45">
      <c r="A84" s="618"/>
      <c r="B84" s="400"/>
      <c r="C84" s="405" t="s">
        <v>480</v>
      </c>
      <c r="D84" s="403"/>
      <c r="E84" s="403"/>
      <c r="F84" s="403"/>
      <c r="G84" s="403"/>
      <c r="H84" s="403"/>
      <c r="I84" s="403"/>
      <c r="J84" s="403"/>
      <c r="K84" s="403"/>
      <c r="L84" s="403"/>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50"/>
    </row>
    <row r="85" spans="1:37" ht="14.25" customHeight="1" x14ac:dyDescent="0.45">
      <c r="A85" s="618"/>
      <c r="B85" s="400"/>
      <c r="C85" s="405" t="s">
        <v>830</v>
      </c>
      <c r="D85" s="403"/>
      <c r="E85" s="403"/>
      <c r="F85" s="403"/>
      <c r="G85" s="403"/>
      <c r="H85" s="403"/>
      <c r="I85" s="403"/>
      <c r="J85" s="403"/>
      <c r="K85" s="403"/>
      <c r="L85" s="403"/>
      <c r="M85" s="403"/>
      <c r="N85" s="403"/>
      <c r="O85" s="403"/>
      <c r="P85" s="403"/>
      <c r="Q85" s="403"/>
      <c r="R85" s="403"/>
      <c r="S85" s="403"/>
      <c r="T85" s="403"/>
      <c r="U85" s="403"/>
      <c r="V85" s="403"/>
      <c r="W85" s="403"/>
      <c r="X85" s="403"/>
      <c r="Y85" s="403"/>
      <c r="Z85" s="403"/>
      <c r="AA85" s="403"/>
      <c r="AB85" s="403"/>
      <c r="AC85" s="403"/>
      <c r="AD85" s="403"/>
      <c r="AE85" s="403"/>
      <c r="AF85" s="403"/>
      <c r="AG85" s="403"/>
      <c r="AH85" s="403"/>
      <c r="AI85" s="403"/>
      <c r="AJ85" s="403"/>
      <c r="AK85" s="450"/>
    </row>
    <row r="86" spans="1:37" ht="14.25" customHeight="1" x14ac:dyDescent="0.45">
      <c r="A86" s="618"/>
      <c r="B86" s="400"/>
      <c r="C86" s="405" t="s">
        <v>516</v>
      </c>
      <c r="D86" s="403"/>
      <c r="E86" s="403"/>
      <c r="F86" s="403"/>
      <c r="G86" s="403"/>
      <c r="H86" s="403"/>
      <c r="I86" s="403"/>
      <c r="J86" s="403"/>
      <c r="K86" s="403"/>
      <c r="L86" s="403"/>
      <c r="M86" s="403"/>
      <c r="N86" s="403"/>
      <c r="O86" s="403"/>
      <c r="P86" s="403"/>
      <c r="Q86" s="403"/>
      <c r="R86" s="403"/>
      <c r="S86" s="403"/>
      <c r="T86" s="403"/>
      <c r="U86" s="403"/>
      <c r="V86" s="403"/>
      <c r="W86" s="403"/>
      <c r="X86" s="403"/>
      <c r="Y86" s="403"/>
      <c r="Z86" s="403"/>
      <c r="AA86" s="403"/>
      <c r="AB86" s="403"/>
      <c r="AC86" s="403"/>
      <c r="AD86" s="403"/>
      <c r="AE86" s="403"/>
      <c r="AF86" s="403"/>
      <c r="AG86" s="403"/>
      <c r="AH86" s="403"/>
      <c r="AI86" s="403"/>
      <c r="AJ86" s="403"/>
      <c r="AK86" s="450"/>
    </row>
    <row r="87" spans="1:37" ht="14.25" customHeight="1" x14ac:dyDescent="0.45">
      <c r="A87" s="618"/>
      <c r="B87" s="400"/>
      <c r="C87" s="405" t="s">
        <v>831</v>
      </c>
      <c r="D87" s="403"/>
      <c r="E87" s="403"/>
      <c r="F87" s="403"/>
      <c r="G87" s="403"/>
      <c r="H87" s="403"/>
      <c r="I87" s="403"/>
      <c r="J87" s="403"/>
      <c r="K87" s="403"/>
      <c r="L87" s="403"/>
      <c r="M87" s="403"/>
      <c r="N87" s="403"/>
      <c r="O87" s="403"/>
      <c r="P87" s="403"/>
      <c r="Q87" s="403"/>
      <c r="R87" s="403"/>
      <c r="S87" s="403"/>
      <c r="T87" s="403"/>
      <c r="U87" s="403"/>
      <c r="V87" s="403"/>
      <c r="W87" s="403"/>
      <c r="X87" s="403"/>
      <c r="Y87" s="403"/>
      <c r="Z87" s="403"/>
      <c r="AA87" s="403"/>
      <c r="AB87" s="403"/>
      <c r="AC87" s="403"/>
      <c r="AD87" s="403"/>
      <c r="AE87" s="403"/>
      <c r="AF87" s="403"/>
      <c r="AG87" s="403"/>
      <c r="AH87" s="403"/>
      <c r="AI87" s="403"/>
      <c r="AJ87" s="403"/>
      <c r="AK87" s="450"/>
    </row>
    <row r="88" spans="1:37" ht="14.25" customHeight="1" x14ac:dyDescent="0.45">
      <c r="A88" s="618"/>
      <c r="B88" s="400"/>
      <c r="C88" s="405" t="s">
        <v>832</v>
      </c>
      <c r="D88" s="403"/>
      <c r="E88" s="403"/>
      <c r="F88" s="403"/>
      <c r="G88" s="403"/>
      <c r="H88" s="403"/>
      <c r="I88" s="403"/>
      <c r="J88" s="403"/>
      <c r="K88" s="403"/>
      <c r="L88" s="403"/>
      <c r="M88" s="403"/>
      <c r="N88" s="403"/>
      <c r="O88" s="403"/>
      <c r="P88" s="403"/>
      <c r="Q88" s="403"/>
      <c r="R88" s="403"/>
      <c r="S88" s="403"/>
      <c r="T88" s="403"/>
      <c r="U88" s="403"/>
      <c r="V88" s="403"/>
      <c r="W88" s="403"/>
      <c r="X88" s="403"/>
      <c r="Y88" s="403"/>
      <c r="Z88" s="403"/>
      <c r="AA88" s="403"/>
      <c r="AB88" s="403"/>
      <c r="AC88" s="403"/>
      <c r="AD88" s="403"/>
      <c r="AE88" s="403"/>
      <c r="AF88" s="403"/>
      <c r="AG88" s="403"/>
      <c r="AH88" s="403"/>
      <c r="AI88" s="403"/>
      <c r="AJ88" s="403"/>
      <c r="AK88" s="450"/>
    </row>
    <row r="89" spans="1:37" ht="14.25" customHeight="1" x14ac:dyDescent="0.45">
      <c r="A89" s="618"/>
      <c r="B89" s="400"/>
      <c r="C89" s="405" t="s">
        <v>25</v>
      </c>
      <c r="D89" s="403"/>
      <c r="E89" s="403"/>
      <c r="F89" s="403"/>
      <c r="G89" s="403"/>
      <c r="H89" s="403"/>
      <c r="I89" s="403"/>
      <c r="J89" s="403"/>
      <c r="K89" s="403"/>
      <c r="L89" s="403"/>
      <c r="M89" s="403"/>
      <c r="N89" s="403"/>
      <c r="O89" s="403"/>
      <c r="P89" s="403"/>
      <c r="Q89" s="403"/>
      <c r="R89" s="403"/>
      <c r="S89" s="403"/>
      <c r="T89" s="403"/>
      <c r="U89" s="403"/>
      <c r="V89" s="403"/>
      <c r="W89" s="403"/>
      <c r="X89" s="403"/>
      <c r="Y89" s="403"/>
      <c r="Z89" s="403"/>
      <c r="AA89" s="403"/>
      <c r="AB89" s="403"/>
      <c r="AC89" s="403"/>
      <c r="AD89" s="403"/>
      <c r="AE89" s="403"/>
      <c r="AF89" s="403"/>
      <c r="AG89" s="403"/>
      <c r="AH89" s="403"/>
      <c r="AI89" s="403"/>
      <c r="AJ89" s="403"/>
      <c r="AK89" s="450"/>
    </row>
    <row r="90" spans="1:37" ht="14.25" customHeight="1" x14ac:dyDescent="0.45">
      <c r="A90" s="618"/>
      <c r="B90" s="400"/>
      <c r="C90" s="405"/>
      <c r="D90" s="403"/>
      <c r="E90" s="403"/>
      <c r="F90" s="403"/>
      <c r="G90" s="403"/>
      <c r="H90" s="403"/>
      <c r="I90" s="403"/>
      <c r="J90" s="403"/>
      <c r="K90" s="403"/>
      <c r="L90" s="403"/>
      <c r="M90" s="403"/>
      <c r="N90" s="403"/>
      <c r="O90" s="403"/>
      <c r="P90" s="403"/>
      <c r="Q90" s="403"/>
      <c r="R90" s="403"/>
      <c r="S90" s="403"/>
      <c r="T90" s="403"/>
      <c r="U90" s="403"/>
      <c r="V90" s="403"/>
      <c r="W90" s="403"/>
      <c r="X90" s="403"/>
      <c r="Y90" s="403"/>
      <c r="Z90" s="403"/>
      <c r="AA90" s="403"/>
      <c r="AB90" s="403"/>
      <c r="AC90" s="403"/>
      <c r="AD90" s="403"/>
      <c r="AE90" s="403"/>
      <c r="AF90" s="403"/>
      <c r="AG90" s="403"/>
      <c r="AH90" s="403"/>
      <c r="AI90" s="403"/>
      <c r="AJ90" s="403"/>
      <c r="AK90" s="450"/>
    </row>
    <row r="91" spans="1:37" ht="14.25" customHeight="1" x14ac:dyDescent="0.45">
      <c r="A91" s="618"/>
      <c r="B91" s="451"/>
      <c r="C91" s="452"/>
      <c r="D91" s="453"/>
      <c r="E91" s="453"/>
      <c r="F91" s="453"/>
      <c r="G91" s="453"/>
      <c r="H91" s="453"/>
      <c r="I91" s="453"/>
      <c r="J91" s="453"/>
      <c r="K91" s="453"/>
      <c r="L91" s="453"/>
      <c r="M91" s="453"/>
      <c r="N91" s="453"/>
      <c r="O91" s="453"/>
      <c r="P91" s="453"/>
      <c r="Q91" s="453"/>
      <c r="R91" s="453"/>
      <c r="S91" s="453"/>
      <c r="T91" s="453"/>
      <c r="U91" s="453"/>
      <c r="V91" s="453"/>
      <c r="W91" s="453"/>
      <c r="X91" s="453"/>
      <c r="Y91" s="453"/>
      <c r="Z91" s="453"/>
      <c r="AA91" s="453"/>
      <c r="AB91" s="453"/>
      <c r="AC91" s="453"/>
      <c r="AD91" s="453"/>
      <c r="AE91" s="453"/>
      <c r="AF91" s="453"/>
      <c r="AG91" s="453"/>
      <c r="AH91" s="453"/>
      <c r="AI91" s="453"/>
      <c r="AJ91" s="453"/>
      <c r="AK91" s="454"/>
    </row>
    <row r="92" spans="1:37" ht="14.25" customHeight="1" x14ac:dyDescent="0.4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4.25" customHeight="1" x14ac:dyDescent="0.45">
      <c r="A93" s="1"/>
      <c r="B93" s="1">
        <v>1</v>
      </c>
      <c r="C93" s="421" t="s">
        <v>960</v>
      </c>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4.25" customHeight="1" x14ac:dyDescent="0.4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4.25" customHeight="1" x14ac:dyDescent="0.4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4.25" customHeight="1" x14ac:dyDescent="0.4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4.25" customHeight="1" x14ac:dyDescent="0.4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4.25" customHeight="1" x14ac:dyDescent="0.4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4.25" customHeight="1" x14ac:dyDescent="0.4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4.25" customHeight="1" x14ac:dyDescent="0.4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4.25" customHeight="1" x14ac:dyDescent="0.4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4.25" customHeight="1" x14ac:dyDescent="0.4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4.25" customHeight="1" x14ac:dyDescent="0.4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4.25" customHeight="1" x14ac:dyDescent="0.4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4.25" customHeight="1" x14ac:dyDescent="0.4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4.25" customHeight="1" x14ac:dyDescent="0.4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4.25" customHeight="1" x14ac:dyDescent="0.4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4.25" customHeight="1" x14ac:dyDescent="0.4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4.25" customHeight="1" x14ac:dyDescent="0.4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4.25" customHeight="1" x14ac:dyDescent="0.4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4.25" customHeight="1" x14ac:dyDescent="0.4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4.25" customHeight="1" x14ac:dyDescent="0.4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4.25" customHeight="1" x14ac:dyDescent="0.4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4.25" customHeight="1" x14ac:dyDescent="0.4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4.25" customHeight="1" x14ac:dyDescent="0.4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4.25"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4.25" customHeight="1" x14ac:dyDescent="0.4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4.25" customHeight="1" x14ac:dyDescent="0.4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4.25" customHeight="1" x14ac:dyDescent="0.4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4.25" customHeight="1" x14ac:dyDescent="0.4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4.25" customHeight="1" x14ac:dyDescent="0.4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4.25" customHeight="1" x14ac:dyDescent="0.4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4.25" customHeight="1" x14ac:dyDescent="0.4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4.25" customHeight="1" x14ac:dyDescent="0.4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4.25" customHeight="1" x14ac:dyDescent="0.4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4.25" customHeight="1" x14ac:dyDescent="0.4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4.25" customHeight="1" x14ac:dyDescent="0.4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4.25" customHeight="1" x14ac:dyDescent="0.4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4.25" customHeight="1" x14ac:dyDescent="0.4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4.25" customHeight="1" x14ac:dyDescent="0.4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4.25" customHeight="1" x14ac:dyDescent="0.4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4.25" customHeight="1" x14ac:dyDescent="0.4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4.25" customHeight="1" x14ac:dyDescent="0.4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4.25"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4.25" customHeight="1" x14ac:dyDescent="0.4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4.25" customHeight="1" x14ac:dyDescent="0.4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4.25" customHeight="1" x14ac:dyDescent="0.4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4.25" customHeight="1" x14ac:dyDescent="0.4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4.25" customHeight="1" x14ac:dyDescent="0.4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4.25" customHeight="1" x14ac:dyDescent="0.4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4.25" customHeight="1" x14ac:dyDescent="0.4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4.25" customHeight="1" x14ac:dyDescent="0.4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4.25"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4.25"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4.25"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4.25"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4.2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4.2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4.2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4.2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4.2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4.2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4.2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4.2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4.2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4.2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4.2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4.2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4.2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4.2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4.2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4.2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4.2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4.2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4.2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4.2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4.2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4.2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4.2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4.2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4.2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4.2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4.2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4.2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4.2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4.2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4.2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4.2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4.2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4.2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4.2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4.2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4.2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4.2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4.2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4.2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4.2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4.2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4.2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4.2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4.2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4.2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4.2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4.2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4.2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4.2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4.2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4.2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4.2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4.2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4.2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4.2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4.2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4.2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4.2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4.2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4.2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4.2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4.2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4.2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4.2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4.2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4.2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4.2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4.2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4.2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4.2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4.2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4.2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4.2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4.2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4.2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4.2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4.2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4.2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4.2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4.2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4.2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4.2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4.2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4.2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4.2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4.2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4.2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4.2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4.2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4.2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4.2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4.2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4.2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4.2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4.2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4.2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4.2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4.2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4.2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4.2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4.2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4.2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4.2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4.2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4.2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4.2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4.2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4.2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4.2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4.2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4.2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4.2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4.2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4.2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4.2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4.2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4.2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4.2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4.2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4.2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4.2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4.2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4.2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4.2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4.2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4.2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4.2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4.2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4.2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4.2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4.2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4.2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4.2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4.2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4.2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4.2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4.2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4.2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4.2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4.2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4.2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4.2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4.2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4.2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4.2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4.2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x14ac:dyDescent="0.4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row>
    <row r="295" spans="1:37" ht="15.75" customHeight="1" x14ac:dyDescent="0.4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row>
    <row r="296" spans="1:37" ht="15.75" customHeight="1" x14ac:dyDescent="0.4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row>
    <row r="297" spans="1:37" ht="15.75" customHeight="1" x14ac:dyDescent="0.4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row>
    <row r="298" spans="1:37" ht="15.75" customHeight="1" x14ac:dyDescent="0.4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row>
    <row r="299" spans="1:37" ht="15.75" customHeight="1" x14ac:dyDescent="0.4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row>
    <row r="300" spans="1:37" ht="15.75" customHeight="1" x14ac:dyDescent="0.4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row>
    <row r="301" spans="1:37" ht="15.75" customHeight="1" x14ac:dyDescent="0.4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row>
    <row r="302" spans="1:37" ht="15.75" customHeight="1" x14ac:dyDescent="0.4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row>
    <row r="303" spans="1:37" ht="15.75" customHeight="1" x14ac:dyDescent="0.4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row>
    <row r="304" spans="1:37" ht="15.75" customHeight="1" x14ac:dyDescent="0.4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row>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hyperlinks>
    <hyperlink ref="C93" r:id="rId1" xr:uid="{00000000-0004-0000-1100-000000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000"/>
  <sheetViews>
    <sheetView topLeftCell="A2" workbookViewId="0">
      <selection activeCell="D18" sqref="D18"/>
    </sheetView>
  </sheetViews>
  <sheetFormatPr defaultColWidth="12.69140625" defaultRowHeight="15" customHeight="1" x14ac:dyDescent="0.45"/>
  <cols>
    <col min="1" max="2" width="8.3828125" customWidth="1"/>
    <col min="3" max="3" width="61.23046875" customWidth="1"/>
    <col min="4" max="37" width="8.3828125" customWidth="1"/>
  </cols>
  <sheetData>
    <row r="1" spans="1:37" ht="13.5" customHeight="1" x14ac:dyDescent="0.45">
      <c r="A1" s="618"/>
      <c r="B1" s="54"/>
      <c r="C1" s="619" t="s">
        <v>19</v>
      </c>
      <c r="D1" s="350">
        <v>2018</v>
      </c>
      <c r="E1" s="350">
        <v>2019</v>
      </c>
      <c r="F1" s="350">
        <v>2020</v>
      </c>
      <c r="G1" s="349">
        <v>2021</v>
      </c>
      <c r="H1" s="349">
        <v>2022</v>
      </c>
      <c r="I1" s="349">
        <v>2023</v>
      </c>
      <c r="J1" s="349">
        <v>2024</v>
      </c>
      <c r="K1" s="349">
        <v>2025</v>
      </c>
      <c r="L1" s="349">
        <v>2026</v>
      </c>
      <c r="M1" s="349">
        <v>2027</v>
      </c>
      <c r="N1" s="349">
        <v>2028</v>
      </c>
      <c r="O1" s="349">
        <v>2029</v>
      </c>
      <c r="P1" s="349">
        <v>2030</v>
      </c>
      <c r="Q1" s="349">
        <v>2031</v>
      </c>
      <c r="R1" s="349">
        <v>2032</v>
      </c>
      <c r="S1" s="349">
        <v>2033</v>
      </c>
      <c r="T1" s="349">
        <v>2034</v>
      </c>
      <c r="U1" s="349">
        <v>2035</v>
      </c>
      <c r="V1" s="349">
        <v>2036</v>
      </c>
      <c r="W1" s="349">
        <v>2037</v>
      </c>
      <c r="X1" s="349">
        <v>2038</v>
      </c>
      <c r="Y1" s="349">
        <v>2039</v>
      </c>
      <c r="Z1" s="349">
        <v>2040</v>
      </c>
      <c r="AA1" s="349">
        <v>2041</v>
      </c>
      <c r="AB1" s="349">
        <v>2042</v>
      </c>
      <c r="AC1" s="349">
        <v>2043</v>
      </c>
      <c r="AD1" s="349">
        <v>2044</v>
      </c>
      <c r="AE1" s="349">
        <v>2045</v>
      </c>
      <c r="AF1" s="349">
        <v>2046</v>
      </c>
      <c r="AG1" s="349">
        <v>2047</v>
      </c>
      <c r="AH1" s="349">
        <v>2048</v>
      </c>
      <c r="AI1" s="349">
        <v>2049</v>
      </c>
      <c r="AJ1" s="349">
        <v>2050</v>
      </c>
      <c r="AK1" s="71"/>
    </row>
    <row r="2" spans="1:37" ht="13.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13.5" customHeight="1" x14ac:dyDescent="0.45">
      <c r="A3" s="618"/>
      <c r="B3" s="7"/>
      <c r="C3" s="103"/>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9"/>
    </row>
    <row r="4" spans="1:37" ht="13.5" customHeight="1" x14ac:dyDescent="0.45">
      <c r="A4" s="618"/>
      <c r="B4" s="106"/>
      <c r="C4" s="107" t="s">
        <v>529</v>
      </c>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4"/>
    </row>
    <row r="5" spans="1:37" ht="13.5" customHeight="1" x14ac:dyDescent="0.45">
      <c r="A5" s="618">
        <v>1</v>
      </c>
      <c r="B5" s="160"/>
      <c r="C5" s="111" t="s">
        <v>530</v>
      </c>
      <c r="D5" s="162"/>
      <c r="E5" s="162"/>
      <c r="F5" s="162"/>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431"/>
    </row>
    <row r="6" spans="1:37" ht="13.5" customHeight="1" x14ac:dyDescent="0.45">
      <c r="A6" s="618"/>
      <c r="B6" s="160"/>
      <c r="C6" s="111" t="s">
        <v>1034</v>
      </c>
      <c r="D6" s="573" t="s">
        <v>604</v>
      </c>
      <c r="E6" s="573" t="s">
        <v>605</v>
      </c>
      <c r="F6" s="573" t="s">
        <v>606</v>
      </c>
      <c r="G6" s="174"/>
      <c r="H6" s="571" t="s">
        <v>603</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431"/>
    </row>
    <row r="7" spans="1:37" ht="13.5" customHeight="1" x14ac:dyDescent="0.45">
      <c r="A7" s="618"/>
      <c r="B7" s="160"/>
      <c r="C7" s="115" t="s">
        <v>536</v>
      </c>
      <c r="D7" s="436">
        <v>9.5000000000000005E-5</v>
      </c>
      <c r="E7" s="162">
        <v>7.2000000000000005E-4</v>
      </c>
      <c r="F7" s="162" t="s">
        <v>221</v>
      </c>
      <c r="G7" s="174"/>
      <c r="H7" s="174" t="s">
        <v>604</v>
      </c>
      <c r="I7" s="162">
        <v>1</v>
      </c>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431"/>
    </row>
    <row r="8" spans="1:37" ht="13.5" customHeight="1" x14ac:dyDescent="0.45">
      <c r="A8" s="618"/>
      <c r="B8" s="160"/>
      <c r="C8" s="115" t="s">
        <v>538</v>
      </c>
      <c r="D8" s="436">
        <v>4.1000000000000002E-2</v>
      </c>
      <c r="E8" s="162">
        <v>2.5000000000000001E-5</v>
      </c>
      <c r="F8" s="162">
        <v>6.4000000000000001E-7</v>
      </c>
      <c r="G8" s="174"/>
      <c r="H8" s="174" t="s">
        <v>605</v>
      </c>
      <c r="I8" s="162">
        <v>25</v>
      </c>
      <c r="J8" s="174"/>
      <c r="K8" s="174"/>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4"/>
      <c r="AK8" s="431"/>
    </row>
    <row r="9" spans="1:37" ht="13.5" customHeight="1" x14ac:dyDescent="0.45">
      <c r="A9" s="618"/>
      <c r="B9" s="160"/>
      <c r="C9" s="115" t="s">
        <v>539</v>
      </c>
      <c r="D9" s="436">
        <f>0.0001</f>
        <v>1E-4</v>
      </c>
      <c r="E9" s="162">
        <v>3.3000000000000003E-5</v>
      </c>
      <c r="F9" s="162" t="s">
        <v>221</v>
      </c>
      <c r="G9" s="174"/>
      <c r="H9" s="174" t="s">
        <v>606</v>
      </c>
      <c r="I9" s="162">
        <v>298</v>
      </c>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431"/>
    </row>
    <row r="10" spans="1:37" ht="13.5" customHeight="1" x14ac:dyDescent="0.45">
      <c r="A10" s="618"/>
      <c r="B10" s="160"/>
      <c r="C10" s="115" t="s">
        <v>540</v>
      </c>
      <c r="D10" s="436">
        <f>0.00000011</f>
        <v>1.1000000000000001E-7</v>
      </c>
      <c r="E10" s="162">
        <v>1.5E-6</v>
      </c>
      <c r="F10" s="162" t="s">
        <v>221</v>
      </c>
      <c r="G10" s="174"/>
      <c r="H10" s="174"/>
      <c r="I10" s="174"/>
      <c r="J10" s="174"/>
      <c r="K10" s="174"/>
      <c r="L10" s="174"/>
      <c r="M10" s="174"/>
      <c r="N10" s="174"/>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431"/>
    </row>
    <row r="11" spans="1:37" ht="13.5" customHeight="1" x14ac:dyDescent="0.45">
      <c r="A11" s="618"/>
      <c r="B11" s="160"/>
      <c r="C11" s="115" t="s">
        <v>541</v>
      </c>
      <c r="D11" s="436">
        <f>0.00000049</f>
        <v>4.8999999999999997E-7</v>
      </c>
      <c r="E11" s="162">
        <v>5.4E-6</v>
      </c>
      <c r="F11" s="162" t="s">
        <v>221</v>
      </c>
      <c r="G11" s="174"/>
      <c r="H11" s="174"/>
      <c r="I11" s="174"/>
      <c r="J11" s="174"/>
      <c r="K11" s="174"/>
      <c r="L11" s="174"/>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431"/>
    </row>
    <row r="12" spans="1:37" ht="13.5" customHeight="1" x14ac:dyDescent="0.45">
      <c r="A12" s="618"/>
      <c r="B12" s="160"/>
      <c r="C12" s="111" t="s">
        <v>1035</v>
      </c>
      <c r="D12" s="573" t="s">
        <v>604</v>
      </c>
      <c r="E12" s="573" t="s">
        <v>605</v>
      </c>
      <c r="F12" s="573" t="s">
        <v>606</v>
      </c>
      <c r="G12" s="174"/>
      <c r="H12" s="174"/>
      <c r="I12" s="174"/>
      <c r="J12" s="174"/>
      <c r="K12" s="174"/>
      <c r="L12" s="174"/>
      <c r="M12" s="174"/>
      <c r="N12" s="174"/>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431"/>
    </row>
    <row r="13" spans="1:37" ht="13.5" customHeight="1" x14ac:dyDescent="0.45">
      <c r="A13" s="618"/>
      <c r="B13" s="160"/>
      <c r="C13" s="115" t="s">
        <v>538</v>
      </c>
      <c r="D13" s="436">
        <f>0.0012</f>
        <v>1.1999999999999999E-3</v>
      </c>
      <c r="E13" s="162">
        <v>7.6000000000000003E-7</v>
      </c>
      <c r="F13" s="433">
        <v>2.0999999999999999E-8</v>
      </c>
      <c r="G13" s="174"/>
      <c r="H13" s="571" t="s">
        <v>603</v>
      </c>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431"/>
    </row>
    <row r="14" spans="1:37" ht="13.5" customHeight="1" x14ac:dyDescent="0.45">
      <c r="A14" s="618"/>
      <c r="B14" s="160"/>
      <c r="C14" s="115" t="s">
        <v>539</v>
      </c>
      <c r="D14" s="436">
        <f>0.0001</f>
        <v>1E-4</v>
      </c>
      <c r="E14" s="162">
        <v>3.3000000000000003E-5</v>
      </c>
      <c r="F14" s="162" t="s">
        <v>221</v>
      </c>
      <c r="G14" s="174"/>
      <c r="H14" s="174" t="s">
        <v>604</v>
      </c>
      <c r="I14" s="162">
        <v>1</v>
      </c>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431"/>
    </row>
    <row r="15" spans="1:37" ht="13.5" customHeight="1" x14ac:dyDescent="0.45">
      <c r="A15" s="618"/>
      <c r="B15" s="160"/>
      <c r="C15" s="115" t="s">
        <v>543</v>
      </c>
      <c r="D15" s="436">
        <f>0.000014</f>
        <v>1.4E-5</v>
      </c>
      <c r="E15" s="162">
        <v>3.8000000000000002E-4</v>
      </c>
      <c r="F15" s="162" t="s">
        <v>221</v>
      </c>
      <c r="G15" s="174"/>
      <c r="H15" s="174" t="s">
        <v>605</v>
      </c>
      <c r="I15" s="162">
        <v>25</v>
      </c>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431"/>
    </row>
    <row r="16" spans="1:37" ht="13.5" customHeight="1" x14ac:dyDescent="0.45">
      <c r="A16" s="618"/>
      <c r="B16" s="160"/>
      <c r="C16" s="115" t="s">
        <v>544</v>
      </c>
      <c r="D16" s="436">
        <f>0.000012</f>
        <v>1.2E-5</v>
      </c>
      <c r="E16" s="162">
        <v>1.4999999999999999E-4</v>
      </c>
      <c r="F16" s="162" t="s">
        <v>221</v>
      </c>
      <c r="G16" s="174"/>
      <c r="H16" s="174" t="s">
        <v>606</v>
      </c>
      <c r="I16" s="162">
        <v>298</v>
      </c>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431"/>
    </row>
    <row r="17" spans="1:37" ht="13.5" customHeight="1" x14ac:dyDescent="0.45">
      <c r="A17" s="618"/>
      <c r="B17" s="160"/>
      <c r="C17" s="115" t="s">
        <v>545</v>
      </c>
      <c r="D17" s="436">
        <f>0.00000088</f>
        <v>8.8000000000000004E-7</v>
      </c>
      <c r="E17" s="162">
        <v>6.6000000000000005E-5</v>
      </c>
      <c r="F17" s="162" t="s">
        <v>221</v>
      </c>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431"/>
    </row>
    <row r="18" spans="1:37" ht="13.5" customHeight="1" x14ac:dyDescent="0.45">
      <c r="A18" s="618"/>
      <c r="B18" s="160"/>
      <c r="C18" s="115" t="s">
        <v>320</v>
      </c>
      <c r="D18" s="436">
        <f>0.000051</f>
        <v>5.1E-5</v>
      </c>
      <c r="E18" s="162">
        <v>1.1000000000000001E-3</v>
      </c>
      <c r="F18" s="162" t="s">
        <v>221</v>
      </c>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431"/>
    </row>
    <row r="19" spans="1:37" ht="13.5" customHeight="1" x14ac:dyDescent="0.45">
      <c r="A19" s="618"/>
      <c r="B19" s="160"/>
      <c r="C19" s="111" t="s">
        <v>1036</v>
      </c>
      <c r="D19" s="162" t="s">
        <v>221</v>
      </c>
      <c r="E19" s="162" t="s">
        <v>221</v>
      </c>
      <c r="F19" s="162" t="s">
        <v>221</v>
      </c>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c r="AE19" s="174"/>
      <c r="AF19" s="174"/>
      <c r="AG19" s="174"/>
      <c r="AH19" s="174"/>
      <c r="AI19" s="174"/>
      <c r="AJ19" s="174"/>
      <c r="AK19" s="431"/>
    </row>
    <row r="20" spans="1:37" ht="13.5" customHeight="1" x14ac:dyDescent="0.45">
      <c r="A20" s="618"/>
      <c r="B20" s="106"/>
      <c r="C20" s="323"/>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4"/>
    </row>
    <row r="21" spans="1:37" ht="13.5" customHeight="1" x14ac:dyDescent="0.45">
      <c r="A21" s="618"/>
      <c r="B21" s="160"/>
      <c r="C21" s="111" t="s">
        <v>546</v>
      </c>
      <c r="D21" s="174"/>
      <c r="E21" s="174"/>
      <c r="F21" s="174"/>
      <c r="G21" s="174"/>
      <c r="H21" s="174"/>
      <c r="I21" s="174"/>
      <c r="J21" s="174"/>
      <c r="K21" s="174"/>
      <c r="L21" s="174"/>
      <c r="M21" s="174"/>
      <c r="N21" s="174"/>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431"/>
    </row>
    <row r="22" spans="1:37" ht="13.5" customHeight="1" x14ac:dyDescent="0.45">
      <c r="A22" s="618"/>
      <c r="B22" s="160"/>
      <c r="C22" s="111"/>
      <c r="D22" s="174"/>
      <c r="E22" s="174"/>
      <c r="F22" s="174"/>
      <c r="G22" s="174"/>
      <c r="H22" s="174"/>
      <c r="I22" s="174"/>
      <c r="J22" s="174"/>
      <c r="K22" s="174"/>
      <c r="L22" s="174"/>
      <c r="M22" s="174"/>
      <c r="N22" s="174"/>
      <c r="O22" s="174"/>
      <c r="P22" s="174"/>
      <c r="Q22" s="174"/>
      <c r="R22" s="174"/>
      <c r="S22" s="174"/>
      <c r="T22" s="174"/>
      <c r="U22" s="174"/>
      <c r="V22" s="174"/>
      <c r="W22" s="174"/>
      <c r="X22" s="174"/>
      <c r="Y22" s="174"/>
      <c r="Z22" s="174"/>
      <c r="AA22" s="174"/>
      <c r="AB22" s="174"/>
      <c r="AC22" s="174"/>
      <c r="AD22" s="174"/>
      <c r="AE22" s="174"/>
      <c r="AF22" s="174"/>
      <c r="AG22" s="174"/>
      <c r="AH22" s="174"/>
      <c r="AI22" s="174"/>
      <c r="AJ22" s="174"/>
      <c r="AK22" s="431"/>
    </row>
    <row r="23" spans="1:37" ht="13.5" customHeight="1" x14ac:dyDescent="0.45">
      <c r="A23" s="618">
        <v>2</v>
      </c>
      <c r="B23" s="160"/>
      <c r="C23" s="111" t="s">
        <v>547</v>
      </c>
      <c r="D23" s="174"/>
      <c r="E23" s="174"/>
      <c r="F23" s="174"/>
      <c r="G23" s="174"/>
      <c r="H23" s="174"/>
      <c r="I23" s="174"/>
      <c r="J23" s="174"/>
      <c r="K23" s="174"/>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431"/>
    </row>
    <row r="24" spans="1:37" ht="13.5" customHeight="1" x14ac:dyDescent="0.45">
      <c r="A24" s="618"/>
      <c r="B24" s="160"/>
      <c r="C24" s="111" t="s">
        <v>1037</v>
      </c>
      <c r="D24" s="573" t="s">
        <v>604</v>
      </c>
      <c r="E24" s="573" t="s">
        <v>605</v>
      </c>
      <c r="F24" s="573" t="s">
        <v>606</v>
      </c>
      <c r="G24" s="174"/>
      <c r="H24" s="571" t="s">
        <v>603</v>
      </c>
      <c r="I24" s="174"/>
      <c r="J24" s="174"/>
      <c r="K24" s="174"/>
      <c r="L24" s="174"/>
      <c r="M24" s="174"/>
      <c r="N24" s="174"/>
      <c r="O24" s="174"/>
      <c r="P24" s="174"/>
      <c r="Q24" s="174"/>
      <c r="R24" s="174"/>
      <c r="S24" s="174"/>
      <c r="T24" s="174"/>
      <c r="U24" s="174"/>
      <c r="V24" s="174"/>
      <c r="W24" s="174"/>
      <c r="X24" s="174"/>
      <c r="Y24" s="174"/>
      <c r="Z24" s="174"/>
      <c r="AA24" s="174"/>
      <c r="AB24" s="174"/>
      <c r="AC24" s="174"/>
      <c r="AD24" s="174"/>
      <c r="AE24" s="174"/>
      <c r="AF24" s="174"/>
      <c r="AG24" s="174"/>
      <c r="AH24" s="174"/>
      <c r="AI24" s="174"/>
      <c r="AJ24" s="174"/>
      <c r="AK24" s="431"/>
    </row>
    <row r="25" spans="1:37" ht="13.5" customHeight="1" x14ac:dyDescent="0.45">
      <c r="A25" s="618"/>
      <c r="B25" s="160"/>
      <c r="C25" s="115" t="s">
        <v>549</v>
      </c>
      <c r="D25" s="162">
        <v>74100</v>
      </c>
      <c r="E25" s="162">
        <v>3</v>
      </c>
      <c r="F25" s="162">
        <v>0.6</v>
      </c>
      <c r="G25" s="174"/>
      <c r="H25" s="174" t="s">
        <v>604</v>
      </c>
      <c r="I25" s="162">
        <v>1</v>
      </c>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431"/>
    </row>
    <row r="26" spans="1:37" ht="13.5" customHeight="1" x14ac:dyDescent="0.45">
      <c r="A26" s="618"/>
      <c r="B26" s="160"/>
      <c r="C26" s="115" t="s">
        <v>550</v>
      </c>
      <c r="D26" s="162">
        <v>77400</v>
      </c>
      <c r="E26" s="162">
        <v>3</v>
      </c>
      <c r="F26" s="162">
        <v>0.6</v>
      </c>
      <c r="G26" s="174"/>
      <c r="H26" s="174" t="s">
        <v>605</v>
      </c>
      <c r="I26" s="162">
        <v>25</v>
      </c>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431"/>
    </row>
    <row r="27" spans="1:37" ht="13.5" customHeight="1" x14ac:dyDescent="0.45">
      <c r="A27" s="618"/>
      <c r="B27" s="160"/>
      <c r="C27" s="115" t="s">
        <v>551</v>
      </c>
      <c r="D27" s="162">
        <v>56100</v>
      </c>
      <c r="E27" s="162">
        <v>1</v>
      </c>
      <c r="F27" s="162">
        <v>0.1</v>
      </c>
      <c r="G27" s="174"/>
      <c r="H27" s="174" t="s">
        <v>606</v>
      </c>
      <c r="I27" s="162">
        <v>298</v>
      </c>
      <c r="J27" s="174"/>
      <c r="K27" s="174"/>
      <c r="L27" s="174"/>
      <c r="M27" s="174"/>
      <c r="N27" s="174"/>
      <c r="O27" s="174"/>
      <c r="P27" s="174"/>
      <c r="Q27" s="174"/>
      <c r="R27" s="174"/>
      <c r="S27" s="174"/>
      <c r="T27" s="174"/>
      <c r="U27" s="174"/>
      <c r="V27" s="174"/>
      <c r="W27" s="174"/>
      <c r="X27" s="174"/>
      <c r="Y27" s="174"/>
      <c r="Z27" s="174"/>
      <c r="AA27" s="174"/>
      <c r="AB27" s="174"/>
      <c r="AC27" s="174"/>
      <c r="AD27" s="174"/>
      <c r="AE27" s="174"/>
      <c r="AF27" s="174"/>
      <c r="AG27" s="174"/>
      <c r="AH27" s="174"/>
      <c r="AI27" s="174"/>
      <c r="AJ27" s="174"/>
      <c r="AK27" s="431"/>
    </row>
    <row r="28" spans="1:37" ht="13.5" customHeight="1" x14ac:dyDescent="0.45">
      <c r="A28" s="618"/>
      <c r="B28" s="160"/>
      <c r="C28" s="115" t="s">
        <v>552</v>
      </c>
      <c r="D28" s="162">
        <v>100000</v>
      </c>
      <c r="E28" s="162">
        <v>30</v>
      </c>
      <c r="F28" s="162">
        <v>4</v>
      </c>
      <c r="G28" s="174"/>
      <c r="H28" s="174"/>
      <c r="I28" s="174"/>
      <c r="J28" s="174"/>
      <c r="K28" s="174"/>
      <c r="L28" s="174"/>
      <c r="M28" s="174"/>
      <c r="N28" s="174"/>
      <c r="O28" s="174"/>
      <c r="P28" s="174"/>
      <c r="Q28" s="174"/>
      <c r="R28" s="174"/>
      <c r="S28" s="174"/>
      <c r="T28" s="174"/>
      <c r="U28" s="174"/>
      <c r="V28" s="174"/>
      <c r="W28" s="174"/>
      <c r="X28" s="174"/>
      <c r="Y28" s="174"/>
      <c r="Z28" s="174"/>
      <c r="AA28" s="174"/>
      <c r="AB28" s="174"/>
      <c r="AC28" s="174"/>
      <c r="AD28" s="174"/>
      <c r="AE28" s="174"/>
      <c r="AF28" s="174"/>
      <c r="AG28" s="174"/>
      <c r="AH28" s="174"/>
      <c r="AI28" s="174"/>
      <c r="AJ28" s="174"/>
      <c r="AK28" s="431"/>
    </row>
    <row r="29" spans="1:37" ht="13.5" customHeight="1" x14ac:dyDescent="0.45">
      <c r="A29" s="618"/>
      <c r="B29" s="160"/>
      <c r="C29" s="115"/>
      <c r="D29" s="162"/>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431"/>
    </row>
    <row r="30" spans="1:37" ht="13.5" customHeight="1" x14ac:dyDescent="0.45">
      <c r="A30" s="618">
        <v>3</v>
      </c>
      <c r="B30" s="160"/>
      <c r="C30" s="111" t="s">
        <v>553</v>
      </c>
      <c r="D30" s="162"/>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431"/>
    </row>
    <row r="31" spans="1:37" ht="13.5" customHeight="1" x14ac:dyDescent="0.45">
      <c r="A31" s="618"/>
      <c r="B31" s="160"/>
      <c r="C31" s="111" t="s">
        <v>1037</v>
      </c>
      <c r="D31" s="573" t="s">
        <v>604</v>
      </c>
      <c r="E31" s="573" t="s">
        <v>605</v>
      </c>
      <c r="F31" s="573" t="s">
        <v>606</v>
      </c>
      <c r="G31" s="174"/>
      <c r="H31" s="571" t="s">
        <v>603</v>
      </c>
      <c r="I31" s="174"/>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431"/>
    </row>
    <row r="32" spans="1:37" ht="13.5" customHeight="1" x14ac:dyDescent="0.45">
      <c r="A32" s="618"/>
      <c r="B32" s="160"/>
      <c r="C32" s="115" t="s">
        <v>554</v>
      </c>
      <c r="D32" s="162">
        <v>69300</v>
      </c>
      <c r="E32" s="162">
        <v>3</v>
      </c>
      <c r="F32" s="162">
        <v>0.6</v>
      </c>
      <c r="G32" s="174"/>
      <c r="H32" s="174" t="s">
        <v>604</v>
      </c>
      <c r="I32" s="162">
        <v>1</v>
      </c>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431"/>
    </row>
    <row r="33" spans="1:37" ht="13.5" customHeight="1" x14ac:dyDescent="0.45">
      <c r="A33" s="618"/>
      <c r="B33" s="160"/>
      <c r="C33" s="115" t="s">
        <v>555</v>
      </c>
      <c r="D33" s="162">
        <v>71500</v>
      </c>
      <c r="E33" s="162">
        <v>3</v>
      </c>
      <c r="F33" s="162">
        <v>0.6</v>
      </c>
      <c r="G33" s="174"/>
      <c r="H33" s="174" t="s">
        <v>605</v>
      </c>
      <c r="I33" s="162">
        <v>25</v>
      </c>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431"/>
    </row>
    <row r="34" spans="1:37" ht="13.5" customHeight="1" x14ac:dyDescent="0.45">
      <c r="A34" s="618"/>
      <c r="B34" s="160"/>
      <c r="C34" s="115" t="s">
        <v>549</v>
      </c>
      <c r="D34" s="162">
        <v>74100</v>
      </c>
      <c r="E34" s="162">
        <v>3</v>
      </c>
      <c r="F34" s="162">
        <v>0.6</v>
      </c>
      <c r="G34" s="174"/>
      <c r="H34" s="174" t="s">
        <v>606</v>
      </c>
      <c r="I34" s="162">
        <v>298</v>
      </c>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431"/>
    </row>
    <row r="35" spans="1:37" ht="13.5" customHeight="1" x14ac:dyDescent="0.45">
      <c r="A35" s="618"/>
      <c r="B35" s="160"/>
      <c r="C35" s="115" t="s">
        <v>550</v>
      </c>
      <c r="D35" s="162">
        <v>77400</v>
      </c>
      <c r="E35" s="162">
        <v>3</v>
      </c>
      <c r="F35" s="162">
        <v>0.6</v>
      </c>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431"/>
    </row>
    <row r="36" spans="1:37" ht="13.5" customHeight="1" x14ac:dyDescent="0.45">
      <c r="A36" s="618"/>
      <c r="B36" s="160"/>
      <c r="C36" s="115" t="s">
        <v>556</v>
      </c>
      <c r="D36" s="162">
        <v>63100</v>
      </c>
      <c r="E36" s="162">
        <v>1</v>
      </c>
      <c r="F36" s="162">
        <v>0.1</v>
      </c>
      <c r="G36" s="174"/>
      <c r="H36" s="174"/>
      <c r="I36" s="174"/>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431"/>
    </row>
    <row r="37" spans="1:37" ht="13.5" customHeight="1" x14ac:dyDescent="0.45">
      <c r="A37" s="618"/>
      <c r="B37" s="160"/>
      <c r="C37" s="115" t="s">
        <v>557</v>
      </c>
      <c r="D37" s="162">
        <v>57600</v>
      </c>
      <c r="E37" s="162">
        <v>1</v>
      </c>
      <c r="F37" s="162">
        <v>0.1</v>
      </c>
      <c r="G37" s="174"/>
      <c r="H37" s="174"/>
      <c r="I37" s="174"/>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431"/>
    </row>
    <row r="38" spans="1:37" ht="13.5" customHeight="1" x14ac:dyDescent="0.45">
      <c r="A38" s="618"/>
      <c r="B38" s="160"/>
      <c r="C38" s="115"/>
      <c r="D38" s="162"/>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431"/>
    </row>
    <row r="39" spans="1:37" ht="13.5" customHeight="1" x14ac:dyDescent="0.45">
      <c r="A39" s="618">
        <v>4</v>
      </c>
      <c r="B39" s="160"/>
      <c r="C39" s="111" t="s">
        <v>558</v>
      </c>
      <c r="D39" s="162"/>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431"/>
    </row>
    <row r="40" spans="1:37" ht="13.5" customHeight="1" x14ac:dyDescent="0.45">
      <c r="A40" s="618"/>
      <c r="B40" s="160"/>
      <c r="C40" s="111" t="s">
        <v>1037</v>
      </c>
      <c r="D40" s="573" t="s">
        <v>604</v>
      </c>
      <c r="E40" s="573" t="s">
        <v>605</v>
      </c>
      <c r="F40" s="573" t="s">
        <v>606</v>
      </c>
      <c r="G40" s="174"/>
      <c r="H40" s="174"/>
      <c r="I40" s="174"/>
      <c r="J40" s="174"/>
      <c r="K40" s="174"/>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431"/>
    </row>
    <row r="41" spans="1:37" ht="13.5" customHeight="1" x14ac:dyDescent="0.45">
      <c r="A41" s="618"/>
      <c r="B41" s="160"/>
      <c r="C41" s="115" t="s">
        <v>559</v>
      </c>
      <c r="D41" s="162">
        <v>56100</v>
      </c>
      <c r="E41" s="162">
        <v>5</v>
      </c>
      <c r="F41" s="162">
        <v>0.1</v>
      </c>
      <c r="G41" s="174"/>
      <c r="H41" s="174"/>
      <c r="I41" s="174"/>
      <c r="J41" s="174"/>
      <c r="K41" s="174"/>
      <c r="L41" s="174"/>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431"/>
    </row>
    <row r="42" spans="1:37" ht="13.5" customHeight="1" x14ac:dyDescent="0.45">
      <c r="A42" s="618"/>
      <c r="B42" s="160"/>
      <c r="C42" s="115" t="s">
        <v>560</v>
      </c>
      <c r="D42" s="572">
        <v>112000</v>
      </c>
      <c r="E42" s="162">
        <v>300</v>
      </c>
      <c r="F42" s="162">
        <v>4</v>
      </c>
      <c r="G42" s="174"/>
      <c r="H42" s="571" t="s">
        <v>603</v>
      </c>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431"/>
    </row>
    <row r="43" spans="1:37" ht="13.5" customHeight="1" x14ac:dyDescent="0.45">
      <c r="A43" s="618"/>
      <c r="B43" s="160"/>
      <c r="C43" s="115" t="s">
        <v>556</v>
      </c>
      <c r="D43" s="162">
        <v>63100</v>
      </c>
      <c r="E43" s="162">
        <v>5</v>
      </c>
      <c r="F43" s="162">
        <v>0.1</v>
      </c>
      <c r="G43" s="174"/>
      <c r="H43" s="174" t="s">
        <v>604</v>
      </c>
      <c r="I43" s="162">
        <v>1</v>
      </c>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431"/>
    </row>
    <row r="44" spans="1:37" ht="13.5" customHeight="1" x14ac:dyDescent="0.45">
      <c r="A44" s="618"/>
      <c r="B44" s="160"/>
      <c r="C44" s="115" t="s">
        <v>561</v>
      </c>
      <c r="D44" s="162">
        <v>69300</v>
      </c>
      <c r="E44" s="162">
        <v>10</v>
      </c>
      <c r="F44" s="162">
        <v>0.6</v>
      </c>
      <c r="G44" s="174"/>
      <c r="H44" s="174" t="s">
        <v>605</v>
      </c>
      <c r="I44" s="162">
        <v>25</v>
      </c>
      <c r="J44" s="174"/>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431"/>
    </row>
    <row r="45" spans="1:37" ht="13.5" customHeight="1" x14ac:dyDescent="0.45">
      <c r="A45" s="618"/>
      <c r="B45" s="160"/>
      <c r="C45" s="115" t="s">
        <v>562</v>
      </c>
      <c r="D45" s="162">
        <v>70000</v>
      </c>
      <c r="E45" s="162">
        <v>10</v>
      </c>
      <c r="F45" s="162">
        <v>0.6</v>
      </c>
      <c r="G45" s="174"/>
      <c r="H45" s="174" t="s">
        <v>606</v>
      </c>
      <c r="I45" s="162">
        <v>298</v>
      </c>
      <c r="J45" s="174"/>
      <c r="K45" s="174"/>
      <c r="L45" s="174"/>
      <c r="M45" s="174"/>
      <c r="N45" s="174"/>
      <c r="O45" s="174"/>
      <c r="P45" s="174"/>
      <c r="Q45" s="174"/>
      <c r="R45" s="174"/>
      <c r="S45" s="174"/>
      <c r="T45" s="174"/>
      <c r="U45" s="174"/>
      <c r="V45" s="174"/>
      <c r="W45" s="174"/>
      <c r="X45" s="174"/>
      <c r="Y45" s="174"/>
      <c r="Z45" s="174"/>
      <c r="AA45" s="174"/>
      <c r="AB45" s="174"/>
      <c r="AC45" s="174"/>
      <c r="AD45" s="174"/>
      <c r="AE45" s="174"/>
      <c r="AF45" s="174"/>
      <c r="AG45" s="174"/>
      <c r="AH45" s="174"/>
      <c r="AI45" s="174"/>
      <c r="AJ45" s="174"/>
      <c r="AK45" s="431"/>
    </row>
    <row r="46" spans="1:37" ht="13.5" customHeight="1" x14ac:dyDescent="0.45">
      <c r="A46" s="618"/>
      <c r="B46" s="160"/>
      <c r="C46" s="115" t="s">
        <v>555</v>
      </c>
      <c r="D46" s="162">
        <v>71500</v>
      </c>
      <c r="E46" s="162">
        <v>10</v>
      </c>
      <c r="F46" s="162">
        <v>0.6</v>
      </c>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c r="AE46" s="174"/>
      <c r="AF46" s="174"/>
      <c r="AG46" s="174"/>
      <c r="AH46" s="174"/>
      <c r="AI46" s="174"/>
      <c r="AJ46" s="174"/>
      <c r="AK46" s="431"/>
    </row>
    <row r="47" spans="1:37" ht="13.5" customHeight="1" x14ac:dyDescent="0.45">
      <c r="A47" s="618"/>
      <c r="B47" s="160"/>
      <c r="C47" s="115" t="s">
        <v>549</v>
      </c>
      <c r="D47" s="162">
        <v>74100</v>
      </c>
      <c r="E47" s="162">
        <v>10</v>
      </c>
      <c r="F47" s="162">
        <v>0.6</v>
      </c>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c r="AE47" s="174"/>
      <c r="AF47" s="174"/>
      <c r="AG47" s="174"/>
      <c r="AH47" s="174"/>
      <c r="AI47" s="174"/>
      <c r="AJ47" s="174"/>
      <c r="AK47" s="431"/>
    </row>
    <row r="48" spans="1:37" ht="13.5" customHeight="1" x14ac:dyDescent="0.45">
      <c r="A48" s="618"/>
      <c r="B48" s="160"/>
      <c r="C48" s="115" t="s">
        <v>550</v>
      </c>
      <c r="D48" s="162">
        <v>77400</v>
      </c>
      <c r="E48" s="162">
        <v>10</v>
      </c>
      <c r="F48" s="162">
        <v>0.6</v>
      </c>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4"/>
      <c r="AI48" s="174"/>
      <c r="AJ48" s="174"/>
      <c r="AK48" s="431"/>
    </row>
    <row r="49" spans="1:37" ht="13.5" customHeight="1" x14ac:dyDescent="0.45">
      <c r="A49" s="618"/>
      <c r="B49" s="160"/>
      <c r="C49" s="115" t="s">
        <v>563</v>
      </c>
      <c r="D49" s="162">
        <v>97500</v>
      </c>
      <c r="E49" s="162">
        <v>10</v>
      </c>
      <c r="F49" s="162">
        <v>0.6</v>
      </c>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431"/>
    </row>
    <row r="50" spans="1:37" ht="13.5" customHeight="1" x14ac:dyDescent="0.45">
      <c r="A50" s="618"/>
      <c r="B50" s="106"/>
      <c r="C50" s="32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c r="AK50" s="184"/>
    </row>
    <row r="51" spans="1:37" ht="13.5" customHeight="1" x14ac:dyDescent="0.45">
      <c r="A51" s="618">
        <v>5</v>
      </c>
      <c r="B51" s="160"/>
      <c r="C51" s="111" t="s">
        <v>564</v>
      </c>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431"/>
    </row>
    <row r="52" spans="1:37" ht="13.5" customHeight="1" x14ac:dyDescent="0.45">
      <c r="A52" s="618"/>
      <c r="B52" s="160"/>
      <c r="C52" s="115" t="s">
        <v>1038</v>
      </c>
      <c r="D52" s="116">
        <v>152.19999999999999</v>
      </c>
      <c r="E52" s="116">
        <v>164.1</v>
      </c>
      <c r="F52" s="116">
        <v>148.6</v>
      </c>
      <c r="G52" s="116">
        <v>146.1</v>
      </c>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431"/>
    </row>
    <row r="53" spans="1:37" ht="13.5" customHeight="1" x14ac:dyDescent="0.45">
      <c r="A53" s="618"/>
      <c r="B53" s="160"/>
      <c r="C53" s="115" t="s">
        <v>1039</v>
      </c>
      <c r="D53" s="116">
        <v>4</v>
      </c>
      <c r="E53" s="116">
        <v>4.4000000000000004</v>
      </c>
      <c r="F53" s="116">
        <v>3.9</v>
      </c>
      <c r="G53" s="116">
        <v>4.5999999999999996</v>
      </c>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431"/>
    </row>
    <row r="54" spans="1:37" ht="13.5" customHeight="1" x14ac:dyDescent="0.45">
      <c r="A54" s="618"/>
      <c r="B54" s="160"/>
      <c r="C54" s="115" t="s">
        <v>1040</v>
      </c>
      <c r="D54" s="116">
        <v>37.6</v>
      </c>
      <c r="E54" s="116">
        <v>36.200000000000003</v>
      </c>
      <c r="F54" s="116">
        <v>32.299999999999997</v>
      </c>
      <c r="G54" s="116">
        <v>32.6</v>
      </c>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431"/>
    </row>
    <row r="55" spans="1:37" ht="13.5" customHeight="1" x14ac:dyDescent="0.45">
      <c r="A55" s="4"/>
      <c r="B55" s="160"/>
      <c r="C55" s="111"/>
      <c r="D55" s="439"/>
      <c r="E55" s="439"/>
      <c r="F55" s="439"/>
      <c r="G55" s="439"/>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431"/>
    </row>
    <row r="56" spans="1:37" ht="13.5" customHeight="1" x14ac:dyDescent="0.45">
      <c r="A56" s="4"/>
      <c r="B56" s="160"/>
      <c r="C56" s="115" t="s">
        <v>1041</v>
      </c>
      <c r="D56" s="439">
        <f>SUM(D52:D54)</f>
        <v>193.79999999999998</v>
      </c>
      <c r="E56" s="439">
        <f>SUM(E52:E54)</f>
        <v>204.7</v>
      </c>
      <c r="F56" s="439">
        <f>SUM(F52:F54)</f>
        <v>184.8</v>
      </c>
      <c r="G56" s="439">
        <f>SUM(G52:G54)</f>
        <v>183.29999999999998</v>
      </c>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431"/>
    </row>
    <row r="57" spans="1:37" ht="13.5" customHeight="1" x14ac:dyDescent="0.45">
      <c r="A57" s="618"/>
      <c r="B57" s="118"/>
      <c r="C57" s="181"/>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2"/>
    </row>
    <row r="58" spans="1:37" ht="13.5" customHeight="1" x14ac:dyDescent="0.4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3.5" customHeight="1" x14ac:dyDescent="0.45">
      <c r="A59" s="618"/>
      <c r="B59" s="26"/>
      <c r="C59" s="212"/>
      <c r="D59" s="211"/>
      <c r="E59" s="211"/>
      <c r="F59" s="211"/>
      <c r="G59" s="211"/>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351"/>
    </row>
    <row r="60" spans="1:37" ht="13.5" customHeight="1" x14ac:dyDescent="0.45">
      <c r="A60" s="618"/>
      <c r="B60" s="215"/>
      <c r="C60" s="444" t="s">
        <v>569</v>
      </c>
      <c r="D60" s="220"/>
      <c r="E60" s="220"/>
      <c r="F60" s="220"/>
      <c r="G60" s="220"/>
      <c r="H60" s="220"/>
      <c r="I60" s="220"/>
      <c r="J60" s="220"/>
      <c r="K60" s="220"/>
      <c r="L60" s="220"/>
      <c r="M60" s="220"/>
      <c r="N60" s="220"/>
      <c r="O60" s="220"/>
      <c r="P60" s="220"/>
      <c r="Q60" s="220"/>
      <c r="R60" s="220"/>
      <c r="S60" s="220"/>
      <c r="T60" s="220"/>
      <c r="U60" s="220"/>
      <c r="V60" s="220"/>
      <c r="W60" s="220"/>
      <c r="X60" s="220"/>
      <c r="Y60" s="220"/>
      <c r="Z60" s="220"/>
      <c r="AA60" s="220"/>
      <c r="AB60" s="220"/>
      <c r="AC60" s="220"/>
      <c r="AD60" s="220"/>
      <c r="AE60" s="220"/>
      <c r="AF60" s="220"/>
      <c r="AG60" s="220"/>
      <c r="AH60" s="220"/>
      <c r="AI60" s="220"/>
      <c r="AJ60" s="220"/>
      <c r="AK60" s="352"/>
    </row>
    <row r="61" spans="1:37" ht="13.5" customHeight="1" x14ac:dyDescent="0.45">
      <c r="A61" s="618">
        <v>5</v>
      </c>
      <c r="B61" s="215"/>
      <c r="C61" s="243" t="s">
        <v>570</v>
      </c>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352"/>
    </row>
    <row r="62" spans="1:37" ht="13.5" customHeight="1" x14ac:dyDescent="0.45">
      <c r="A62" s="618"/>
      <c r="B62" s="215"/>
      <c r="C62" s="221" t="s">
        <v>1038</v>
      </c>
      <c r="D62" s="285" t="s">
        <v>221</v>
      </c>
      <c r="E62" s="285" t="s">
        <v>221</v>
      </c>
      <c r="F62" s="285" t="s">
        <v>221</v>
      </c>
      <c r="G62" s="285">
        <v>14</v>
      </c>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352"/>
    </row>
    <row r="63" spans="1:37" ht="13.5" customHeight="1" x14ac:dyDescent="0.45">
      <c r="A63" s="618"/>
      <c r="B63" s="215"/>
      <c r="C63" s="221" t="s">
        <v>1040</v>
      </c>
      <c r="D63" s="285">
        <v>569.5</v>
      </c>
      <c r="E63" s="285">
        <v>518.4</v>
      </c>
      <c r="F63" s="285">
        <v>443.1</v>
      </c>
      <c r="G63" s="285">
        <v>392</v>
      </c>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352"/>
    </row>
    <row r="64" spans="1:37" ht="13.5" customHeight="1" x14ac:dyDescent="0.45">
      <c r="A64" s="618"/>
      <c r="B64" s="215"/>
      <c r="C64" s="221" t="s">
        <v>1042</v>
      </c>
      <c r="D64" s="285" t="s">
        <v>221</v>
      </c>
      <c r="E64" s="285" t="s">
        <v>221</v>
      </c>
      <c r="F64" s="285" t="s">
        <v>221</v>
      </c>
      <c r="G64" s="285">
        <v>38.1</v>
      </c>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352"/>
    </row>
    <row r="65" spans="1:37" ht="13.5" customHeight="1" x14ac:dyDescent="0.45">
      <c r="A65" s="618"/>
      <c r="B65" s="215"/>
      <c r="C65" s="221" t="s">
        <v>1043</v>
      </c>
      <c r="D65" s="285">
        <v>218.5</v>
      </c>
      <c r="E65" s="285">
        <v>268.2</v>
      </c>
      <c r="F65" s="285">
        <v>235.5</v>
      </c>
      <c r="G65" s="285">
        <v>98.6</v>
      </c>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352"/>
    </row>
    <row r="66" spans="1:37" ht="13.5" customHeight="1" x14ac:dyDescent="0.45">
      <c r="A66" s="618"/>
      <c r="B66" s="215"/>
      <c r="C66" s="221" t="s">
        <v>1044</v>
      </c>
      <c r="D66" s="285">
        <v>1987.5</v>
      </c>
      <c r="E66" s="285">
        <v>1107.5999999999999</v>
      </c>
      <c r="F66" s="285">
        <v>1086.9000000000001</v>
      </c>
      <c r="G66" s="285">
        <v>962.8</v>
      </c>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352"/>
    </row>
    <row r="67" spans="1:37" ht="13.5" customHeight="1" x14ac:dyDescent="0.45">
      <c r="A67" s="618"/>
      <c r="B67" s="215"/>
      <c r="C67" s="221" t="s">
        <v>1045</v>
      </c>
      <c r="D67" s="285">
        <v>0.5</v>
      </c>
      <c r="E67" s="285">
        <v>0.2</v>
      </c>
      <c r="F67" s="285" t="s">
        <v>221</v>
      </c>
      <c r="G67" s="285" t="s">
        <v>221</v>
      </c>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352"/>
    </row>
    <row r="68" spans="1:37" ht="13.5" customHeight="1" x14ac:dyDescent="0.45">
      <c r="A68" s="618"/>
      <c r="B68" s="215"/>
      <c r="C68" s="91" t="s">
        <v>1041</v>
      </c>
      <c r="D68" s="445">
        <f>SUM(D62:D67)</f>
        <v>2776</v>
      </c>
      <c r="E68" s="445">
        <f>SUM(E62:E67)</f>
        <v>1894.3999999999999</v>
      </c>
      <c r="F68" s="445">
        <f>SUM(F62:F67)</f>
        <v>1765.5</v>
      </c>
      <c r="G68" s="445">
        <f>SUM(G62:G67)</f>
        <v>1505.5</v>
      </c>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352"/>
    </row>
    <row r="69" spans="1:37" ht="13.5" customHeight="1" x14ac:dyDescent="0.45">
      <c r="A69" s="618"/>
      <c r="B69" s="215"/>
      <c r="C69" s="243"/>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352"/>
    </row>
    <row r="70" spans="1:37" ht="13.5" customHeight="1" x14ac:dyDescent="0.45">
      <c r="A70" s="618">
        <v>5</v>
      </c>
      <c r="B70" s="215"/>
      <c r="C70" s="243" t="s">
        <v>575</v>
      </c>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352"/>
    </row>
    <row r="71" spans="1:37" ht="13.5" customHeight="1" x14ac:dyDescent="0.45">
      <c r="A71" s="618"/>
      <c r="B71" s="215"/>
      <c r="C71" s="221" t="s">
        <v>1038</v>
      </c>
      <c r="D71" s="285">
        <v>1139.3</v>
      </c>
      <c r="E71" s="285">
        <v>1200.7</v>
      </c>
      <c r="F71" s="285">
        <v>1209.9000000000001</v>
      </c>
      <c r="G71" s="285">
        <v>1155.5</v>
      </c>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352"/>
    </row>
    <row r="72" spans="1:37" ht="13.5" customHeight="1" x14ac:dyDescent="0.45">
      <c r="A72" s="618"/>
      <c r="B72" s="215"/>
      <c r="C72" s="221" t="s">
        <v>1040</v>
      </c>
      <c r="D72" s="285">
        <v>546.6</v>
      </c>
      <c r="E72" s="285">
        <v>479.1</v>
      </c>
      <c r="F72" s="285">
        <v>418.3</v>
      </c>
      <c r="G72" s="285">
        <v>466.2</v>
      </c>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352"/>
    </row>
    <row r="73" spans="1:37" ht="13.5" customHeight="1" x14ac:dyDescent="0.45">
      <c r="A73" s="618"/>
      <c r="B73" s="215"/>
      <c r="C73" s="221" t="s">
        <v>1042</v>
      </c>
      <c r="D73" s="285">
        <v>277.89999999999998</v>
      </c>
      <c r="E73" s="285">
        <v>300.60000000000002</v>
      </c>
      <c r="F73" s="285">
        <v>310.10000000000002</v>
      </c>
      <c r="G73" s="285">
        <v>232.9</v>
      </c>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352"/>
    </row>
    <row r="74" spans="1:37" ht="13.5" customHeight="1" x14ac:dyDescent="0.45">
      <c r="A74" s="618"/>
      <c r="B74" s="215"/>
      <c r="C74" s="221" t="s">
        <v>1046</v>
      </c>
      <c r="D74" s="285">
        <v>46.2</v>
      </c>
      <c r="E74" s="285">
        <v>36.9</v>
      </c>
      <c r="F74" s="285">
        <v>38.9</v>
      </c>
      <c r="G74" s="285">
        <v>36.299999999999997</v>
      </c>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352"/>
    </row>
    <row r="75" spans="1:37" ht="13.5" customHeight="1" x14ac:dyDescent="0.45">
      <c r="A75" s="618"/>
      <c r="B75" s="215"/>
      <c r="C75" s="221" t="s">
        <v>1043</v>
      </c>
      <c r="D75" s="285">
        <v>958.3</v>
      </c>
      <c r="E75" s="285">
        <v>1048.5999999999999</v>
      </c>
      <c r="F75" s="285">
        <v>1005.7</v>
      </c>
      <c r="G75" s="285">
        <v>1193.4000000000001</v>
      </c>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352"/>
    </row>
    <row r="76" spans="1:37" ht="13.5" customHeight="1" x14ac:dyDescent="0.45">
      <c r="A76" s="618"/>
      <c r="B76" s="215"/>
      <c r="C76" s="221" t="s">
        <v>1044</v>
      </c>
      <c r="D76" s="285">
        <v>70</v>
      </c>
      <c r="E76" s="285">
        <v>67.2</v>
      </c>
      <c r="F76" s="285">
        <v>67.2</v>
      </c>
      <c r="G76" s="285">
        <v>70.400000000000006</v>
      </c>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352"/>
    </row>
    <row r="77" spans="1:37" ht="13.5" customHeight="1" x14ac:dyDescent="0.45">
      <c r="A77" s="618"/>
      <c r="B77" s="215"/>
      <c r="C77" s="221" t="s">
        <v>1045</v>
      </c>
      <c r="D77" s="285">
        <v>0.3</v>
      </c>
      <c r="E77" s="285">
        <v>0.2</v>
      </c>
      <c r="F77" s="285">
        <v>0.2</v>
      </c>
      <c r="G77" s="285">
        <v>0.2</v>
      </c>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352"/>
    </row>
    <row r="78" spans="1:37" ht="13.5" customHeight="1" x14ac:dyDescent="0.45">
      <c r="A78" s="618"/>
      <c r="B78" s="215"/>
      <c r="C78" s="91" t="s">
        <v>1041</v>
      </c>
      <c r="D78" s="445">
        <f>SUM(D71:D77)</f>
        <v>3038.6000000000004</v>
      </c>
      <c r="E78" s="445">
        <f>SUM(E71:E77)</f>
        <v>3133.2999999999997</v>
      </c>
      <c r="F78" s="445">
        <f>SUM(F71:F77)</f>
        <v>3050.3</v>
      </c>
      <c r="G78" s="445">
        <f>SUM(G71:G77)</f>
        <v>3154.9</v>
      </c>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352"/>
    </row>
    <row r="79" spans="1:37" ht="13.5" customHeight="1" x14ac:dyDescent="0.45">
      <c r="A79" s="618"/>
      <c r="B79" s="258"/>
      <c r="C79" s="329"/>
      <c r="D79" s="259"/>
      <c r="E79" s="259"/>
      <c r="F79" s="259"/>
      <c r="G79" s="259"/>
      <c r="H79" s="259"/>
      <c r="I79" s="259"/>
      <c r="J79" s="259"/>
      <c r="K79" s="259"/>
      <c r="L79" s="259"/>
      <c r="M79" s="259"/>
      <c r="N79" s="259"/>
      <c r="O79" s="259"/>
      <c r="P79" s="259"/>
      <c r="Q79" s="259"/>
      <c r="R79" s="259"/>
      <c r="S79" s="259"/>
      <c r="T79" s="259"/>
      <c r="U79" s="259"/>
      <c r="V79" s="259"/>
      <c r="W79" s="259"/>
      <c r="X79" s="259"/>
      <c r="Y79" s="259"/>
      <c r="Z79" s="259"/>
      <c r="AA79" s="259"/>
      <c r="AB79" s="259"/>
      <c r="AC79" s="259"/>
      <c r="AD79" s="259"/>
      <c r="AE79" s="259"/>
      <c r="AF79" s="259"/>
      <c r="AG79" s="259"/>
      <c r="AH79" s="259"/>
      <c r="AI79" s="259"/>
      <c r="AJ79" s="259"/>
      <c r="AK79" s="425"/>
    </row>
    <row r="80" spans="1:37" ht="13.5" customHeight="1" x14ac:dyDescent="0.4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3.5" customHeight="1" x14ac:dyDescent="0.45">
      <c r="A81" s="618"/>
      <c r="B81" s="63"/>
      <c r="C81" s="399"/>
      <c r="D81" s="398"/>
      <c r="E81" s="398"/>
      <c r="F81" s="398"/>
      <c r="G81" s="398"/>
      <c r="H81" s="398"/>
      <c r="I81" s="398"/>
      <c r="J81" s="398"/>
      <c r="K81" s="398"/>
      <c r="L81" s="398"/>
      <c r="M81" s="398"/>
      <c r="N81" s="398"/>
      <c r="O81" s="398"/>
      <c r="P81" s="398"/>
      <c r="Q81" s="398"/>
      <c r="R81" s="398"/>
      <c r="S81" s="398"/>
      <c r="T81" s="398"/>
      <c r="U81" s="398"/>
      <c r="V81" s="398"/>
      <c r="W81" s="398"/>
      <c r="X81" s="398"/>
      <c r="Y81" s="398"/>
      <c r="Z81" s="398"/>
      <c r="AA81" s="398"/>
      <c r="AB81" s="398"/>
      <c r="AC81" s="398"/>
      <c r="AD81" s="398"/>
      <c r="AE81" s="398"/>
      <c r="AF81" s="398"/>
      <c r="AG81" s="398"/>
      <c r="AH81" s="398"/>
      <c r="AI81" s="398"/>
      <c r="AJ81" s="398"/>
      <c r="AK81" s="449"/>
    </row>
    <row r="82" spans="1:37" ht="13.5" customHeight="1" x14ac:dyDescent="0.45">
      <c r="A82" s="618"/>
      <c r="B82" s="400"/>
      <c r="C82" s="402" t="s">
        <v>478</v>
      </c>
      <c r="D82" s="403"/>
      <c r="E82" s="403"/>
      <c r="F82" s="403"/>
      <c r="G82" s="403"/>
      <c r="H82" s="403"/>
      <c r="I82" s="403"/>
      <c r="J82" s="403"/>
      <c r="K82" s="403"/>
      <c r="L82" s="403"/>
      <c r="M82" s="403"/>
      <c r="N82" s="403"/>
      <c r="O82" s="403"/>
      <c r="P82" s="403"/>
      <c r="Q82" s="403"/>
      <c r="R82" s="403"/>
      <c r="S82" s="403"/>
      <c r="T82" s="403"/>
      <c r="U82" s="403"/>
      <c r="V82" s="403"/>
      <c r="W82" s="403"/>
      <c r="X82" s="403"/>
      <c r="Y82" s="403"/>
      <c r="Z82" s="403"/>
      <c r="AA82" s="403"/>
      <c r="AB82" s="403"/>
      <c r="AC82" s="403"/>
      <c r="AD82" s="403"/>
      <c r="AE82" s="403"/>
      <c r="AF82" s="403"/>
      <c r="AG82" s="403"/>
      <c r="AH82" s="403"/>
      <c r="AI82" s="403"/>
      <c r="AJ82" s="403"/>
      <c r="AK82" s="450"/>
    </row>
    <row r="83" spans="1:37" ht="13.5" customHeight="1" x14ac:dyDescent="0.45">
      <c r="A83" s="618">
        <v>5</v>
      </c>
      <c r="B83" s="400"/>
      <c r="C83" s="404" t="s">
        <v>577</v>
      </c>
      <c r="D83" s="403"/>
      <c r="E83" s="403"/>
      <c r="F83" s="403"/>
      <c r="G83" s="403"/>
      <c r="H83" s="403"/>
      <c r="I83" s="403"/>
      <c r="J83" s="403"/>
      <c r="K83" s="403"/>
      <c r="L83" s="403"/>
      <c r="M83" s="403"/>
      <c r="N83" s="403"/>
      <c r="O83" s="403"/>
      <c r="P83" s="403"/>
      <c r="Q83" s="403"/>
      <c r="R83" s="403"/>
      <c r="S83" s="403"/>
      <c r="T83" s="403"/>
      <c r="U83" s="403"/>
      <c r="V83" s="403"/>
      <c r="W83" s="403"/>
      <c r="X83" s="403"/>
      <c r="Y83" s="403"/>
      <c r="Z83" s="403"/>
      <c r="AA83" s="403"/>
      <c r="AB83" s="403"/>
      <c r="AC83" s="403"/>
      <c r="AD83" s="403"/>
      <c r="AE83" s="403"/>
      <c r="AF83" s="403"/>
      <c r="AG83" s="403"/>
      <c r="AH83" s="403"/>
      <c r="AI83" s="403"/>
      <c r="AJ83" s="403"/>
      <c r="AK83" s="450"/>
    </row>
    <row r="84" spans="1:37" ht="13.5" customHeight="1" x14ac:dyDescent="0.45">
      <c r="A84" s="618"/>
      <c r="B84" s="400"/>
      <c r="C84" s="405" t="s">
        <v>1040</v>
      </c>
      <c r="D84" s="403">
        <v>111.5</v>
      </c>
      <c r="E84" s="403">
        <v>89.8</v>
      </c>
      <c r="F84" s="403">
        <v>54.1</v>
      </c>
      <c r="G84" s="403">
        <v>94.2</v>
      </c>
      <c r="H84" s="403"/>
      <c r="I84" s="403"/>
      <c r="J84" s="403"/>
      <c r="K84" s="403"/>
      <c r="L84" s="403"/>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50"/>
    </row>
    <row r="85" spans="1:37" ht="13.5" customHeight="1" x14ac:dyDescent="0.45">
      <c r="A85" s="618"/>
      <c r="B85" s="400"/>
      <c r="C85" s="405" t="s">
        <v>1047</v>
      </c>
      <c r="D85" s="403">
        <v>1198.3</v>
      </c>
      <c r="E85" s="403">
        <v>1175.7</v>
      </c>
      <c r="F85" s="403">
        <v>1133.0999999999999</v>
      </c>
      <c r="G85" s="403">
        <v>1087.7</v>
      </c>
      <c r="H85" s="403"/>
      <c r="I85" s="403"/>
      <c r="J85" s="403"/>
      <c r="K85" s="403"/>
      <c r="L85" s="403"/>
      <c r="M85" s="403"/>
      <c r="N85" s="403"/>
      <c r="O85" s="403"/>
      <c r="P85" s="403"/>
      <c r="Q85" s="403"/>
      <c r="R85" s="403"/>
      <c r="S85" s="403"/>
      <c r="T85" s="403"/>
      <c r="U85" s="403"/>
      <c r="V85" s="403"/>
      <c r="W85" s="403"/>
      <c r="X85" s="403"/>
      <c r="Y85" s="403"/>
      <c r="Z85" s="403"/>
      <c r="AA85" s="403"/>
      <c r="AB85" s="403"/>
      <c r="AC85" s="403"/>
      <c r="AD85" s="403"/>
      <c r="AE85" s="403"/>
      <c r="AF85" s="403"/>
      <c r="AG85" s="403"/>
      <c r="AH85" s="403"/>
      <c r="AI85" s="403"/>
      <c r="AJ85" s="403"/>
      <c r="AK85" s="450"/>
    </row>
    <row r="86" spans="1:37" ht="13.5" customHeight="1" x14ac:dyDescent="0.45">
      <c r="A86" s="618"/>
      <c r="B86" s="400"/>
      <c r="C86" s="405" t="s">
        <v>1042</v>
      </c>
      <c r="D86" s="403">
        <v>836.8</v>
      </c>
      <c r="E86" s="403">
        <v>912.8</v>
      </c>
      <c r="F86" s="403">
        <v>926.4</v>
      </c>
      <c r="G86" s="403">
        <v>781.6</v>
      </c>
      <c r="H86" s="403"/>
      <c r="I86" s="403"/>
      <c r="J86" s="403"/>
      <c r="K86" s="403"/>
      <c r="L86" s="403"/>
      <c r="M86" s="403"/>
      <c r="N86" s="403"/>
      <c r="O86" s="403"/>
      <c r="P86" s="403"/>
      <c r="Q86" s="403"/>
      <c r="R86" s="403"/>
      <c r="S86" s="403"/>
      <c r="T86" s="403"/>
      <c r="U86" s="403"/>
      <c r="V86" s="403"/>
      <c r="W86" s="403"/>
      <c r="X86" s="403"/>
      <c r="Y86" s="403"/>
      <c r="Z86" s="403"/>
      <c r="AA86" s="403"/>
      <c r="AB86" s="403"/>
      <c r="AC86" s="403"/>
      <c r="AD86" s="403"/>
      <c r="AE86" s="403"/>
      <c r="AF86" s="403"/>
      <c r="AG86" s="403"/>
      <c r="AH86" s="403"/>
      <c r="AI86" s="403"/>
      <c r="AJ86" s="403"/>
      <c r="AK86" s="450"/>
    </row>
    <row r="87" spans="1:37" ht="13.5" customHeight="1" x14ac:dyDescent="0.45">
      <c r="A87" s="618"/>
      <c r="B87" s="400"/>
      <c r="C87" s="405" t="s">
        <v>1046</v>
      </c>
      <c r="D87" s="403">
        <v>3201.3</v>
      </c>
      <c r="E87" s="403">
        <v>3430.9</v>
      </c>
      <c r="F87" s="403">
        <v>3466</v>
      </c>
      <c r="G87" s="403">
        <v>3587.4</v>
      </c>
      <c r="H87" s="403"/>
      <c r="I87" s="403"/>
      <c r="J87" s="403"/>
      <c r="K87" s="403"/>
      <c r="L87" s="403"/>
      <c r="M87" s="403"/>
      <c r="N87" s="403"/>
      <c r="O87" s="403"/>
      <c r="P87" s="403"/>
      <c r="Q87" s="403"/>
      <c r="R87" s="403"/>
      <c r="S87" s="403"/>
      <c r="T87" s="403"/>
      <c r="U87" s="403"/>
      <c r="V87" s="403"/>
      <c r="W87" s="403"/>
      <c r="X87" s="403"/>
      <c r="Y87" s="403"/>
      <c r="Z87" s="403"/>
      <c r="AA87" s="403"/>
      <c r="AB87" s="403"/>
      <c r="AC87" s="403"/>
      <c r="AD87" s="403"/>
      <c r="AE87" s="403"/>
      <c r="AF87" s="403"/>
      <c r="AG87" s="403"/>
      <c r="AH87" s="403"/>
      <c r="AI87" s="403"/>
      <c r="AJ87" s="403"/>
      <c r="AK87" s="450"/>
    </row>
    <row r="88" spans="1:37" ht="13.5" customHeight="1" x14ac:dyDescent="0.45">
      <c r="A88" s="618"/>
      <c r="B88" s="400"/>
      <c r="C88" s="405" t="s">
        <v>1048</v>
      </c>
      <c r="D88" s="403">
        <v>11328.9</v>
      </c>
      <c r="E88" s="403">
        <v>11376.1</v>
      </c>
      <c r="F88" s="403">
        <v>8934.9</v>
      </c>
      <c r="G88" s="403">
        <v>10724.3</v>
      </c>
      <c r="H88" s="403"/>
      <c r="I88" s="403"/>
      <c r="J88" s="403"/>
      <c r="K88" s="403"/>
      <c r="L88" s="403"/>
      <c r="M88" s="403"/>
      <c r="N88" s="403"/>
      <c r="O88" s="403"/>
      <c r="P88" s="403"/>
      <c r="Q88" s="403"/>
      <c r="R88" s="403"/>
      <c r="S88" s="403"/>
      <c r="T88" s="403"/>
      <c r="U88" s="403"/>
      <c r="V88" s="403"/>
      <c r="W88" s="403"/>
      <c r="X88" s="403"/>
      <c r="Y88" s="403"/>
      <c r="Z88" s="403"/>
      <c r="AA88" s="403"/>
      <c r="AB88" s="403"/>
      <c r="AC88" s="403"/>
      <c r="AD88" s="403"/>
      <c r="AE88" s="403"/>
      <c r="AF88" s="403"/>
      <c r="AG88" s="403"/>
      <c r="AH88" s="403"/>
      <c r="AI88" s="403"/>
      <c r="AJ88" s="403"/>
      <c r="AK88" s="450"/>
    </row>
    <row r="89" spans="1:37" ht="13.5" customHeight="1" x14ac:dyDescent="0.45">
      <c r="A89" s="618"/>
      <c r="B89" s="400"/>
      <c r="C89" s="405" t="s">
        <v>1049</v>
      </c>
      <c r="D89" s="403">
        <v>375.4</v>
      </c>
      <c r="E89" s="403">
        <v>353.7</v>
      </c>
      <c r="F89" s="403">
        <v>241.1</v>
      </c>
      <c r="G89" s="403">
        <v>302.89999999999998</v>
      </c>
      <c r="H89" s="403"/>
      <c r="I89" s="403"/>
      <c r="J89" s="403"/>
      <c r="K89" s="403"/>
      <c r="L89" s="403"/>
      <c r="M89" s="403"/>
      <c r="N89" s="403"/>
      <c r="O89" s="403"/>
      <c r="P89" s="403"/>
      <c r="Q89" s="403"/>
      <c r="R89" s="403"/>
      <c r="S89" s="403"/>
      <c r="T89" s="403"/>
      <c r="U89" s="403"/>
      <c r="V89" s="403"/>
      <c r="W89" s="403"/>
      <c r="X89" s="403"/>
      <c r="Y89" s="403"/>
      <c r="Z89" s="403"/>
      <c r="AA89" s="403"/>
      <c r="AB89" s="403"/>
      <c r="AC89" s="403"/>
      <c r="AD89" s="403"/>
      <c r="AE89" s="403"/>
      <c r="AF89" s="403"/>
      <c r="AG89" s="403"/>
      <c r="AH89" s="403"/>
      <c r="AI89" s="403"/>
      <c r="AJ89" s="403"/>
      <c r="AK89" s="450"/>
    </row>
    <row r="90" spans="1:37" ht="13.5" customHeight="1" x14ac:dyDescent="0.45">
      <c r="A90" s="618"/>
      <c r="B90" s="400"/>
      <c r="C90" s="405" t="s">
        <v>1043</v>
      </c>
      <c r="D90" s="403">
        <v>12933.4</v>
      </c>
      <c r="E90" s="403">
        <v>12778</v>
      </c>
      <c r="F90" s="403">
        <v>10964</v>
      </c>
      <c r="G90" s="403">
        <v>12293.9</v>
      </c>
      <c r="H90" s="403"/>
      <c r="I90" s="403"/>
      <c r="J90" s="403"/>
      <c r="K90" s="403"/>
      <c r="L90" s="403"/>
      <c r="M90" s="403"/>
      <c r="N90" s="403"/>
      <c r="O90" s="403"/>
      <c r="P90" s="403"/>
      <c r="Q90" s="403"/>
      <c r="R90" s="403"/>
      <c r="S90" s="403"/>
      <c r="T90" s="403"/>
      <c r="U90" s="403"/>
      <c r="V90" s="403"/>
      <c r="W90" s="403"/>
      <c r="X90" s="403"/>
      <c r="Y90" s="403"/>
      <c r="Z90" s="403"/>
      <c r="AA90" s="403"/>
      <c r="AB90" s="403"/>
      <c r="AC90" s="403"/>
      <c r="AD90" s="403"/>
      <c r="AE90" s="403"/>
      <c r="AF90" s="403"/>
      <c r="AG90" s="403"/>
      <c r="AH90" s="403"/>
      <c r="AI90" s="403"/>
      <c r="AJ90" s="403"/>
      <c r="AK90" s="450"/>
    </row>
    <row r="91" spans="1:37" ht="13.5" customHeight="1" x14ac:dyDescent="0.45">
      <c r="A91" s="618"/>
      <c r="B91" s="400"/>
      <c r="C91" s="405" t="s">
        <v>1044</v>
      </c>
      <c r="D91" s="403">
        <v>784.4</v>
      </c>
      <c r="E91" s="403">
        <v>806.3</v>
      </c>
      <c r="F91" s="403">
        <v>757.3</v>
      </c>
      <c r="G91" s="403">
        <v>867</v>
      </c>
      <c r="H91" s="403"/>
      <c r="I91" s="403"/>
      <c r="J91" s="403"/>
      <c r="K91" s="403"/>
      <c r="L91" s="403"/>
      <c r="M91" s="403"/>
      <c r="N91" s="403"/>
      <c r="O91" s="403"/>
      <c r="P91" s="403"/>
      <c r="Q91" s="403"/>
      <c r="R91" s="403"/>
      <c r="S91" s="403"/>
      <c r="T91" s="403"/>
      <c r="U91" s="403"/>
      <c r="V91" s="403"/>
      <c r="W91" s="403"/>
      <c r="X91" s="403"/>
      <c r="Y91" s="403"/>
      <c r="Z91" s="403"/>
      <c r="AA91" s="403"/>
      <c r="AB91" s="403"/>
      <c r="AC91" s="403"/>
      <c r="AD91" s="403"/>
      <c r="AE91" s="403"/>
      <c r="AF91" s="403"/>
      <c r="AG91" s="403"/>
      <c r="AH91" s="403"/>
      <c r="AI91" s="403"/>
      <c r="AJ91" s="403"/>
      <c r="AK91" s="450"/>
    </row>
    <row r="92" spans="1:37" ht="13.5" customHeight="1" x14ac:dyDescent="0.45">
      <c r="A92" s="618"/>
      <c r="B92" s="400"/>
      <c r="C92" s="405" t="s">
        <v>1050</v>
      </c>
      <c r="D92" s="403" t="s">
        <v>221</v>
      </c>
      <c r="E92" s="403" t="s">
        <v>221</v>
      </c>
      <c r="F92" s="403" t="s">
        <v>221</v>
      </c>
      <c r="G92" s="403">
        <v>554.4</v>
      </c>
      <c r="H92" s="403"/>
      <c r="I92" s="403"/>
      <c r="J92" s="403"/>
      <c r="K92" s="403"/>
      <c r="L92" s="403"/>
      <c r="M92" s="403"/>
      <c r="N92" s="403"/>
      <c r="O92" s="403"/>
      <c r="P92" s="403"/>
      <c r="Q92" s="403"/>
      <c r="R92" s="403"/>
      <c r="S92" s="403"/>
      <c r="T92" s="403"/>
      <c r="U92" s="403"/>
      <c r="V92" s="403"/>
      <c r="W92" s="403"/>
      <c r="X92" s="403"/>
      <c r="Y92" s="403"/>
      <c r="Z92" s="403"/>
      <c r="AA92" s="403"/>
      <c r="AB92" s="403"/>
      <c r="AC92" s="403"/>
      <c r="AD92" s="403"/>
      <c r="AE92" s="403"/>
      <c r="AF92" s="403"/>
      <c r="AG92" s="403"/>
      <c r="AH92" s="403"/>
      <c r="AI92" s="403"/>
      <c r="AJ92" s="403"/>
      <c r="AK92" s="450"/>
    </row>
    <row r="93" spans="1:37" ht="13.5" customHeight="1" x14ac:dyDescent="0.45">
      <c r="A93" s="618"/>
      <c r="B93" s="400"/>
      <c r="C93" s="405" t="s">
        <v>1051</v>
      </c>
      <c r="D93" s="403">
        <v>659.1</v>
      </c>
      <c r="E93" s="403">
        <v>630.6</v>
      </c>
      <c r="F93" s="403">
        <v>487.1</v>
      </c>
      <c r="G93" s="403">
        <v>586.1</v>
      </c>
      <c r="H93" s="403"/>
      <c r="I93" s="403"/>
      <c r="J93" s="403"/>
      <c r="K93" s="403"/>
      <c r="L93" s="403"/>
      <c r="M93" s="403"/>
      <c r="N93" s="403"/>
      <c r="O93" s="403"/>
      <c r="P93" s="403"/>
      <c r="Q93" s="403"/>
      <c r="R93" s="403"/>
      <c r="S93" s="403"/>
      <c r="T93" s="403"/>
      <c r="U93" s="403"/>
      <c r="V93" s="403"/>
      <c r="W93" s="403"/>
      <c r="X93" s="403"/>
      <c r="Y93" s="403"/>
      <c r="Z93" s="403"/>
      <c r="AA93" s="403"/>
      <c r="AB93" s="403"/>
      <c r="AC93" s="403"/>
      <c r="AD93" s="403"/>
      <c r="AE93" s="403"/>
      <c r="AF93" s="403"/>
      <c r="AG93" s="403"/>
      <c r="AH93" s="403"/>
      <c r="AI93" s="403"/>
      <c r="AJ93" s="403"/>
      <c r="AK93" s="450"/>
    </row>
    <row r="94" spans="1:37" ht="13.5" customHeight="1" x14ac:dyDescent="0.45">
      <c r="A94" s="618"/>
      <c r="B94" s="400"/>
      <c r="C94" s="405"/>
      <c r="D94" s="403"/>
      <c r="E94" s="403"/>
      <c r="F94" s="403"/>
      <c r="G94" s="403"/>
      <c r="H94" s="403"/>
      <c r="I94" s="403"/>
      <c r="J94" s="403"/>
      <c r="K94" s="403"/>
      <c r="L94" s="403"/>
      <c r="M94" s="403"/>
      <c r="N94" s="403"/>
      <c r="O94" s="403"/>
      <c r="P94" s="403"/>
      <c r="Q94" s="403"/>
      <c r="R94" s="403"/>
      <c r="S94" s="403"/>
      <c r="T94" s="403"/>
      <c r="U94" s="403"/>
      <c r="V94" s="403"/>
      <c r="W94" s="403"/>
      <c r="X94" s="403"/>
      <c r="Y94" s="403"/>
      <c r="Z94" s="403"/>
      <c r="AA94" s="403"/>
      <c r="AB94" s="403"/>
      <c r="AC94" s="403"/>
      <c r="AD94" s="403"/>
      <c r="AE94" s="403"/>
      <c r="AF94" s="403"/>
      <c r="AG94" s="403"/>
      <c r="AH94" s="403"/>
      <c r="AI94" s="403"/>
      <c r="AJ94" s="403"/>
      <c r="AK94" s="450"/>
    </row>
    <row r="95" spans="1:37" ht="13.5" customHeight="1" x14ac:dyDescent="0.45">
      <c r="A95" s="618"/>
      <c r="B95" s="400"/>
      <c r="C95" s="92" t="s">
        <v>1041</v>
      </c>
      <c r="D95" s="403">
        <f>SUM(D84:D93)</f>
        <v>31429.1</v>
      </c>
      <c r="E95" s="403">
        <f>SUM(E84:E93)</f>
        <v>31553.9</v>
      </c>
      <c r="F95" s="403">
        <f>SUM(F84:F93)</f>
        <v>26963.999999999996</v>
      </c>
      <c r="G95" s="403">
        <f>SUM(G84:G93)</f>
        <v>30879.5</v>
      </c>
      <c r="H95" s="403"/>
      <c r="I95" s="403"/>
      <c r="J95" s="403"/>
      <c r="K95" s="403"/>
      <c r="L95" s="403"/>
      <c r="M95" s="403"/>
      <c r="N95" s="403"/>
      <c r="O95" s="403"/>
      <c r="P95" s="403"/>
      <c r="Q95" s="403"/>
      <c r="R95" s="403"/>
      <c r="S95" s="403"/>
      <c r="T95" s="403"/>
      <c r="U95" s="403"/>
      <c r="V95" s="403"/>
      <c r="W95" s="403"/>
      <c r="X95" s="403"/>
      <c r="Y95" s="403"/>
      <c r="Z95" s="403"/>
      <c r="AA95" s="403"/>
      <c r="AB95" s="403"/>
      <c r="AC95" s="403"/>
      <c r="AD95" s="403"/>
      <c r="AE95" s="403"/>
      <c r="AF95" s="403"/>
      <c r="AG95" s="403"/>
      <c r="AH95" s="403"/>
      <c r="AI95" s="403"/>
      <c r="AJ95" s="403"/>
      <c r="AK95" s="450"/>
    </row>
    <row r="96" spans="1:37" ht="13.5" customHeight="1" x14ac:dyDescent="0.45">
      <c r="A96" s="618"/>
      <c r="B96" s="451"/>
      <c r="C96" s="452"/>
      <c r="D96" s="453"/>
      <c r="E96" s="453"/>
      <c r="F96" s="453"/>
      <c r="G96" s="453"/>
      <c r="H96" s="453"/>
      <c r="I96" s="453"/>
      <c r="J96" s="453"/>
      <c r="K96" s="453"/>
      <c r="L96" s="453"/>
      <c r="M96" s="453"/>
      <c r="N96" s="453"/>
      <c r="O96" s="453"/>
      <c r="P96" s="453"/>
      <c r="Q96" s="453"/>
      <c r="R96" s="453"/>
      <c r="S96" s="453"/>
      <c r="T96" s="453"/>
      <c r="U96" s="453"/>
      <c r="V96" s="453"/>
      <c r="W96" s="453"/>
      <c r="X96" s="453"/>
      <c r="Y96" s="453"/>
      <c r="Z96" s="453"/>
      <c r="AA96" s="453"/>
      <c r="AB96" s="453"/>
      <c r="AC96" s="453"/>
      <c r="AD96" s="453"/>
      <c r="AE96" s="453"/>
      <c r="AF96" s="453"/>
      <c r="AG96" s="453"/>
      <c r="AH96" s="453"/>
      <c r="AI96" s="453"/>
      <c r="AJ96" s="453"/>
      <c r="AK96" s="454"/>
    </row>
    <row r="97" spans="1:37" ht="13.5" customHeight="1" x14ac:dyDescent="0.4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3.5" customHeight="1" x14ac:dyDescent="0.45">
      <c r="A98" s="618"/>
      <c r="B98" s="26"/>
      <c r="C98" s="212"/>
      <c r="D98" s="211"/>
      <c r="E98" s="211"/>
      <c r="F98" s="211"/>
      <c r="G98" s="211"/>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351"/>
    </row>
    <row r="99" spans="1:37" ht="13.5" customHeight="1" x14ac:dyDescent="0.45">
      <c r="A99" s="618"/>
      <c r="B99" s="215"/>
      <c r="C99" s="243" t="s">
        <v>583</v>
      </c>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352"/>
    </row>
    <row r="100" spans="1:37" ht="13.5" customHeight="1" x14ac:dyDescent="0.45">
      <c r="A100" s="618"/>
      <c r="B100" s="215"/>
      <c r="C100" s="221" t="s">
        <v>1039</v>
      </c>
      <c r="D100" s="285">
        <v>312.8</v>
      </c>
      <c r="E100" s="285">
        <v>344.9</v>
      </c>
      <c r="F100" s="285">
        <v>304.5</v>
      </c>
      <c r="G100" s="285">
        <v>329.3</v>
      </c>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352"/>
    </row>
    <row r="101" spans="1:37" ht="13.5" customHeight="1" x14ac:dyDescent="0.45">
      <c r="A101" s="618"/>
      <c r="B101" s="215"/>
      <c r="C101" s="221" t="s">
        <v>1040</v>
      </c>
      <c r="D101" s="285">
        <v>322.7</v>
      </c>
      <c r="E101" s="285">
        <v>297</v>
      </c>
      <c r="F101" s="285">
        <v>260.5</v>
      </c>
      <c r="G101" s="285">
        <v>288.10000000000002</v>
      </c>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352"/>
    </row>
    <row r="102" spans="1:37" ht="13.5" customHeight="1" x14ac:dyDescent="0.45">
      <c r="A102" s="618"/>
      <c r="B102" s="215"/>
      <c r="C102" s="91" t="s">
        <v>1041</v>
      </c>
      <c r="D102" s="445">
        <f>SUM(D100:D101)</f>
        <v>635.5</v>
      </c>
      <c r="E102" s="445">
        <f>SUM(E100:E101)</f>
        <v>641.9</v>
      </c>
      <c r="F102" s="445">
        <f>SUM(F100:F101)</f>
        <v>565</v>
      </c>
      <c r="G102" s="445">
        <f>SUM(G100:G101)</f>
        <v>617.40000000000009</v>
      </c>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352"/>
    </row>
    <row r="103" spans="1:37" ht="13.5" customHeight="1" x14ac:dyDescent="0.45">
      <c r="A103" s="618"/>
      <c r="B103" s="215"/>
      <c r="C103" s="243"/>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352"/>
    </row>
    <row r="104" spans="1:37" ht="13.5" customHeight="1" x14ac:dyDescent="0.45">
      <c r="A104" s="618"/>
      <c r="B104" s="215"/>
      <c r="C104" s="243" t="s">
        <v>584</v>
      </c>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352"/>
    </row>
    <row r="105" spans="1:37" ht="13.5" customHeight="1" x14ac:dyDescent="0.45">
      <c r="A105" s="618"/>
      <c r="B105" s="215"/>
      <c r="C105" s="221" t="s">
        <v>1038</v>
      </c>
      <c r="D105" s="285">
        <v>449</v>
      </c>
      <c r="E105" s="285">
        <v>485.4</v>
      </c>
      <c r="F105" s="285">
        <v>454.6</v>
      </c>
      <c r="G105" s="285">
        <v>437.5</v>
      </c>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352"/>
    </row>
    <row r="106" spans="1:37" ht="13.5" customHeight="1" x14ac:dyDescent="0.45">
      <c r="A106" s="618"/>
      <c r="B106" s="215"/>
      <c r="C106" s="221" t="s">
        <v>1046</v>
      </c>
      <c r="D106" s="285">
        <v>49.4</v>
      </c>
      <c r="E106" s="285">
        <v>40.700000000000003</v>
      </c>
      <c r="F106" s="285">
        <v>41.7</v>
      </c>
      <c r="G106" s="285">
        <v>39.700000000000003</v>
      </c>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352"/>
    </row>
    <row r="107" spans="1:37" ht="13.5" customHeight="1" x14ac:dyDescent="0.45">
      <c r="A107" s="618"/>
      <c r="B107" s="215"/>
      <c r="C107" s="221" t="s">
        <v>1048</v>
      </c>
      <c r="D107" s="285">
        <v>46.3</v>
      </c>
      <c r="E107" s="285">
        <v>51.4</v>
      </c>
      <c r="F107" s="285">
        <v>43.7</v>
      </c>
      <c r="G107" s="285">
        <v>49.1</v>
      </c>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352"/>
    </row>
    <row r="108" spans="1:37" ht="13.5" customHeight="1" x14ac:dyDescent="0.45">
      <c r="A108" s="618"/>
      <c r="B108" s="215"/>
      <c r="C108" s="221" t="s">
        <v>1049</v>
      </c>
      <c r="D108" s="285">
        <v>8.9</v>
      </c>
      <c r="E108" s="285">
        <v>10.199999999999999</v>
      </c>
      <c r="F108" s="285">
        <v>9.3000000000000007</v>
      </c>
      <c r="G108" s="285">
        <v>10.1</v>
      </c>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352"/>
    </row>
    <row r="109" spans="1:37" ht="13.5" customHeight="1" x14ac:dyDescent="0.45">
      <c r="A109" s="618"/>
      <c r="B109" s="215"/>
      <c r="C109" s="221" t="s">
        <v>1043</v>
      </c>
      <c r="D109" s="285">
        <v>354</v>
      </c>
      <c r="E109" s="285">
        <v>362.5</v>
      </c>
      <c r="F109" s="285">
        <v>312.89999999999998</v>
      </c>
      <c r="G109" s="285">
        <v>327.39999999999998</v>
      </c>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352"/>
    </row>
    <row r="110" spans="1:37" ht="13.5" customHeight="1" x14ac:dyDescent="0.45">
      <c r="A110" s="618"/>
      <c r="B110" s="215"/>
      <c r="C110" s="221" t="s">
        <v>1044</v>
      </c>
      <c r="D110" s="285">
        <v>643.1</v>
      </c>
      <c r="E110" s="285">
        <v>585.5</v>
      </c>
      <c r="F110" s="285">
        <v>491.8</v>
      </c>
      <c r="G110" s="285">
        <v>583.9</v>
      </c>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352"/>
    </row>
    <row r="111" spans="1:37" ht="13.5" customHeight="1" x14ac:dyDescent="0.45">
      <c r="A111" s="618"/>
      <c r="B111" s="215"/>
      <c r="C111" s="221" t="s">
        <v>1052</v>
      </c>
      <c r="D111" s="285">
        <v>96.5</v>
      </c>
      <c r="E111" s="285">
        <v>93.5</v>
      </c>
      <c r="F111" s="285">
        <v>192</v>
      </c>
      <c r="G111" s="285">
        <v>204.9</v>
      </c>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352"/>
    </row>
    <row r="112" spans="1:37" ht="13.5" customHeight="1" x14ac:dyDescent="0.45">
      <c r="A112" s="618"/>
      <c r="B112" s="215"/>
      <c r="C112" s="91" t="s">
        <v>1041</v>
      </c>
      <c r="D112" s="445">
        <f>SUM(D105:D111)</f>
        <v>1647.1999999999998</v>
      </c>
      <c r="E112" s="445">
        <f>SUM(E105:E111)</f>
        <v>1629.2</v>
      </c>
      <c r="F112" s="445">
        <f>SUM(F105:F111)</f>
        <v>1546</v>
      </c>
      <c r="G112" s="445">
        <f>SUM(G105:G111)</f>
        <v>1652.6</v>
      </c>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352"/>
    </row>
    <row r="113" spans="1:37" ht="13.5" customHeight="1" x14ac:dyDescent="0.45">
      <c r="A113" s="618"/>
      <c r="B113" s="258"/>
      <c r="C113" s="329"/>
      <c r="D113" s="259"/>
      <c r="E113" s="259"/>
      <c r="F113" s="259"/>
      <c r="G113" s="259"/>
      <c r="H113" s="259"/>
      <c r="I113" s="259"/>
      <c r="J113" s="259"/>
      <c r="K113" s="259"/>
      <c r="L113" s="259"/>
      <c r="M113" s="259"/>
      <c r="N113" s="259"/>
      <c r="O113" s="259"/>
      <c r="P113" s="259"/>
      <c r="Q113" s="259"/>
      <c r="R113" s="259"/>
      <c r="S113" s="259"/>
      <c r="T113" s="259"/>
      <c r="U113" s="259"/>
      <c r="V113" s="259"/>
      <c r="W113" s="259"/>
      <c r="X113" s="259"/>
      <c r="Y113" s="259"/>
      <c r="Z113" s="259"/>
      <c r="AA113" s="259"/>
      <c r="AB113" s="259"/>
      <c r="AC113" s="259"/>
      <c r="AD113" s="259"/>
      <c r="AE113" s="259"/>
      <c r="AF113" s="259"/>
      <c r="AG113" s="259"/>
      <c r="AH113" s="259"/>
      <c r="AI113" s="259"/>
      <c r="AJ113" s="259"/>
      <c r="AK113" s="425"/>
    </row>
    <row r="114" spans="1:37" ht="13.5" customHeight="1" x14ac:dyDescent="0.4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3.5" customHeight="1" x14ac:dyDescent="0.45">
      <c r="A115" s="1"/>
      <c r="B115" s="1"/>
      <c r="C115" s="18" t="s">
        <v>586</v>
      </c>
      <c r="D115" s="1">
        <f>SUM(D112,D102,D95,D78,D68,D56)</f>
        <v>39720.199999999997</v>
      </c>
      <c r="E115" s="1">
        <f>SUM(E112,E102,E95,E78,E68,E56)</f>
        <v>39057.4</v>
      </c>
      <c r="F115" s="1">
        <f>SUM(F112,F102,F95,F78,F68,F56)</f>
        <v>34075.599999999999</v>
      </c>
      <c r="G115" s="1">
        <f>SUM(G112,G102,G95,G78,G68,G56)</f>
        <v>37993.200000000004</v>
      </c>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3.5"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3.5" customHeight="1" x14ac:dyDescent="0.45">
      <c r="A117" s="618"/>
      <c r="B117" s="26"/>
      <c r="C117" s="212"/>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351"/>
    </row>
    <row r="118" spans="1:37" ht="20.25" customHeight="1" x14ac:dyDescent="0.45">
      <c r="A118" s="618"/>
      <c r="B118" s="215"/>
      <c r="C118" s="444" t="s">
        <v>587</v>
      </c>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c r="AA118" s="220"/>
      <c r="AB118" s="220"/>
      <c r="AC118" s="220"/>
      <c r="AD118" s="220"/>
      <c r="AE118" s="220"/>
      <c r="AF118" s="220"/>
      <c r="AG118" s="220"/>
      <c r="AH118" s="220"/>
      <c r="AI118" s="220"/>
      <c r="AJ118" s="220"/>
      <c r="AK118" s="352"/>
    </row>
    <row r="119" spans="1:37" ht="15.75" customHeight="1" x14ac:dyDescent="0.45">
      <c r="A119" s="618"/>
      <c r="B119" s="215"/>
      <c r="C119" s="457"/>
      <c r="D119" s="362"/>
      <c r="E119" s="362"/>
      <c r="F119" s="362"/>
      <c r="G119" s="362"/>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c r="AJ119" s="285"/>
      <c r="AK119" s="352"/>
    </row>
    <row r="120" spans="1:37" ht="15.75" customHeight="1" x14ac:dyDescent="0.45">
      <c r="A120" s="618">
        <v>5</v>
      </c>
      <c r="B120" s="215"/>
      <c r="C120" s="457" t="s">
        <v>1053</v>
      </c>
      <c r="D120" s="362">
        <v>2667.7</v>
      </c>
      <c r="E120" s="362">
        <v>2811.8</v>
      </c>
      <c r="F120" s="362">
        <v>2833.3</v>
      </c>
      <c r="G120" s="362">
        <v>2705.8</v>
      </c>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352"/>
    </row>
    <row r="121" spans="1:37" ht="15.75" customHeight="1" x14ac:dyDescent="0.45">
      <c r="A121" s="618"/>
      <c r="B121" s="215"/>
      <c r="C121" s="243"/>
      <c r="D121" s="362"/>
      <c r="E121" s="362"/>
      <c r="F121" s="362"/>
      <c r="G121" s="362"/>
      <c r="H121" s="285"/>
      <c r="I121" s="285"/>
      <c r="J121" s="285"/>
      <c r="K121" s="285"/>
      <c r="L121" s="285"/>
      <c r="M121" s="285"/>
      <c r="N121" s="285"/>
      <c r="O121" s="285"/>
      <c r="P121" s="285"/>
      <c r="Q121" s="285"/>
      <c r="R121" s="285"/>
      <c r="S121" s="285"/>
      <c r="T121" s="285"/>
      <c r="U121" s="285"/>
      <c r="V121" s="285"/>
      <c r="W121" s="285"/>
      <c r="X121" s="285"/>
      <c r="Y121" s="285"/>
      <c r="Z121" s="285"/>
      <c r="AA121" s="285"/>
      <c r="AB121" s="285"/>
      <c r="AC121" s="285"/>
      <c r="AD121" s="285"/>
      <c r="AE121" s="285"/>
      <c r="AF121" s="285"/>
      <c r="AG121" s="285"/>
      <c r="AH121" s="285"/>
      <c r="AI121" s="285"/>
      <c r="AJ121" s="285"/>
      <c r="AK121" s="352"/>
    </row>
    <row r="122" spans="1:37" ht="15.75" customHeight="1" x14ac:dyDescent="0.45">
      <c r="A122" s="618">
        <v>3</v>
      </c>
      <c r="B122" s="215"/>
      <c r="C122" s="243" t="s">
        <v>1054</v>
      </c>
      <c r="D122" s="362">
        <v>73300</v>
      </c>
      <c r="E122" s="362"/>
      <c r="F122" s="362"/>
      <c r="G122" s="362"/>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c r="AE122" s="285"/>
      <c r="AF122" s="285"/>
      <c r="AG122" s="285"/>
      <c r="AH122" s="285"/>
      <c r="AI122" s="285"/>
      <c r="AJ122" s="285"/>
      <c r="AK122" s="352"/>
    </row>
    <row r="123" spans="1:37" ht="15.75" customHeight="1" x14ac:dyDescent="0.45">
      <c r="A123" s="618"/>
      <c r="B123" s="215"/>
      <c r="C123" s="243"/>
      <c r="D123" s="362"/>
      <c r="E123" s="362"/>
      <c r="F123" s="362"/>
      <c r="G123" s="362"/>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c r="AE123" s="285"/>
      <c r="AF123" s="285"/>
      <c r="AG123" s="285"/>
      <c r="AH123" s="285"/>
      <c r="AI123" s="285"/>
      <c r="AJ123" s="285"/>
      <c r="AK123" s="352"/>
    </row>
    <row r="124" spans="1:37" ht="15.75" customHeight="1" x14ac:dyDescent="0.45">
      <c r="A124" s="618">
        <v>5</v>
      </c>
      <c r="B124" s="215"/>
      <c r="C124" s="221" t="s">
        <v>1055</v>
      </c>
      <c r="D124" s="362">
        <v>1045</v>
      </c>
      <c r="E124" s="362">
        <v>1135</v>
      </c>
      <c r="F124" s="362">
        <v>1063</v>
      </c>
      <c r="G124" s="362">
        <v>1023</v>
      </c>
      <c r="H124" s="285"/>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c r="AE124" s="285"/>
      <c r="AF124" s="285"/>
      <c r="AG124" s="285"/>
      <c r="AH124" s="285"/>
      <c r="AI124" s="285"/>
      <c r="AJ124" s="285"/>
      <c r="AK124" s="352"/>
    </row>
    <row r="125" spans="1:37" ht="15.75" customHeight="1" x14ac:dyDescent="0.45">
      <c r="A125" s="618"/>
      <c r="B125" s="215"/>
      <c r="C125" s="221" t="s">
        <v>1056</v>
      </c>
      <c r="D125" s="362">
        <f>D124*5.82</f>
        <v>6081.9000000000005</v>
      </c>
      <c r="E125" s="362">
        <f>E124*5.82</f>
        <v>6605.7000000000007</v>
      </c>
      <c r="F125" s="362">
        <f>F124*5.82</f>
        <v>6186.66</v>
      </c>
      <c r="G125" s="362">
        <f>G124*5.82</f>
        <v>5953.8600000000006</v>
      </c>
      <c r="H125" s="285"/>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c r="AE125" s="285"/>
      <c r="AF125" s="285"/>
      <c r="AG125" s="285"/>
      <c r="AH125" s="285"/>
      <c r="AI125" s="285"/>
      <c r="AJ125" s="285"/>
      <c r="AK125" s="352"/>
    </row>
    <row r="126" spans="1:37" ht="15.75" customHeight="1" x14ac:dyDescent="0.45">
      <c r="A126" s="618">
        <v>7</v>
      </c>
      <c r="B126" s="215"/>
      <c r="C126" s="221" t="s">
        <v>1057</v>
      </c>
      <c r="D126" s="362">
        <v>73300</v>
      </c>
      <c r="E126" s="362"/>
      <c r="F126" s="362"/>
      <c r="G126" s="362"/>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c r="AE126" s="285"/>
      <c r="AF126" s="285"/>
      <c r="AG126" s="285"/>
      <c r="AH126" s="285"/>
      <c r="AI126" s="285"/>
      <c r="AJ126" s="285"/>
      <c r="AK126" s="352"/>
    </row>
    <row r="127" spans="1:37" ht="15.75" customHeight="1" x14ac:dyDescent="0.45">
      <c r="A127" s="618"/>
      <c r="B127" s="215"/>
      <c r="C127" s="221" t="s">
        <v>1058</v>
      </c>
      <c r="D127" s="362">
        <f>D125*$D$126</f>
        <v>445803270.00000006</v>
      </c>
      <c r="E127" s="362">
        <f>E125*$D$126</f>
        <v>484197810.00000006</v>
      </c>
      <c r="F127" s="362">
        <f>F125*$D$126</f>
        <v>453482178</v>
      </c>
      <c r="G127" s="362">
        <f>G125*$D$126</f>
        <v>436417938.00000006</v>
      </c>
      <c r="H127" s="285"/>
      <c r="I127" s="285"/>
      <c r="J127" s="285"/>
      <c r="K127" s="285"/>
      <c r="L127" s="285"/>
      <c r="M127" s="285"/>
      <c r="N127" s="285"/>
      <c r="O127" s="285"/>
      <c r="P127" s="285"/>
      <c r="Q127" s="285"/>
      <c r="R127" s="285"/>
      <c r="S127" s="285"/>
      <c r="T127" s="285"/>
      <c r="U127" s="285"/>
      <c r="V127" s="285"/>
      <c r="W127" s="285"/>
      <c r="X127" s="285"/>
      <c r="Y127" s="285"/>
      <c r="Z127" s="285"/>
      <c r="AA127" s="285"/>
      <c r="AB127" s="285"/>
      <c r="AC127" s="285"/>
      <c r="AD127" s="285"/>
      <c r="AE127" s="285"/>
      <c r="AF127" s="285"/>
      <c r="AG127" s="285"/>
      <c r="AH127" s="285"/>
      <c r="AI127" s="285"/>
      <c r="AJ127" s="285"/>
      <c r="AK127" s="352"/>
    </row>
    <row r="128" spans="1:37" ht="15.75" customHeight="1" x14ac:dyDescent="0.45">
      <c r="A128" s="618"/>
      <c r="B128" s="215"/>
      <c r="C128" s="243" t="s">
        <v>1059</v>
      </c>
      <c r="D128" s="362">
        <f>D127/1000000</f>
        <v>445.80327000000005</v>
      </c>
      <c r="E128" s="362">
        <f>E127/1000000</f>
        <v>484.19781000000006</v>
      </c>
      <c r="F128" s="362">
        <f>F127/1000000</f>
        <v>453.48217799999998</v>
      </c>
      <c r="G128" s="362">
        <f>G127/1000000</f>
        <v>436.41793800000005</v>
      </c>
      <c r="H128" s="285"/>
      <c r="I128" s="285"/>
      <c r="J128" s="285"/>
      <c r="K128" s="285"/>
      <c r="L128" s="285"/>
      <c r="M128" s="285"/>
      <c r="N128" s="285"/>
      <c r="O128" s="285"/>
      <c r="P128" s="285"/>
      <c r="Q128" s="285"/>
      <c r="R128" s="285"/>
      <c r="S128" s="285"/>
      <c r="T128" s="285"/>
      <c r="U128" s="285"/>
      <c r="V128" s="285"/>
      <c r="W128" s="285"/>
      <c r="X128" s="285"/>
      <c r="Y128" s="285"/>
      <c r="Z128" s="285"/>
      <c r="AA128" s="285"/>
      <c r="AB128" s="285"/>
      <c r="AC128" s="285"/>
      <c r="AD128" s="285"/>
      <c r="AE128" s="285"/>
      <c r="AF128" s="285"/>
      <c r="AG128" s="285"/>
      <c r="AH128" s="285"/>
      <c r="AI128" s="285"/>
      <c r="AJ128" s="285"/>
      <c r="AK128" s="352"/>
    </row>
    <row r="129" spans="1:37" ht="13.5" customHeight="1" x14ac:dyDescent="0.45">
      <c r="A129" s="618"/>
      <c r="B129" s="258"/>
      <c r="C129" s="329"/>
      <c r="D129" s="259"/>
      <c r="E129" s="259"/>
      <c r="F129" s="259"/>
      <c r="G129" s="259"/>
      <c r="H129" s="259"/>
      <c r="I129" s="259"/>
      <c r="J129" s="259"/>
      <c r="K129" s="259"/>
      <c r="L129" s="259"/>
      <c r="M129" s="259"/>
      <c r="N129" s="259"/>
      <c r="O129" s="259"/>
      <c r="P129" s="259"/>
      <c r="Q129" s="259"/>
      <c r="R129" s="259"/>
      <c r="S129" s="259"/>
      <c r="T129" s="259"/>
      <c r="U129" s="259"/>
      <c r="V129" s="259"/>
      <c r="W129" s="259"/>
      <c r="X129" s="259"/>
      <c r="Y129" s="259"/>
      <c r="Z129" s="259"/>
      <c r="AA129" s="259"/>
      <c r="AB129" s="259"/>
      <c r="AC129" s="259"/>
      <c r="AD129" s="259"/>
      <c r="AE129" s="259"/>
      <c r="AF129" s="259"/>
      <c r="AG129" s="259"/>
      <c r="AH129" s="259"/>
      <c r="AI129" s="259"/>
      <c r="AJ129" s="259"/>
      <c r="AK129" s="425"/>
    </row>
    <row r="130" spans="1:37" ht="13.5" customHeight="1" x14ac:dyDescent="0.4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3.5" customHeight="1" x14ac:dyDescent="0.45">
      <c r="A131" s="1"/>
      <c r="B131" s="1"/>
      <c r="C131" s="513" t="s">
        <v>1060</v>
      </c>
      <c r="D131" s="1"/>
      <c r="E131" s="3"/>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3.5" customHeight="1" x14ac:dyDescent="0.4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3.5" customHeight="1" x14ac:dyDescent="0.45">
      <c r="A133" s="1"/>
      <c r="B133" s="1"/>
      <c r="C133" s="1" t="s">
        <v>1061</v>
      </c>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3.5"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3.5" customHeight="1" x14ac:dyDescent="0.45">
      <c r="A135" s="1"/>
      <c r="B135" s="1"/>
      <c r="C135" s="18" t="s">
        <v>814</v>
      </c>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3.5" customHeight="1" x14ac:dyDescent="0.45">
      <c r="A136" s="1"/>
      <c r="B136" s="1">
        <v>1</v>
      </c>
      <c r="C136" s="1" t="s">
        <v>1062</v>
      </c>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3.5" customHeight="1" x14ac:dyDescent="0.45">
      <c r="A137" s="1"/>
      <c r="B137" s="1">
        <v>2</v>
      </c>
      <c r="C137" s="1" t="s">
        <v>1063</v>
      </c>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3.5" customHeight="1" x14ac:dyDescent="0.45">
      <c r="A138" s="1"/>
      <c r="B138" s="1">
        <v>3</v>
      </c>
      <c r="C138" s="1" t="s">
        <v>1064</v>
      </c>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3.5" customHeight="1" x14ac:dyDescent="0.45">
      <c r="A139" s="1"/>
      <c r="B139" s="1">
        <v>4</v>
      </c>
      <c r="C139" s="1" t="s">
        <v>1065</v>
      </c>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3.5" customHeight="1" x14ac:dyDescent="0.45">
      <c r="A140" s="1"/>
      <c r="B140" s="1">
        <v>5</v>
      </c>
      <c r="C140" s="1" t="s">
        <v>960</v>
      </c>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3.5" customHeight="1" x14ac:dyDescent="0.45">
      <c r="A141" s="1"/>
      <c r="B141" s="1">
        <v>6</v>
      </c>
      <c r="C141" s="1" t="s">
        <v>1066</v>
      </c>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3.5" customHeight="1" x14ac:dyDescent="0.45">
      <c r="A142" s="1"/>
      <c r="B142" s="1">
        <v>7</v>
      </c>
      <c r="C142" s="1" t="s">
        <v>1067</v>
      </c>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3.5"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3.5"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3.5"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3.5"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3.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3.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3.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3.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3.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3.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3.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3.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3.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3.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3.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3.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3.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3.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3.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3.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3.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3.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3.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3.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3.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3.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3.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3.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3.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3.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3.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3.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3.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3.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3.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3.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3.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3.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3.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3.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3.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3.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3.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3.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3.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3.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3.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3.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3.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3.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3.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3.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3.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3.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3.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3.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3.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3.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3.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3.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3.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3.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3.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3.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3.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3.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3.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3.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3.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3.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3.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3.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3.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3.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3.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3.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3.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3.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3.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3.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3.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3.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3.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3.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3.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3.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3.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3.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3.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3.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3.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3.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3.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3.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3.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3.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3.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3.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3.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3.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3.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3.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3.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3.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3.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3.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3.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3.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3.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3.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3.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3.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3.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3.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3.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3.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3.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3.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3.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3.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3.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3.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3.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3.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3.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3.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3.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3.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3.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3.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3.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3.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3.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3.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3.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3.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3.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3.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3.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3.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3.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3.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3.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3.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3.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3.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3.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3.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3.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3.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3.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3.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3.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3.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3.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3.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3.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3.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3.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3.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3.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3.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3.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3.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3.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3.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3.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3.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3.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3.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3.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3.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3.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3.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3.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3.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3.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3.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3.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3.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3.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3.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3.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3.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3.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3.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3.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3.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3.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3.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3.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3.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3.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3.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3.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3.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3.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3.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4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spans="1:37" ht="15.75" customHeight="1" x14ac:dyDescent="0.4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spans="1:37" ht="15.75" customHeight="1" x14ac:dyDescent="0.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spans="1:37" ht="15.75" customHeight="1" x14ac:dyDescent="0.4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spans="1:37" ht="15.75" customHeight="1" x14ac:dyDescent="0.4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spans="1:37" ht="15.75" customHeight="1" x14ac:dyDescent="0.4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spans="1:37" ht="15.75" customHeight="1" x14ac:dyDescent="0.4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spans="1:37" ht="15.75" customHeight="1" x14ac:dyDescent="0.4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spans="1:37" ht="15.75" customHeight="1" x14ac:dyDescent="0.4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spans="1:37" ht="15.75" customHeight="1" x14ac:dyDescent="0.4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hyperlinks>
    <hyperlink ref="H6" r:id="rId1" xr:uid="{A7BA8A7C-EC44-451B-87F7-5AC922B7C9BC}"/>
    <hyperlink ref="H13" r:id="rId2" xr:uid="{7583772A-C481-4C15-8BD6-68ABFCFF2D82}"/>
    <hyperlink ref="H24" r:id="rId3" xr:uid="{3CE3EDD5-C8F6-45DD-A578-C9853366C364}"/>
    <hyperlink ref="H31" r:id="rId4" xr:uid="{3B9E1900-F272-47C8-A899-108C6C8D8897}"/>
    <hyperlink ref="H42" r:id="rId5" xr:uid="{10D94107-F776-4919-9AC9-C0BB1C5F800B}"/>
  </hyperlinks>
  <pageMargins left="0.7" right="0.7" top="0.75" bottom="0.75" header="0" footer="0"/>
  <pageSetup orientation="landscape"/>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E0E953-8586-4C06-99E4-8710413E895B}"/>
</file>

<file path=customXml/itemProps2.xml><?xml version="1.0" encoding="utf-8"?>
<ds:datastoreItem xmlns:ds="http://schemas.openxmlformats.org/officeDocument/2006/customXml" ds:itemID="{3AC3B92D-C6DA-485F-A516-37C04F3EC7A0}"/>
</file>

<file path=customXml/itemProps3.xml><?xml version="1.0" encoding="utf-8"?>
<ds:datastoreItem xmlns:ds="http://schemas.openxmlformats.org/officeDocument/2006/customXml" ds:itemID="{B13780A0-EEB2-40D9-B129-5AD8075A76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Detalles</vt:lpstr>
      <vt:lpstr>Bitácora</vt:lpstr>
      <vt:lpstr>Mejoras pendientes al modelo</vt:lpstr>
      <vt:lpstr>Combustibles</vt:lpstr>
      <vt:lpstr>Electricidad</vt:lpstr>
      <vt:lpstr>Hidrógeno</vt:lpstr>
      <vt:lpstr>Calculos electricidad</vt:lpstr>
      <vt:lpstr>Demanda_energia</vt:lpstr>
      <vt:lpstr>Emisiones Energía V2</vt:lpstr>
      <vt:lpstr>Emisiones Energía</vt:lpstr>
      <vt:lpstr>Costos Energía</vt:lpstr>
      <vt:lpstr>Costos Energía (2)</vt:lpstr>
      <vt:lpstr>Costos Residencial</vt:lpstr>
      <vt:lpstr>Gráficos Combustibles</vt:lpstr>
      <vt:lpstr>Gráficos Electricidad</vt:lpstr>
      <vt:lpstr>Graficos Demanda Energia</vt:lpstr>
      <vt:lpstr>Gráfico Emisiones Energía</vt:lpstr>
      <vt:lpstr>Driver PIB</vt:lpstr>
      <vt:lpstr>Demandas Cálculos Driver PIB</vt:lpstr>
      <vt:lpstr>Copia de Combustibles</vt:lpstr>
      <vt:lpstr>Copia de Electricidad</vt:lpstr>
      <vt:lpstr>Copia de Demandas de energía </vt:lpstr>
      <vt:lpstr>Copia de Emisiones Energía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DANIEL ESTEBAN VILLAMAR CABEZAS</cp:lastModifiedBy>
  <cp:revision/>
  <dcterms:created xsi:type="dcterms:W3CDTF">2022-08-17T22:24:18Z</dcterms:created>
  <dcterms:modified xsi:type="dcterms:W3CDTF">2024-04-29T04:50:35Z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